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klebel/Documents/TUGraz/Projects/transpose/landscapeStudy/data-raw/"/>
    </mc:Choice>
  </mc:AlternateContent>
  <xr:revisionPtr revIDLastSave="0" documentId="13_ncr:1_{6BABDD30-859D-7D44-AF43-3E44D6B640A0}" xr6:coauthVersionLast="43" xr6:coauthVersionMax="43" xr10:uidLastSave="{00000000-0000-0000-0000-000000000000}"/>
  <bookViews>
    <workbookView xWindow="-48340" yWindow="2720" windowWidth="45640" windowHeight="24980" xr2:uid="{00000000-000D-0000-FFFF-FFFF00000000}"/>
  </bookViews>
  <sheets>
    <sheet name="Raw" sheetId="1" r:id="rId1"/>
    <sheet name="Filtered" sheetId="2" r:id="rId2"/>
    <sheet name="For merging to master" sheetId="3" r:id="rId3"/>
    <sheet name="pr-type" sheetId="4" r:id="rId4"/>
    <sheet name="preprint version" sheetId="5" r:id="rId5"/>
    <sheet name="coreviewers" sheetId="6"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96" i="6" l="1"/>
  <c r="D196" i="6"/>
  <c r="C196" i="6"/>
  <c r="E195" i="6"/>
  <c r="D195" i="6"/>
  <c r="C195" i="6"/>
  <c r="E194" i="6"/>
  <c r="D194" i="6"/>
  <c r="C194" i="6"/>
  <c r="E193" i="6"/>
  <c r="D193" i="6"/>
  <c r="C193" i="6"/>
  <c r="E192" i="6"/>
  <c r="D192" i="6"/>
  <c r="C192" i="6"/>
  <c r="E191" i="6"/>
  <c r="D191" i="6"/>
  <c r="C191" i="6"/>
  <c r="E190" i="6"/>
  <c r="D190" i="6"/>
  <c r="C190" i="6"/>
  <c r="E189" i="6"/>
  <c r="D189" i="6"/>
  <c r="C189" i="6"/>
  <c r="E188" i="6"/>
  <c r="D188" i="6"/>
  <c r="C188" i="6"/>
  <c r="E187" i="6"/>
  <c r="D187" i="6"/>
  <c r="C187" i="6"/>
  <c r="E186" i="6"/>
  <c r="D186" i="6"/>
  <c r="C186" i="6"/>
  <c r="E185" i="6"/>
  <c r="D185" i="6"/>
  <c r="C185" i="6"/>
  <c r="E184" i="6"/>
  <c r="D184" i="6"/>
  <c r="C184" i="6"/>
  <c r="E183" i="6"/>
  <c r="D183" i="6"/>
  <c r="C183" i="6"/>
  <c r="AS31" i="6"/>
  <c r="AR31" i="6"/>
  <c r="AQ31" i="6"/>
  <c r="AO31" i="6"/>
  <c r="AN31" i="6"/>
  <c r="AM31" i="6"/>
  <c r="AK31" i="6"/>
  <c r="AJ31" i="6"/>
  <c r="AI31" i="6"/>
  <c r="AG31" i="6"/>
  <c r="AF31" i="6"/>
  <c r="AE31" i="6"/>
  <c r="AC31" i="6"/>
  <c r="AB31" i="6"/>
  <c r="AA31" i="6"/>
  <c r="Y31" i="6"/>
  <c r="X31" i="6"/>
  <c r="W31" i="6"/>
  <c r="U31" i="6"/>
  <c r="T31" i="6"/>
  <c r="S31" i="6"/>
  <c r="Q31" i="6"/>
  <c r="P31" i="6"/>
  <c r="O31" i="6"/>
  <c r="AS30" i="6"/>
  <c r="AR30" i="6"/>
  <c r="AQ30" i="6"/>
  <c r="AO30" i="6"/>
  <c r="AN30" i="6"/>
  <c r="AM30" i="6"/>
  <c r="AK30" i="6"/>
  <c r="AJ30" i="6"/>
  <c r="AI30" i="6"/>
  <c r="AG30" i="6"/>
  <c r="AF30" i="6"/>
  <c r="AE30" i="6"/>
  <c r="AC30" i="6"/>
  <c r="AB30" i="6"/>
  <c r="AA30" i="6"/>
  <c r="Y30" i="6"/>
  <c r="X30" i="6"/>
  <c r="W30" i="6"/>
  <c r="U30" i="6"/>
  <c r="T30" i="6"/>
  <c r="S30" i="6"/>
  <c r="Q30" i="6"/>
  <c r="P30" i="6"/>
  <c r="O30" i="6"/>
  <c r="AS29" i="6"/>
  <c r="AR29" i="6"/>
  <c r="AQ29" i="6"/>
  <c r="AO29" i="6"/>
  <c r="AN29" i="6"/>
  <c r="AM29" i="6"/>
  <c r="AK29" i="6"/>
  <c r="AJ29" i="6"/>
  <c r="AI29" i="6"/>
  <c r="AG29" i="6"/>
  <c r="AF29" i="6"/>
  <c r="AE29" i="6"/>
  <c r="AC29" i="6"/>
  <c r="AB29" i="6"/>
  <c r="AA29" i="6"/>
  <c r="Y29" i="6"/>
  <c r="X29" i="6"/>
  <c r="W29" i="6"/>
  <c r="U29" i="6"/>
  <c r="T29" i="6"/>
  <c r="S29" i="6"/>
  <c r="Q29" i="6"/>
  <c r="P29" i="6"/>
  <c r="O29" i="6"/>
  <c r="AS28" i="6"/>
  <c r="AR28" i="6"/>
  <c r="AQ28" i="6"/>
  <c r="AO28" i="6"/>
  <c r="AN28" i="6"/>
  <c r="AM28" i="6"/>
  <c r="AK28" i="6"/>
  <c r="AJ28" i="6"/>
  <c r="AI28" i="6"/>
  <c r="AG28" i="6"/>
  <c r="AF28" i="6"/>
  <c r="AE28" i="6"/>
  <c r="AC28" i="6"/>
  <c r="AB28" i="6"/>
  <c r="AA28" i="6"/>
  <c r="Y28" i="6"/>
  <c r="X28" i="6"/>
  <c r="W28" i="6"/>
  <c r="U28" i="6"/>
  <c r="T28" i="6"/>
  <c r="S28" i="6"/>
  <c r="Q28" i="6"/>
  <c r="P28" i="6"/>
  <c r="O28" i="6"/>
  <c r="AS27" i="6"/>
  <c r="AR27" i="6"/>
  <c r="AQ27" i="6"/>
  <c r="AO27" i="6"/>
  <c r="AN27" i="6"/>
  <c r="AM27" i="6"/>
  <c r="AK27" i="6"/>
  <c r="AJ27" i="6"/>
  <c r="AI27" i="6"/>
  <c r="AG27" i="6"/>
  <c r="AF27" i="6"/>
  <c r="AE27" i="6"/>
  <c r="AC27" i="6"/>
  <c r="AB27" i="6"/>
  <c r="AA27" i="6"/>
  <c r="Y27" i="6"/>
  <c r="X27" i="6"/>
  <c r="W27" i="6"/>
  <c r="U27" i="6"/>
  <c r="T27" i="6"/>
  <c r="S27" i="6"/>
  <c r="Q27" i="6"/>
  <c r="P27" i="6"/>
  <c r="O27" i="6"/>
  <c r="AS26" i="6"/>
  <c r="AR26" i="6"/>
  <c r="AQ26" i="6"/>
  <c r="AO26" i="6"/>
  <c r="AN26" i="6"/>
  <c r="AM26" i="6"/>
  <c r="AK26" i="6"/>
  <c r="AJ26" i="6"/>
  <c r="AI26" i="6"/>
  <c r="AG26" i="6"/>
  <c r="AF26" i="6"/>
  <c r="AE26" i="6"/>
  <c r="AC26" i="6"/>
  <c r="AB26" i="6"/>
  <c r="AA26" i="6"/>
  <c r="Y26" i="6"/>
  <c r="X26" i="6"/>
  <c r="W26" i="6"/>
  <c r="U26" i="6"/>
  <c r="T26" i="6"/>
  <c r="S26" i="6"/>
  <c r="Q26" i="6"/>
  <c r="P26" i="6"/>
  <c r="O26" i="6"/>
  <c r="AS25" i="6"/>
  <c r="AR25" i="6"/>
  <c r="AQ25" i="6"/>
  <c r="AO25" i="6"/>
  <c r="AN25" i="6"/>
  <c r="AM25" i="6"/>
  <c r="AK25" i="6"/>
  <c r="AJ25" i="6"/>
  <c r="AI25" i="6"/>
  <c r="AG25" i="6"/>
  <c r="AF25" i="6"/>
  <c r="AE25" i="6"/>
  <c r="AC25" i="6"/>
  <c r="AB25" i="6"/>
  <c r="AA25" i="6"/>
  <c r="Y25" i="6"/>
  <c r="X25" i="6"/>
  <c r="W25" i="6"/>
  <c r="U25" i="6"/>
  <c r="T25" i="6"/>
  <c r="S25" i="6"/>
  <c r="Q25" i="6"/>
  <c r="P25" i="6"/>
  <c r="O25" i="6"/>
  <c r="AS24" i="6"/>
  <c r="AR24" i="6"/>
  <c r="AQ24" i="6"/>
  <c r="AO24" i="6"/>
  <c r="AN24" i="6"/>
  <c r="AM24" i="6"/>
  <c r="AK24" i="6"/>
  <c r="AJ24" i="6"/>
  <c r="AI24" i="6"/>
  <c r="AG24" i="6"/>
  <c r="AF24" i="6"/>
  <c r="AE24" i="6"/>
  <c r="AC24" i="6"/>
  <c r="AB24" i="6"/>
  <c r="AA24" i="6"/>
  <c r="Y24" i="6"/>
  <c r="X24" i="6"/>
  <c r="W24" i="6"/>
  <c r="U24" i="6"/>
  <c r="T24" i="6"/>
  <c r="S24" i="6"/>
  <c r="Q24" i="6"/>
  <c r="P24" i="6"/>
  <c r="O24" i="6"/>
  <c r="AS23" i="6"/>
  <c r="AR23" i="6"/>
  <c r="AQ23" i="6"/>
  <c r="AO23" i="6"/>
  <c r="AN23" i="6"/>
  <c r="AM23" i="6"/>
  <c r="AK23" i="6"/>
  <c r="AJ23" i="6"/>
  <c r="AI23" i="6"/>
  <c r="AG23" i="6"/>
  <c r="AF23" i="6"/>
  <c r="AE23" i="6"/>
  <c r="AC23" i="6"/>
  <c r="AB23" i="6"/>
  <c r="AA23" i="6"/>
  <c r="Y23" i="6"/>
  <c r="X23" i="6"/>
  <c r="W23" i="6"/>
  <c r="U23" i="6"/>
  <c r="T23" i="6"/>
  <c r="S23" i="6"/>
  <c r="Q23" i="6"/>
  <c r="P23" i="6"/>
  <c r="O23" i="6"/>
  <c r="AS22" i="6"/>
  <c r="AR22" i="6"/>
  <c r="AQ22" i="6"/>
  <c r="AO22" i="6"/>
  <c r="AN22" i="6"/>
  <c r="AM22" i="6"/>
  <c r="AK22" i="6"/>
  <c r="AJ22" i="6"/>
  <c r="AI22" i="6"/>
  <c r="AG22" i="6"/>
  <c r="AF22" i="6"/>
  <c r="AE22" i="6"/>
  <c r="AC22" i="6"/>
  <c r="AB22" i="6"/>
  <c r="AA22" i="6"/>
  <c r="Y22" i="6"/>
  <c r="X22" i="6"/>
  <c r="W22" i="6"/>
  <c r="U22" i="6"/>
  <c r="T22" i="6"/>
  <c r="S22" i="6"/>
  <c r="Q22" i="6"/>
  <c r="P22" i="6"/>
  <c r="O22" i="6"/>
  <c r="AS21" i="6"/>
  <c r="AR21" i="6"/>
  <c r="AQ21" i="6"/>
  <c r="AO21" i="6"/>
  <c r="AN21" i="6"/>
  <c r="AM21" i="6"/>
  <c r="AK21" i="6"/>
  <c r="AJ21" i="6"/>
  <c r="AI21" i="6"/>
  <c r="AG21" i="6"/>
  <c r="AF21" i="6"/>
  <c r="AE21" i="6"/>
  <c r="AC21" i="6"/>
  <c r="AB21" i="6"/>
  <c r="AA21" i="6"/>
  <c r="Y21" i="6"/>
  <c r="X21" i="6"/>
  <c r="W21" i="6"/>
  <c r="U21" i="6"/>
  <c r="T21" i="6"/>
  <c r="S21" i="6"/>
  <c r="Q21" i="6"/>
  <c r="P21" i="6"/>
  <c r="O21" i="6"/>
  <c r="AS20" i="6"/>
  <c r="AR20" i="6"/>
  <c r="AQ20" i="6"/>
  <c r="AO20" i="6"/>
  <c r="AN20" i="6"/>
  <c r="AM20" i="6"/>
  <c r="AK20" i="6"/>
  <c r="AJ20" i="6"/>
  <c r="AI20" i="6"/>
  <c r="AG20" i="6"/>
  <c r="AF20" i="6"/>
  <c r="AE20" i="6"/>
  <c r="AC20" i="6"/>
  <c r="AB20" i="6"/>
  <c r="AA20" i="6"/>
  <c r="Y20" i="6"/>
  <c r="X20" i="6"/>
  <c r="W20" i="6"/>
  <c r="U20" i="6"/>
  <c r="T20" i="6"/>
  <c r="S20" i="6"/>
  <c r="Q20" i="6"/>
  <c r="P20" i="6"/>
  <c r="O20" i="6"/>
  <c r="AS19" i="6"/>
  <c r="AR19" i="6"/>
  <c r="AQ19" i="6"/>
  <c r="AO19" i="6"/>
  <c r="AN19" i="6"/>
  <c r="AM19" i="6"/>
  <c r="AK19" i="6"/>
  <c r="AJ19" i="6"/>
  <c r="AI19" i="6"/>
  <c r="AG19" i="6"/>
  <c r="AF19" i="6"/>
  <c r="AE19" i="6"/>
  <c r="AC19" i="6"/>
  <c r="AB19" i="6"/>
  <c r="AA19" i="6"/>
  <c r="Y19" i="6"/>
  <c r="X19" i="6"/>
  <c r="W19" i="6"/>
  <c r="U19" i="6"/>
  <c r="T19" i="6"/>
  <c r="S19" i="6"/>
  <c r="Q19" i="6"/>
  <c r="P19" i="6"/>
  <c r="O19" i="6"/>
  <c r="AS18" i="6"/>
  <c r="AR18" i="6"/>
  <c r="AQ18" i="6"/>
  <c r="AO18" i="6"/>
  <c r="AN18" i="6"/>
  <c r="AM18" i="6"/>
  <c r="AK18" i="6"/>
  <c r="AJ18" i="6"/>
  <c r="AI18" i="6"/>
  <c r="AG18" i="6"/>
  <c r="AF18" i="6"/>
  <c r="AE18" i="6"/>
  <c r="AC18" i="6"/>
  <c r="AB18" i="6"/>
  <c r="AA18" i="6"/>
  <c r="Y18" i="6"/>
  <c r="X18" i="6"/>
  <c r="W18" i="6"/>
  <c r="U18" i="6"/>
  <c r="T18" i="6"/>
  <c r="S18" i="6"/>
  <c r="Q18" i="6"/>
  <c r="P18" i="6"/>
  <c r="O18" i="6"/>
  <c r="AS17" i="6"/>
  <c r="AR17" i="6"/>
  <c r="AQ17" i="6"/>
  <c r="AO17" i="6"/>
  <c r="AN17" i="6"/>
  <c r="AM17" i="6"/>
  <c r="AK17" i="6"/>
  <c r="AJ17" i="6"/>
  <c r="AI17" i="6"/>
  <c r="AG17" i="6"/>
  <c r="AF17" i="6"/>
  <c r="AE17" i="6"/>
  <c r="AC17" i="6"/>
  <c r="AB17" i="6"/>
  <c r="AA17" i="6"/>
  <c r="Y17" i="6"/>
  <c r="X17" i="6"/>
  <c r="W17" i="6"/>
  <c r="U17" i="6"/>
  <c r="T17" i="6"/>
  <c r="S17" i="6"/>
  <c r="Q17" i="6"/>
  <c r="P17" i="6"/>
  <c r="O17" i="6"/>
  <c r="AS16" i="6"/>
  <c r="AR16" i="6"/>
  <c r="AQ16" i="6"/>
  <c r="AO16" i="6"/>
  <c r="AN16" i="6"/>
  <c r="AM16" i="6"/>
  <c r="AK16" i="6"/>
  <c r="AJ16" i="6"/>
  <c r="AI16" i="6"/>
  <c r="AG16" i="6"/>
  <c r="AF16" i="6"/>
  <c r="AE16" i="6"/>
  <c r="AC16" i="6"/>
  <c r="AB16" i="6"/>
  <c r="AA16" i="6"/>
  <c r="Y16" i="6"/>
  <c r="X16" i="6"/>
  <c r="W16" i="6"/>
  <c r="U16" i="6"/>
  <c r="T16" i="6"/>
  <c r="S16" i="6"/>
  <c r="Q16" i="6"/>
  <c r="P16" i="6"/>
  <c r="O16" i="6"/>
  <c r="AS15" i="6"/>
  <c r="AR15" i="6"/>
  <c r="AQ15" i="6"/>
  <c r="AO15" i="6"/>
  <c r="AN15" i="6"/>
  <c r="AM15" i="6"/>
  <c r="AK15" i="6"/>
  <c r="AJ15" i="6"/>
  <c r="AI15" i="6"/>
  <c r="AG15" i="6"/>
  <c r="AF15" i="6"/>
  <c r="AE15" i="6"/>
  <c r="AC15" i="6"/>
  <c r="AB15" i="6"/>
  <c r="AA15" i="6"/>
  <c r="Y15" i="6"/>
  <c r="X15" i="6"/>
  <c r="W15" i="6"/>
  <c r="U15" i="6"/>
  <c r="T15" i="6"/>
  <c r="S15" i="6"/>
  <c r="Q15" i="6"/>
  <c r="P15" i="6"/>
  <c r="O15" i="6"/>
  <c r="AS14" i="6"/>
  <c r="AR14" i="6"/>
  <c r="AQ14" i="6"/>
  <c r="AO14" i="6"/>
  <c r="AN14" i="6"/>
  <c r="AM14" i="6"/>
  <c r="AK14" i="6"/>
  <c r="AJ14" i="6"/>
  <c r="AI14" i="6"/>
  <c r="AG14" i="6"/>
  <c r="AF14" i="6"/>
  <c r="AE14" i="6"/>
  <c r="AC14" i="6"/>
  <c r="AB14" i="6"/>
  <c r="AA14" i="6"/>
  <c r="Y14" i="6"/>
  <c r="X14" i="6"/>
  <c r="W14" i="6"/>
  <c r="U14" i="6"/>
  <c r="T14" i="6"/>
  <c r="S14" i="6"/>
  <c r="Q14" i="6"/>
  <c r="P14" i="6"/>
  <c r="O14" i="6"/>
  <c r="AS13" i="6"/>
  <c r="AR13" i="6"/>
  <c r="AQ13" i="6"/>
  <c r="AO13" i="6"/>
  <c r="AN13" i="6"/>
  <c r="AM13" i="6"/>
  <c r="AK13" i="6"/>
  <c r="AJ13" i="6"/>
  <c r="AI13" i="6"/>
  <c r="AG13" i="6"/>
  <c r="AF13" i="6"/>
  <c r="AE13" i="6"/>
  <c r="AC13" i="6"/>
  <c r="AB13" i="6"/>
  <c r="AA13" i="6"/>
  <c r="Y13" i="6"/>
  <c r="X13" i="6"/>
  <c r="W13" i="6"/>
  <c r="U13" i="6"/>
  <c r="T13" i="6"/>
  <c r="S13" i="6"/>
  <c r="Q13" i="6"/>
  <c r="P13" i="6"/>
  <c r="O13" i="6"/>
  <c r="AS12" i="6"/>
  <c r="AR12" i="6"/>
  <c r="AQ12" i="6"/>
  <c r="AO12" i="6"/>
  <c r="AN12" i="6"/>
  <c r="AM12" i="6"/>
  <c r="AK12" i="6"/>
  <c r="AJ12" i="6"/>
  <c r="AI12" i="6"/>
  <c r="AG12" i="6"/>
  <c r="AF12" i="6"/>
  <c r="AE12" i="6"/>
  <c r="AC12" i="6"/>
  <c r="AB12" i="6"/>
  <c r="AA12" i="6"/>
  <c r="Y12" i="6"/>
  <c r="X12" i="6"/>
  <c r="W12" i="6"/>
  <c r="U12" i="6"/>
  <c r="U2" i="6" s="1"/>
  <c r="T12" i="6"/>
  <c r="S12" i="6"/>
  <c r="Q12" i="6"/>
  <c r="Q9" i="6" s="1"/>
  <c r="P12" i="6"/>
  <c r="O12" i="6"/>
  <c r="D11" i="6"/>
  <c r="C11" i="6"/>
  <c r="Y3" i="6"/>
  <c r="E196" i="5"/>
  <c r="D196" i="5"/>
  <c r="C196" i="5"/>
  <c r="E195" i="5"/>
  <c r="D195" i="5"/>
  <c r="C195" i="5"/>
  <c r="E194" i="5"/>
  <c r="D194" i="5"/>
  <c r="C194" i="5"/>
  <c r="E193" i="5"/>
  <c r="D193" i="5"/>
  <c r="C193" i="5"/>
  <c r="E192" i="5"/>
  <c r="D192" i="5"/>
  <c r="C192" i="5"/>
  <c r="E191" i="5"/>
  <c r="D191" i="5"/>
  <c r="C191" i="5"/>
  <c r="E190" i="5"/>
  <c r="D190" i="5"/>
  <c r="C190" i="5"/>
  <c r="E189" i="5"/>
  <c r="D189" i="5"/>
  <c r="C189" i="5"/>
  <c r="E188" i="5"/>
  <c r="D188" i="5"/>
  <c r="C188" i="5"/>
  <c r="E187" i="5"/>
  <c r="D187" i="5"/>
  <c r="C187" i="5"/>
  <c r="E186" i="5"/>
  <c r="D186" i="5"/>
  <c r="C186" i="5"/>
  <c r="E185" i="5"/>
  <c r="D185" i="5"/>
  <c r="C185" i="5"/>
  <c r="E184" i="5"/>
  <c r="D184" i="5"/>
  <c r="C184" i="5"/>
  <c r="E183" i="5"/>
  <c r="D183" i="5"/>
  <c r="C183" i="5"/>
  <c r="AS31" i="5"/>
  <c r="AR31" i="5"/>
  <c r="AQ31" i="5"/>
  <c r="AO31" i="5"/>
  <c r="AN31" i="5"/>
  <c r="AM31" i="5"/>
  <c r="AK31" i="5"/>
  <c r="AJ31" i="5"/>
  <c r="AI31" i="5"/>
  <c r="AG31" i="5"/>
  <c r="AF31" i="5"/>
  <c r="AE31" i="5"/>
  <c r="AC31" i="5"/>
  <c r="AB31" i="5"/>
  <c r="AA31" i="5"/>
  <c r="Y31" i="5"/>
  <c r="X31" i="5"/>
  <c r="W31" i="5"/>
  <c r="U31" i="5"/>
  <c r="T31" i="5"/>
  <c r="S31" i="5"/>
  <c r="Q31" i="5"/>
  <c r="P31" i="5"/>
  <c r="O31" i="5"/>
  <c r="AS30" i="5"/>
  <c r="AR30" i="5"/>
  <c r="AQ30" i="5"/>
  <c r="AO30" i="5"/>
  <c r="AN30" i="5"/>
  <c r="AM30" i="5"/>
  <c r="AK30" i="5"/>
  <c r="AJ30" i="5"/>
  <c r="AI30" i="5"/>
  <c r="AG30" i="5"/>
  <c r="AF30" i="5"/>
  <c r="AE30" i="5"/>
  <c r="AC30" i="5"/>
  <c r="AB30" i="5"/>
  <c r="AA30" i="5"/>
  <c r="Y30" i="5"/>
  <c r="X30" i="5"/>
  <c r="W30" i="5"/>
  <c r="U30" i="5"/>
  <c r="T30" i="5"/>
  <c r="S30" i="5"/>
  <c r="Q30" i="5"/>
  <c r="P30" i="5"/>
  <c r="O30" i="5"/>
  <c r="AS29" i="5"/>
  <c r="AR29" i="5"/>
  <c r="AQ29" i="5"/>
  <c r="AO29" i="5"/>
  <c r="AN29" i="5"/>
  <c r="AM29" i="5"/>
  <c r="AK29" i="5"/>
  <c r="AJ29" i="5"/>
  <c r="AI29" i="5"/>
  <c r="AG29" i="5"/>
  <c r="AF29" i="5"/>
  <c r="AE29" i="5"/>
  <c r="AC29" i="5"/>
  <c r="AB29" i="5"/>
  <c r="AA29" i="5"/>
  <c r="Y29" i="5"/>
  <c r="X29" i="5"/>
  <c r="W29" i="5"/>
  <c r="U29" i="5"/>
  <c r="T29" i="5"/>
  <c r="S29" i="5"/>
  <c r="Q29" i="5"/>
  <c r="P29" i="5"/>
  <c r="O29" i="5"/>
  <c r="AS28" i="5"/>
  <c r="AR28" i="5"/>
  <c r="AQ28" i="5"/>
  <c r="AO28" i="5"/>
  <c r="AN28" i="5"/>
  <c r="AM28" i="5"/>
  <c r="AK28" i="5"/>
  <c r="AJ28" i="5"/>
  <c r="AI28" i="5"/>
  <c r="AG28" i="5"/>
  <c r="AF28" i="5"/>
  <c r="AE28" i="5"/>
  <c r="AC28" i="5"/>
  <c r="AB28" i="5"/>
  <c r="AA28" i="5"/>
  <c r="Y28" i="5"/>
  <c r="X28" i="5"/>
  <c r="W28" i="5"/>
  <c r="U28" i="5"/>
  <c r="T28" i="5"/>
  <c r="S28" i="5"/>
  <c r="Q28" i="5"/>
  <c r="P28" i="5"/>
  <c r="O28" i="5"/>
  <c r="AS27" i="5"/>
  <c r="AR27" i="5"/>
  <c r="AQ27" i="5"/>
  <c r="AO27" i="5"/>
  <c r="AN27" i="5"/>
  <c r="AM27" i="5"/>
  <c r="AK27" i="5"/>
  <c r="AJ27" i="5"/>
  <c r="AI27" i="5"/>
  <c r="AG27" i="5"/>
  <c r="AF27" i="5"/>
  <c r="AE27" i="5"/>
  <c r="AC27" i="5"/>
  <c r="AB27" i="5"/>
  <c r="AA27" i="5"/>
  <c r="Y27" i="5"/>
  <c r="X27" i="5"/>
  <c r="W27" i="5"/>
  <c r="U27" i="5"/>
  <c r="T27" i="5"/>
  <c r="S27" i="5"/>
  <c r="Q27" i="5"/>
  <c r="P27" i="5"/>
  <c r="O27" i="5"/>
  <c r="AS26" i="5"/>
  <c r="AR26" i="5"/>
  <c r="AQ26" i="5"/>
  <c r="AO26" i="5"/>
  <c r="AN26" i="5"/>
  <c r="AM26" i="5"/>
  <c r="AK26" i="5"/>
  <c r="AJ26" i="5"/>
  <c r="AI26" i="5"/>
  <c r="AG26" i="5"/>
  <c r="AF26" i="5"/>
  <c r="AE26" i="5"/>
  <c r="AC26" i="5"/>
  <c r="AB26" i="5"/>
  <c r="AA26" i="5"/>
  <c r="Y26" i="5"/>
  <c r="X26" i="5"/>
  <c r="W26" i="5"/>
  <c r="U26" i="5"/>
  <c r="T26" i="5"/>
  <c r="S26" i="5"/>
  <c r="Q26" i="5"/>
  <c r="P26" i="5"/>
  <c r="O26" i="5"/>
  <c r="AS25" i="5"/>
  <c r="AR25" i="5"/>
  <c r="AQ25" i="5"/>
  <c r="AO25" i="5"/>
  <c r="AN25" i="5"/>
  <c r="AM25" i="5"/>
  <c r="AK25" i="5"/>
  <c r="AJ25" i="5"/>
  <c r="AI25" i="5"/>
  <c r="AG25" i="5"/>
  <c r="AF25" i="5"/>
  <c r="AE25" i="5"/>
  <c r="AC25" i="5"/>
  <c r="AB25" i="5"/>
  <c r="AA25" i="5"/>
  <c r="Y25" i="5"/>
  <c r="X25" i="5"/>
  <c r="W25" i="5"/>
  <c r="U25" i="5"/>
  <c r="T25" i="5"/>
  <c r="S25" i="5"/>
  <c r="Q25" i="5"/>
  <c r="P25" i="5"/>
  <c r="O25" i="5"/>
  <c r="AS24" i="5"/>
  <c r="AR24" i="5"/>
  <c r="AQ24" i="5"/>
  <c r="AO24" i="5"/>
  <c r="AN24" i="5"/>
  <c r="AM24" i="5"/>
  <c r="AK24" i="5"/>
  <c r="AJ24" i="5"/>
  <c r="AI24" i="5"/>
  <c r="AG24" i="5"/>
  <c r="AF24" i="5"/>
  <c r="AE24" i="5"/>
  <c r="AC24" i="5"/>
  <c r="AB24" i="5"/>
  <c r="AA24" i="5"/>
  <c r="Y24" i="5"/>
  <c r="X24" i="5"/>
  <c r="W24" i="5"/>
  <c r="U24" i="5"/>
  <c r="T24" i="5"/>
  <c r="S24" i="5"/>
  <c r="Q24" i="5"/>
  <c r="P24" i="5"/>
  <c r="O24" i="5"/>
  <c r="AS23" i="5"/>
  <c r="AR23" i="5"/>
  <c r="AQ23" i="5"/>
  <c r="AO23" i="5"/>
  <c r="AN23" i="5"/>
  <c r="AM23" i="5"/>
  <c r="AK23" i="5"/>
  <c r="AJ23" i="5"/>
  <c r="AI23" i="5"/>
  <c r="AG23" i="5"/>
  <c r="AF23" i="5"/>
  <c r="AE23" i="5"/>
  <c r="AC23" i="5"/>
  <c r="AB23" i="5"/>
  <c r="AA23" i="5"/>
  <c r="Y23" i="5"/>
  <c r="X23" i="5"/>
  <c r="W23" i="5"/>
  <c r="U23" i="5"/>
  <c r="T23" i="5"/>
  <c r="S23" i="5"/>
  <c r="Q23" i="5"/>
  <c r="P23" i="5"/>
  <c r="O23" i="5"/>
  <c r="AS22" i="5"/>
  <c r="AR22" i="5"/>
  <c r="AQ22" i="5"/>
  <c r="AO22" i="5"/>
  <c r="AN22" i="5"/>
  <c r="AM22" i="5"/>
  <c r="AK22" i="5"/>
  <c r="AJ22" i="5"/>
  <c r="AI22" i="5"/>
  <c r="AG22" i="5"/>
  <c r="AF22" i="5"/>
  <c r="AE22" i="5"/>
  <c r="AC22" i="5"/>
  <c r="AB22" i="5"/>
  <c r="AA22" i="5"/>
  <c r="Y22" i="5"/>
  <c r="X22" i="5"/>
  <c r="W22" i="5"/>
  <c r="U22" i="5"/>
  <c r="T22" i="5"/>
  <c r="S22" i="5"/>
  <c r="Q22" i="5"/>
  <c r="P22" i="5"/>
  <c r="O22" i="5"/>
  <c r="AS21" i="5"/>
  <c r="AR21" i="5"/>
  <c r="AQ21" i="5"/>
  <c r="AO21" i="5"/>
  <c r="AN21" i="5"/>
  <c r="AM21" i="5"/>
  <c r="AK21" i="5"/>
  <c r="AJ21" i="5"/>
  <c r="AI21" i="5"/>
  <c r="AG21" i="5"/>
  <c r="AF21" i="5"/>
  <c r="AE21" i="5"/>
  <c r="AC21" i="5"/>
  <c r="AB21" i="5"/>
  <c r="AA21" i="5"/>
  <c r="Y21" i="5"/>
  <c r="X21" i="5"/>
  <c r="W21" i="5"/>
  <c r="U21" i="5"/>
  <c r="T21" i="5"/>
  <c r="S21" i="5"/>
  <c r="Q21" i="5"/>
  <c r="P21" i="5"/>
  <c r="O21" i="5"/>
  <c r="AS20" i="5"/>
  <c r="AR20" i="5"/>
  <c r="AQ20" i="5"/>
  <c r="AO20" i="5"/>
  <c r="AN20" i="5"/>
  <c r="AM20" i="5"/>
  <c r="AK20" i="5"/>
  <c r="AJ20" i="5"/>
  <c r="AI20" i="5"/>
  <c r="AG20" i="5"/>
  <c r="AF20" i="5"/>
  <c r="AE20" i="5"/>
  <c r="AC20" i="5"/>
  <c r="AB20" i="5"/>
  <c r="AA20" i="5"/>
  <c r="Y20" i="5"/>
  <c r="X20" i="5"/>
  <c r="W20" i="5"/>
  <c r="U20" i="5"/>
  <c r="T20" i="5"/>
  <c r="S20" i="5"/>
  <c r="Q20" i="5"/>
  <c r="P20" i="5"/>
  <c r="O20" i="5"/>
  <c r="AS19" i="5"/>
  <c r="AR19" i="5"/>
  <c r="AQ19" i="5"/>
  <c r="AO19" i="5"/>
  <c r="AN19" i="5"/>
  <c r="AM19" i="5"/>
  <c r="AK19" i="5"/>
  <c r="AJ19" i="5"/>
  <c r="AI19" i="5"/>
  <c r="AG19" i="5"/>
  <c r="AF19" i="5"/>
  <c r="AE19" i="5"/>
  <c r="AC19" i="5"/>
  <c r="AB19" i="5"/>
  <c r="AA19" i="5"/>
  <c r="Y19" i="5"/>
  <c r="X19" i="5"/>
  <c r="W19" i="5"/>
  <c r="U19" i="5"/>
  <c r="T19" i="5"/>
  <c r="S19" i="5"/>
  <c r="Q19" i="5"/>
  <c r="P19" i="5"/>
  <c r="O19" i="5"/>
  <c r="AS18" i="5"/>
  <c r="AR18" i="5"/>
  <c r="AQ18" i="5"/>
  <c r="AO18" i="5"/>
  <c r="AN18" i="5"/>
  <c r="AM18" i="5"/>
  <c r="AK18" i="5"/>
  <c r="AJ18" i="5"/>
  <c r="AI18" i="5"/>
  <c r="AG18" i="5"/>
  <c r="AF18" i="5"/>
  <c r="AE18" i="5"/>
  <c r="AC18" i="5"/>
  <c r="AB18" i="5"/>
  <c r="AA18" i="5"/>
  <c r="Y18" i="5"/>
  <c r="X18" i="5"/>
  <c r="W18" i="5"/>
  <c r="U18" i="5"/>
  <c r="T18" i="5"/>
  <c r="S18" i="5"/>
  <c r="Q18" i="5"/>
  <c r="P18" i="5"/>
  <c r="O18" i="5"/>
  <c r="AS17" i="5"/>
  <c r="AR17" i="5"/>
  <c r="AQ17" i="5"/>
  <c r="AO17" i="5"/>
  <c r="AN17" i="5"/>
  <c r="AM17" i="5"/>
  <c r="AK17" i="5"/>
  <c r="AJ17" i="5"/>
  <c r="AI17" i="5"/>
  <c r="AG17" i="5"/>
  <c r="AF17" i="5"/>
  <c r="AE17" i="5"/>
  <c r="AC17" i="5"/>
  <c r="AB17" i="5"/>
  <c r="AA17" i="5"/>
  <c r="Y17" i="5"/>
  <c r="X17" i="5"/>
  <c r="W17" i="5"/>
  <c r="U17" i="5"/>
  <c r="T17" i="5"/>
  <c r="S17" i="5"/>
  <c r="Q17" i="5"/>
  <c r="P17" i="5"/>
  <c r="O17" i="5"/>
  <c r="AS16" i="5"/>
  <c r="AR16" i="5"/>
  <c r="AQ16" i="5"/>
  <c r="AO16" i="5"/>
  <c r="AN16" i="5"/>
  <c r="AM16" i="5"/>
  <c r="AK16" i="5"/>
  <c r="AJ16" i="5"/>
  <c r="AI16" i="5"/>
  <c r="AG16" i="5"/>
  <c r="AF16" i="5"/>
  <c r="AE16" i="5"/>
  <c r="AC16" i="5"/>
  <c r="AB16" i="5"/>
  <c r="AA16" i="5"/>
  <c r="Y16" i="5"/>
  <c r="X16" i="5"/>
  <c r="W16" i="5"/>
  <c r="U16" i="5"/>
  <c r="T16" i="5"/>
  <c r="S16" i="5"/>
  <c r="Q16" i="5"/>
  <c r="P16" i="5"/>
  <c r="O16" i="5"/>
  <c r="AS15" i="5"/>
  <c r="AR15" i="5"/>
  <c r="AQ15" i="5"/>
  <c r="AO15" i="5"/>
  <c r="AN15" i="5"/>
  <c r="AM15" i="5"/>
  <c r="AK15" i="5"/>
  <c r="AJ15" i="5"/>
  <c r="AI15" i="5"/>
  <c r="AG15" i="5"/>
  <c r="AF15" i="5"/>
  <c r="AE15" i="5"/>
  <c r="AC15" i="5"/>
  <c r="AB15" i="5"/>
  <c r="AA15" i="5"/>
  <c r="Y15" i="5"/>
  <c r="X15" i="5"/>
  <c r="W15" i="5"/>
  <c r="U15" i="5"/>
  <c r="T15" i="5"/>
  <c r="S15" i="5"/>
  <c r="Q15" i="5"/>
  <c r="P15" i="5"/>
  <c r="O15" i="5"/>
  <c r="AS14" i="5"/>
  <c r="AR14" i="5"/>
  <c r="AQ14" i="5"/>
  <c r="AO14" i="5"/>
  <c r="AN14" i="5"/>
  <c r="AM14" i="5"/>
  <c r="AK14" i="5"/>
  <c r="AJ14" i="5"/>
  <c r="AI14" i="5"/>
  <c r="AG14" i="5"/>
  <c r="AF14" i="5"/>
  <c r="AE14" i="5"/>
  <c r="AC14" i="5"/>
  <c r="AB14" i="5"/>
  <c r="AA14" i="5"/>
  <c r="Y14" i="5"/>
  <c r="X14" i="5"/>
  <c r="W14" i="5"/>
  <c r="U14" i="5"/>
  <c r="T14" i="5"/>
  <c r="S14" i="5"/>
  <c r="Q14" i="5"/>
  <c r="P14" i="5"/>
  <c r="O14" i="5"/>
  <c r="AS13" i="5"/>
  <c r="AR13" i="5"/>
  <c r="AQ13" i="5"/>
  <c r="AO13" i="5"/>
  <c r="AN13" i="5"/>
  <c r="AM13" i="5"/>
  <c r="AK13" i="5"/>
  <c r="AJ13" i="5"/>
  <c r="AI13" i="5"/>
  <c r="AG13" i="5"/>
  <c r="AF13" i="5"/>
  <c r="AE13" i="5"/>
  <c r="AC13" i="5"/>
  <c r="AB13" i="5"/>
  <c r="AA13" i="5"/>
  <c r="Y13" i="5"/>
  <c r="X13" i="5"/>
  <c r="W13" i="5"/>
  <c r="U13" i="5"/>
  <c r="T13" i="5"/>
  <c r="S13" i="5"/>
  <c r="Q13" i="5"/>
  <c r="P13" i="5"/>
  <c r="O13" i="5"/>
  <c r="AS12" i="5"/>
  <c r="AR12" i="5"/>
  <c r="AQ12" i="5"/>
  <c r="AO12" i="5"/>
  <c r="AN12" i="5"/>
  <c r="AM12" i="5"/>
  <c r="AK12" i="5"/>
  <c r="AK3" i="5" s="1"/>
  <c r="AJ12" i="5"/>
  <c r="AI12" i="5"/>
  <c r="AG12" i="5"/>
  <c r="AG3" i="5" s="1"/>
  <c r="AF12" i="5"/>
  <c r="AE12" i="5"/>
  <c r="AC12" i="5"/>
  <c r="AB12" i="5"/>
  <c r="AA12" i="5"/>
  <c r="Y12" i="5"/>
  <c r="X12" i="5"/>
  <c r="W12" i="5"/>
  <c r="U12" i="5"/>
  <c r="T12" i="5"/>
  <c r="S12" i="5"/>
  <c r="Q12" i="5"/>
  <c r="P12" i="5"/>
  <c r="O12" i="5"/>
  <c r="D11" i="5"/>
  <c r="C11" i="5"/>
  <c r="U7" i="5"/>
  <c r="E194" i="4"/>
  <c r="D194" i="4"/>
  <c r="C194" i="4"/>
  <c r="E193" i="4"/>
  <c r="D193" i="4"/>
  <c r="C193" i="4"/>
  <c r="E192" i="4"/>
  <c r="D192" i="4"/>
  <c r="C192" i="4"/>
  <c r="E191" i="4"/>
  <c r="D191" i="4"/>
  <c r="C191" i="4"/>
  <c r="E190" i="4"/>
  <c r="D190" i="4"/>
  <c r="C190" i="4"/>
  <c r="E189" i="4"/>
  <c r="D189" i="4"/>
  <c r="C189" i="4"/>
  <c r="E188" i="4"/>
  <c r="D188" i="4"/>
  <c r="C188" i="4"/>
  <c r="E187" i="4"/>
  <c r="D187" i="4"/>
  <c r="C187" i="4"/>
  <c r="E186" i="4"/>
  <c r="D186" i="4"/>
  <c r="C186" i="4"/>
  <c r="E185" i="4"/>
  <c r="D185" i="4"/>
  <c r="C185" i="4"/>
  <c r="E184" i="4"/>
  <c r="D184" i="4"/>
  <c r="C184" i="4"/>
  <c r="E183" i="4"/>
  <c r="D183" i="4"/>
  <c r="C183" i="4"/>
  <c r="E182" i="4"/>
  <c r="D182" i="4"/>
  <c r="C182" i="4"/>
  <c r="E181" i="4"/>
  <c r="D181" i="4"/>
  <c r="C181" i="4"/>
  <c r="AS29" i="4"/>
  <c r="AR29" i="4"/>
  <c r="AQ29" i="4"/>
  <c r="AO29" i="4"/>
  <c r="AN29" i="4"/>
  <c r="AM29" i="4"/>
  <c r="AK29" i="4"/>
  <c r="AJ29" i="4"/>
  <c r="AI29" i="4"/>
  <c r="AG29" i="4"/>
  <c r="AF29" i="4"/>
  <c r="AE29" i="4"/>
  <c r="AC29" i="4"/>
  <c r="AB29" i="4"/>
  <c r="AA29" i="4"/>
  <c r="Y29" i="4"/>
  <c r="X29" i="4"/>
  <c r="W29" i="4"/>
  <c r="U29" i="4"/>
  <c r="T29" i="4"/>
  <c r="S29" i="4"/>
  <c r="Q29" i="4"/>
  <c r="P29" i="4"/>
  <c r="O29" i="4"/>
  <c r="AS28" i="4"/>
  <c r="AR28" i="4"/>
  <c r="AQ28" i="4"/>
  <c r="AO28" i="4"/>
  <c r="AN28" i="4"/>
  <c r="AM28" i="4"/>
  <c r="AK28" i="4"/>
  <c r="AJ28" i="4"/>
  <c r="AI28" i="4"/>
  <c r="AG28" i="4"/>
  <c r="AF28" i="4"/>
  <c r="AE28" i="4"/>
  <c r="AC28" i="4"/>
  <c r="AB28" i="4"/>
  <c r="AA28" i="4"/>
  <c r="Y28" i="4"/>
  <c r="X28" i="4"/>
  <c r="W28" i="4"/>
  <c r="U28" i="4"/>
  <c r="T28" i="4"/>
  <c r="S28" i="4"/>
  <c r="Q28" i="4"/>
  <c r="P28" i="4"/>
  <c r="O28" i="4"/>
  <c r="AS27" i="4"/>
  <c r="AR27" i="4"/>
  <c r="AQ27" i="4"/>
  <c r="AO27" i="4"/>
  <c r="AN27" i="4"/>
  <c r="AM27" i="4"/>
  <c r="AK27" i="4"/>
  <c r="AJ27" i="4"/>
  <c r="AI27" i="4"/>
  <c r="AG27" i="4"/>
  <c r="AF27" i="4"/>
  <c r="AE27" i="4"/>
  <c r="AC27" i="4"/>
  <c r="AB27" i="4"/>
  <c r="AA27" i="4"/>
  <c r="Y27" i="4"/>
  <c r="X27" i="4"/>
  <c r="W27" i="4"/>
  <c r="U27" i="4"/>
  <c r="T27" i="4"/>
  <c r="S27" i="4"/>
  <c r="Q27" i="4"/>
  <c r="P27" i="4"/>
  <c r="O27" i="4"/>
  <c r="AS26" i="4"/>
  <c r="AR26" i="4"/>
  <c r="AQ26" i="4"/>
  <c r="AO26" i="4"/>
  <c r="AN26" i="4"/>
  <c r="AM26" i="4"/>
  <c r="AK26" i="4"/>
  <c r="AJ26" i="4"/>
  <c r="AI26" i="4"/>
  <c r="AG26" i="4"/>
  <c r="AF26" i="4"/>
  <c r="AE26" i="4"/>
  <c r="AC26" i="4"/>
  <c r="AB26" i="4"/>
  <c r="AA26" i="4"/>
  <c r="Y26" i="4"/>
  <c r="X26" i="4"/>
  <c r="W26" i="4"/>
  <c r="U26" i="4"/>
  <c r="T26" i="4"/>
  <c r="S26" i="4"/>
  <c r="Q26" i="4"/>
  <c r="P26" i="4"/>
  <c r="O26" i="4"/>
  <c r="AS25" i="4"/>
  <c r="AR25" i="4"/>
  <c r="AQ25" i="4"/>
  <c r="AO25" i="4"/>
  <c r="AN25" i="4"/>
  <c r="AM25" i="4"/>
  <c r="AK25" i="4"/>
  <c r="AJ25" i="4"/>
  <c r="AI25" i="4"/>
  <c r="AG25" i="4"/>
  <c r="AF25" i="4"/>
  <c r="AE25" i="4"/>
  <c r="AC25" i="4"/>
  <c r="AB25" i="4"/>
  <c r="AA25" i="4"/>
  <c r="Y25" i="4"/>
  <c r="X25" i="4"/>
  <c r="W25" i="4"/>
  <c r="U25" i="4"/>
  <c r="T25" i="4"/>
  <c r="S25" i="4"/>
  <c r="Q25" i="4"/>
  <c r="P25" i="4"/>
  <c r="O25" i="4"/>
  <c r="AS24" i="4"/>
  <c r="AR24" i="4"/>
  <c r="AQ24" i="4"/>
  <c r="AO24" i="4"/>
  <c r="AN24" i="4"/>
  <c r="AM24" i="4"/>
  <c r="AK24" i="4"/>
  <c r="AJ24" i="4"/>
  <c r="AI24" i="4"/>
  <c r="AG24" i="4"/>
  <c r="AF24" i="4"/>
  <c r="AE24" i="4"/>
  <c r="AC24" i="4"/>
  <c r="AB24" i="4"/>
  <c r="AA24" i="4"/>
  <c r="Y24" i="4"/>
  <c r="X24" i="4"/>
  <c r="W24" i="4"/>
  <c r="U24" i="4"/>
  <c r="T24" i="4"/>
  <c r="S24" i="4"/>
  <c r="Q24" i="4"/>
  <c r="P24" i="4"/>
  <c r="O24" i="4"/>
  <c r="AS23" i="4"/>
  <c r="AR23" i="4"/>
  <c r="AQ23" i="4"/>
  <c r="AO23" i="4"/>
  <c r="AN23" i="4"/>
  <c r="AM23" i="4"/>
  <c r="AK23" i="4"/>
  <c r="AJ23" i="4"/>
  <c r="AI23" i="4"/>
  <c r="AG23" i="4"/>
  <c r="AF23" i="4"/>
  <c r="AE23" i="4"/>
  <c r="AC23" i="4"/>
  <c r="AB23" i="4"/>
  <c r="AA23" i="4"/>
  <c r="Y23" i="4"/>
  <c r="X23" i="4"/>
  <c r="W23" i="4"/>
  <c r="U23" i="4"/>
  <c r="T23" i="4"/>
  <c r="S23" i="4"/>
  <c r="Q23" i="4"/>
  <c r="P23" i="4"/>
  <c r="O23" i="4"/>
  <c r="AS22" i="4"/>
  <c r="AR22" i="4"/>
  <c r="AQ22" i="4"/>
  <c r="AO22" i="4"/>
  <c r="AN22" i="4"/>
  <c r="AM22" i="4"/>
  <c r="AK22" i="4"/>
  <c r="AJ22" i="4"/>
  <c r="AI22" i="4"/>
  <c r="AG22" i="4"/>
  <c r="AF22" i="4"/>
  <c r="AE22" i="4"/>
  <c r="AC22" i="4"/>
  <c r="AB22" i="4"/>
  <c r="AA22" i="4"/>
  <c r="Y22" i="4"/>
  <c r="X22" i="4"/>
  <c r="W22" i="4"/>
  <c r="U22" i="4"/>
  <c r="T22" i="4"/>
  <c r="S22" i="4"/>
  <c r="Q22" i="4"/>
  <c r="P22" i="4"/>
  <c r="O22" i="4"/>
  <c r="AS21" i="4"/>
  <c r="AR21" i="4"/>
  <c r="AQ21" i="4"/>
  <c r="AO21" i="4"/>
  <c r="AN21" i="4"/>
  <c r="AM21" i="4"/>
  <c r="AK21" i="4"/>
  <c r="AJ21" i="4"/>
  <c r="AI21" i="4"/>
  <c r="AG21" i="4"/>
  <c r="AF21" i="4"/>
  <c r="AE21" i="4"/>
  <c r="AC21" i="4"/>
  <c r="AB21" i="4"/>
  <c r="AA21" i="4"/>
  <c r="Y21" i="4"/>
  <c r="X21" i="4"/>
  <c r="W21" i="4"/>
  <c r="U21" i="4"/>
  <c r="T21" i="4"/>
  <c r="S21" i="4"/>
  <c r="Q21" i="4"/>
  <c r="P21" i="4"/>
  <c r="O21" i="4"/>
  <c r="AS20" i="4"/>
  <c r="AR20" i="4"/>
  <c r="AQ20" i="4"/>
  <c r="AO20" i="4"/>
  <c r="AN20" i="4"/>
  <c r="AM20" i="4"/>
  <c r="AK20" i="4"/>
  <c r="AJ20" i="4"/>
  <c r="AI20" i="4"/>
  <c r="AG20" i="4"/>
  <c r="AF20" i="4"/>
  <c r="AE20" i="4"/>
  <c r="AC20" i="4"/>
  <c r="AB20" i="4"/>
  <c r="AA20" i="4"/>
  <c r="Y20" i="4"/>
  <c r="X20" i="4"/>
  <c r="W20" i="4"/>
  <c r="U20" i="4"/>
  <c r="T20" i="4"/>
  <c r="S20" i="4"/>
  <c r="Q20" i="4"/>
  <c r="P20" i="4"/>
  <c r="O20" i="4"/>
  <c r="AS19" i="4"/>
  <c r="AR19" i="4"/>
  <c r="AQ19" i="4"/>
  <c r="AO19" i="4"/>
  <c r="AN19" i="4"/>
  <c r="AM19" i="4"/>
  <c r="AK19" i="4"/>
  <c r="AJ19" i="4"/>
  <c r="AI19" i="4"/>
  <c r="AG19" i="4"/>
  <c r="AF19" i="4"/>
  <c r="AE19" i="4"/>
  <c r="AC19" i="4"/>
  <c r="AB19" i="4"/>
  <c r="AA19" i="4"/>
  <c r="Y19" i="4"/>
  <c r="X19" i="4"/>
  <c r="W19" i="4"/>
  <c r="U19" i="4"/>
  <c r="T19" i="4"/>
  <c r="S19" i="4"/>
  <c r="Q19" i="4"/>
  <c r="P19" i="4"/>
  <c r="O19" i="4"/>
  <c r="AS18" i="4"/>
  <c r="AR18" i="4"/>
  <c r="AQ18" i="4"/>
  <c r="AO18" i="4"/>
  <c r="AN18" i="4"/>
  <c r="AM18" i="4"/>
  <c r="AK18" i="4"/>
  <c r="AJ18" i="4"/>
  <c r="AI18" i="4"/>
  <c r="AG18" i="4"/>
  <c r="AF18" i="4"/>
  <c r="AE18" i="4"/>
  <c r="AC18" i="4"/>
  <c r="AB18" i="4"/>
  <c r="AA18" i="4"/>
  <c r="Y18" i="4"/>
  <c r="X18" i="4"/>
  <c r="W18" i="4"/>
  <c r="U18" i="4"/>
  <c r="T18" i="4"/>
  <c r="S18" i="4"/>
  <c r="Q18" i="4"/>
  <c r="P18" i="4"/>
  <c r="O18" i="4"/>
  <c r="AS17" i="4"/>
  <c r="AR17" i="4"/>
  <c r="AQ17" i="4"/>
  <c r="AO17" i="4"/>
  <c r="AN17" i="4"/>
  <c r="AM17" i="4"/>
  <c r="AK17" i="4"/>
  <c r="AJ17" i="4"/>
  <c r="AI17" i="4"/>
  <c r="AG17" i="4"/>
  <c r="AF17" i="4"/>
  <c r="AE17" i="4"/>
  <c r="AC17" i="4"/>
  <c r="AB17" i="4"/>
  <c r="AA17" i="4"/>
  <c r="Y17" i="4"/>
  <c r="X17" i="4"/>
  <c r="W17" i="4"/>
  <c r="U17" i="4"/>
  <c r="T17" i="4"/>
  <c r="S17" i="4"/>
  <c r="Q17" i="4"/>
  <c r="P17" i="4"/>
  <c r="O17" i="4"/>
  <c r="AS16" i="4"/>
  <c r="AR16" i="4"/>
  <c r="AQ16" i="4"/>
  <c r="AO16" i="4"/>
  <c r="AN16" i="4"/>
  <c r="AM16" i="4"/>
  <c r="AK16" i="4"/>
  <c r="AJ16" i="4"/>
  <c r="AI16" i="4"/>
  <c r="AG16" i="4"/>
  <c r="AF16" i="4"/>
  <c r="AE16" i="4"/>
  <c r="AC16" i="4"/>
  <c r="AB16" i="4"/>
  <c r="AA16" i="4"/>
  <c r="Y16" i="4"/>
  <c r="X16" i="4"/>
  <c r="W16" i="4"/>
  <c r="U16" i="4"/>
  <c r="T16" i="4"/>
  <c r="S16" i="4"/>
  <c r="Q16" i="4"/>
  <c r="P16" i="4"/>
  <c r="O16" i="4"/>
  <c r="AS15" i="4"/>
  <c r="AR15" i="4"/>
  <c r="AQ15" i="4"/>
  <c r="AO15" i="4"/>
  <c r="AN15" i="4"/>
  <c r="AM15" i="4"/>
  <c r="AK15" i="4"/>
  <c r="AJ15" i="4"/>
  <c r="AI15" i="4"/>
  <c r="AG15" i="4"/>
  <c r="AF15" i="4"/>
  <c r="AE15" i="4"/>
  <c r="AC15" i="4"/>
  <c r="AB15" i="4"/>
  <c r="AA15" i="4"/>
  <c r="Y15" i="4"/>
  <c r="X15" i="4"/>
  <c r="W15" i="4"/>
  <c r="U15" i="4"/>
  <c r="T15" i="4"/>
  <c r="S15" i="4"/>
  <c r="Q15" i="4"/>
  <c r="P15" i="4"/>
  <c r="O15" i="4"/>
  <c r="AS14" i="4"/>
  <c r="AR14" i="4"/>
  <c r="AQ14" i="4"/>
  <c r="AO14" i="4"/>
  <c r="AN14" i="4"/>
  <c r="AM14" i="4"/>
  <c r="AK14" i="4"/>
  <c r="AJ14" i="4"/>
  <c r="AI14" i="4"/>
  <c r="AG14" i="4"/>
  <c r="AF14" i="4"/>
  <c r="AE14" i="4"/>
  <c r="AC14" i="4"/>
  <c r="AB14" i="4"/>
  <c r="AA14" i="4"/>
  <c r="Y14" i="4"/>
  <c r="X14" i="4"/>
  <c r="W14" i="4"/>
  <c r="U14" i="4"/>
  <c r="T14" i="4"/>
  <c r="S14" i="4"/>
  <c r="Q14" i="4"/>
  <c r="P14" i="4"/>
  <c r="O14" i="4"/>
  <c r="AS13" i="4"/>
  <c r="AR13" i="4"/>
  <c r="AQ13" i="4"/>
  <c r="AO13" i="4"/>
  <c r="AN13" i="4"/>
  <c r="AM13" i="4"/>
  <c r="AK13" i="4"/>
  <c r="AJ13" i="4"/>
  <c r="AI13" i="4"/>
  <c r="AG13" i="4"/>
  <c r="AF13" i="4"/>
  <c r="AE13" i="4"/>
  <c r="AC13" i="4"/>
  <c r="AB13" i="4"/>
  <c r="AA13" i="4"/>
  <c r="Y13" i="4"/>
  <c r="X13" i="4"/>
  <c r="W13" i="4"/>
  <c r="U13" i="4"/>
  <c r="T13" i="4"/>
  <c r="S13" i="4"/>
  <c r="Q13" i="4"/>
  <c r="P13" i="4"/>
  <c r="O13" i="4"/>
  <c r="AS12" i="4"/>
  <c r="AR12" i="4"/>
  <c r="AQ12" i="4"/>
  <c r="AO12" i="4"/>
  <c r="AN12" i="4"/>
  <c r="AM12" i="4"/>
  <c r="AK12" i="4"/>
  <c r="AJ12" i="4"/>
  <c r="AI12" i="4"/>
  <c r="AG12" i="4"/>
  <c r="AF12" i="4"/>
  <c r="AE12" i="4"/>
  <c r="AC12" i="4"/>
  <c r="AB12" i="4"/>
  <c r="AA12" i="4"/>
  <c r="Y12" i="4"/>
  <c r="X12" i="4"/>
  <c r="W12" i="4"/>
  <c r="U12" i="4"/>
  <c r="T12" i="4"/>
  <c r="S12" i="4"/>
  <c r="Q12" i="4"/>
  <c r="P12" i="4"/>
  <c r="O12" i="4"/>
  <c r="AS11" i="4"/>
  <c r="AR11" i="4"/>
  <c r="AQ11" i="4"/>
  <c r="AO11" i="4"/>
  <c r="AN11" i="4"/>
  <c r="AM11" i="4"/>
  <c r="AK11" i="4"/>
  <c r="AJ11" i="4"/>
  <c r="AI11" i="4"/>
  <c r="AG11" i="4"/>
  <c r="AF11" i="4"/>
  <c r="AE11" i="4"/>
  <c r="AC11" i="4"/>
  <c r="AB11" i="4"/>
  <c r="AA11" i="4"/>
  <c r="Y11" i="4"/>
  <c r="X11" i="4"/>
  <c r="W11" i="4"/>
  <c r="U11" i="4"/>
  <c r="T11" i="4"/>
  <c r="S11" i="4"/>
  <c r="Q11" i="4"/>
  <c r="P11" i="4"/>
  <c r="O11" i="4"/>
  <c r="AS10" i="4"/>
  <c r="AR10" i="4"/>
  <c r="AQ10" i="4"/>
  <c r="AO10" i="4"/>
  <c r="AN10" i="4"/>
  <c r="AM10" i="4"/>
  <c r="AK10" i="4"/>
  <c r="AK7" i="4" s="1"/>
  <c r="AJ10" i="4"/>
  <c r="AI10" i="4"/>
  <c r="AG10" i="4"/>
  <c r="AF10" i="4"/>
  <c r="AE10" i="4"/>
  <c r="AC10" i="4"/>
  <c r="AB10" i="4"/>
  <c r="AA10" i="4"/>
  <c r="Y10" i="4"/>
  <c r="Y2" i="4" s="1"/>
  <c r="X10" i="4"/>
  <c r="W10" i="4"/>
  <c r="U10" i="4"/>
  <c r="T10" i="4"/>
  <c r="S10" i="4"/>
  <c r="Q10" i="4"/>
  <c r="P10" i="4"/>
  <c r="O10" i="4"/>
  <c r="E9" i="4"/>
  <c r="D9" i="4"/>
  <c r="C9" i="4"/>
  <c r="AS5" i="4"/>
  <c r="AR172" i="2"/>
  <c r="AQ172" i="2"/>
  <c r="AP172" i="2"/>
  <c r="AO172" i="2"/>
  <c r="AN172" i="2"/>
  <c r="AM172" i="2"/>
  <c r="AL172" i="2"/>
  <c r="AK172" i="2"/>
  <c r="AJ172" i="2"/>
  <c r="AI172" i="2"/>
  <c r="AH172" i="2"/>
  <c r="E182" i="5" s="1"/>
  <c r="AG172" i="2"/>
  <c r="AF172" i="2"/>
  <c r="AE172" i="2"/>
  <c r="AD172" i="2"/>
  <c r="E182" i="6" s="1"/>
  <c r="AC172" i="2"/>
  <c r="AB172" i="2"/>
  <c r="AA172" i="2"/>
  <c r="Z172" i="2"/>
  <c r="Y172" i="2"/>
  <c r="X172" i="2"/>
  <c r="W172" i="2"/>
  <c r="V172" i="2"/>
  <c r="U172" i="2"/>
  <c r="T172" i="2"/>
  <c r="S172" i="2"/>
  <c r="R172" i="2"/>
  <c r="Q172" i="2"/>
  <c r="P172" i="2"/>
  <c r="O172" i="2"/>
  <c r="N172" i="2"/>
  <c r="M172" i="2"/>
  <c r="L172" i="2"/>
  <c r="E180" i="4" s="1"/>
  <c r="K172" i="2"/>
  <c r="J172" i="2"/>
  <c r="I172" i="2"/>
  <c r="H172" i="2"/>
  <c r="G172" i="2"/>
  <c r="F172" i="2"/>
  <c r="E172" i="2"/>
  <c r="D172" i="2"/>
  <c r="C172" i="2"/>
  <c r="B172" i="2"/>
  <c r="A172" i="2"/>
  <c r="AR171" i="2"/>
  <c r="AQ171" i="2"/>
  <c r="AP171" i="2"/>
  <c r="AO171" i="2"/>
  <c r="AN171" i="2"/>
  <c r="AM171" i="2"/>
  <c r="AL171" i="2"/>
  <c r="AK171" i="2"/>
  <c r="AJ171" i="2"/>
  <c r="AI171" i="2"/>
  <c r="AH171" i="2"/>
  <c r="E181" i="5" s="1"/>
  <c r="AG171" i="2"/>
  <c r="AF171" i="2"/>
  <c r="AE171" i="2"/>
  <c r="AD171" i="2"/>
  <c r="E181" i="6" s="1"/>
  <c r="AC171" i="2"/>
  <c r="AB171" i="2"/>
  <c r="AA171" i="2"/>
  <c r="Z171" i="2"/>
  <c r="Y171" i="2"/>
  <c r="X171" i="2"/>
  <c r="W171" i="2"/>
  <c r="V171" i="2"/>
  <c r="U171" i="2"/>
  <c r="T171" i="2"/>
  <c r="S171" i="2"/>
  <c r="R171" i="2"/>
  <c r="Q171" i="2"/>
  <c r="P171" i="2"/>
  <c r="O171" i="2"/>
  <c r="N171" i="2"/>
  <c r="M171" i="2"/>
  <c r="L171" i="2"/>
  <c r="E179" i="4" s="1"/>
  <c r="K171" i="2"/>
  <c r="J171" i="2"/>
  <c r="I171" i="2"/>
  <c r="H171" i="2"/>
  <c r="G171" i="2"/>
  <c r="F171" i="2"/>
  <c r="E171" i="2"/>
  <c r="D171" i="2"/>
  <c r="C171" i="2"/>
  <c r="B171" i="2"/>
  <c r="A171" i="2"/>
  <c r="AR170" i="2"/>
  <c r="AQ170" i="2"/>
  <c r="AP170" i="2"/>
  <c r="AO170" i="2"/>
  <c r="AN170" i="2"/>
  <c r="AM170" i="2"/>
  <c r="AL170" i="2"/>
  <c r="AK170" i="2"/>
  <c r="AJ170" i="2"/>
  <c r="AI170" i="2"/>
  <c r="AH170" i="2"/>
  <c r="E180" i="5" s="1"/>
  <c r="AG170" i="2"/>
  <c r="AF170" i="2"/>
  <c r="AE170" i="2"/>
  <c r="AD170" i="2"/>
  <c r="E180" i="6" s="1"/>
  <c r="AC170" i="2"/>
  <c r="AB170" i="2"/>
  <c r="AA170" i="2"/>
  <c r="Z170" i="2"/>
  <c r="Y170" i="2"/>
  <c r="X170" i="2"/>
  <c r="W170" i="2"/>
  <c r="V170" i="2"/>
  <c r="U170" i="2"/>
  <c r="T170" i="2"/>
  <c r="S170" i="2"/>
  <c r="R170" i="2"/>
  <c r="Q170" i="2"/>
  <c r="P170" i="2"/>
  <c r="O170" i="2"/>
  <c r="N170" i="2"/>
  <c r="M170" i="2"/>
  <c r="L170" i="2"/>
  <c r="E178" i="4" s="1"/>
  <c r="K170" i="2"/>
  <c r="J170" i="2"/>
  <c r="I170" i="2"/>
  <c r="H170" i="2"/>
  <c r="G170" i="2"/>
  <c r="F170" i="2"/>
  <c r="E170" i="2"/>
  <c r="D170" i="2"/>
  <c r="C170" i="2"/>
  <c r="B170" i="2"/>
  <c r="A170" i="2"/>
  <c r="AR169" i="2"/>
  <c r="AQ169" i="2"/>
  <c r="AP169" i="2"/>
  <c r="AO169" i="2"/>
  <c r="AN169" i="2"/>
  <c r="AM169" i="2"/>
  <c r="AL169" i="2"/>
  <c r="AK169" i="2"/>
  <c r="AJ169" i="2"/>
  <c r="AI169" i="2"/>
  <c r="AH169" i="2"/>
  <c r="E179" i="5" s="1"/>
  <c r="AG169" i="2"/>
  <c r="AF169" i="2"/>
  <c r="AE169" i="2"/>
  <c r="AD169" i="2"/>
  <c r="E179" i="6" s="1"/>
  <c r="AC169" i="2"/>
  <c r="AB169" i="2"/>
  <c r="AA169" i="2"/>
  <c r="Z169" i="2"/>
  <c r="Y169" i="2"/>
  <c r="X169" i="2"/>
  <c r="W169" i="2"/>
  <c r="V169" i="2"/>
  <c r="U169" i="2"/>
  <c r="T169" i="2"/>
  <c r="S169" i="2"/>
  <c r="R169" i="2"/>
  <c r="Q169" i="2"/>
  <c r="P169" i="2"/>
  <c r="O169" i="2"/>
  <c r="N169" i="2"/>
  <c r="M169" i="2"/>
  <c r="L169" i="2"/>
  <c r="E177" i="4" s="1"/>
  <c r="K169" i="2"/>
  <c r="J169" i="2"/>
  <c r="I169" i="2"/>
  <c r="H169" i="2"/>
  <c r="G169" i="2"/>
  <c r="F169" i="2"/>
  <c r="E169" i="2"/>
  <c r="D169" i="2"/>
  <c r="C169" i="2"/>
  <c r="B169" i="2"/>
  <c r="A169" i="2"/>
  <c r="AR168" i="2"/>
  <c r="AQ168" i="2"/>
  <c r="AP168" i="2"/>
  <c r="AO168" i="2"/>
  <c r="AN168" i="2"/>
  <c r="AM168" i="2"/>
  <c r="AL168" i="2"/>
  <c r="AK168" i="2"/>
  <c r="AJ168" i="2"/>
  <c r="AI168" i="2"/>
  <c r="AH168" i="2"/>
  <c r="E178" i="5" s="1"/>
  <c r="AG168" i="2"/>
  <c r="AF168" i="2"/>
  <c r="AE168" i="2"/>
  <c r="AD168" i="2"/>
  <c r="E178" i="6" s="1"/>
  <c r="AC168" i="2"/>
  <c r="AB168" i="2"/>
  <c r="AA168" i="2"/>
  <c r="Z168" i="2"/>
  <c r="Y168" i="2"/>
  <c r="X168" i="2"/>
  <c r="W168" i="2"/>
  <c r="V168" i="2"/>
  <c r="U168" i="2"/>
  <c r="T168" i="2"/>
  <c r="S168" i="2"/>
  <c r="R168" i="2"/>
  <c r="Q168" i="2"/>
  <c r="P168" i="2"/>
  <c r="O168" i="2"/>
  <c r="N168" i="2"/>
  <c r="M168" i="2"/>
  <c r="L168" i="2"/>
  <c r="E176" i="4" s="1"/>
  <c r="K168" i="2"/>
  <c r="J168" i="2"/>
  <c r="I168" i="2"/>
  <c r="H168" i="2"/>
  <c r="G168" i="2"/>
  <c r="F168" i="2"/>
  <c r="E168" i="2"/>
  <c r="D168" i="2"/>
  <c r="C168" i="2"/>
  <c r="B168" i="2"/>
  <c r="A168" i="2"/>
  <c r="AR167" i="2"/>
  <c r="AQ167" i="2"/>
  <c r="AP167" i="2"/>
  <c r="AO167" i="2"/>
  <c r="AN167" i="2"/>
  <c r="AM167" i="2"/>
  <c r="AL167" i="2"/>
  <c r="AK167" i="2"/>
  <c r="AJ167" i="2"/>
  <c r="AI167" i="2"/>
  <c r="AH167" i="2"/>
  <c r="E177" i="5" s="1"/>
  <c r="AG167" i="2"/>
  <c r="AF167" i="2"/>
  <c r="AE167" i="2"/>
  <c r="AD167" i="2"/>
  <c r="E177" i="6" s="1"/>
  <c r="AC167" i="2"/>
  <c r="AB167" i="2"/>
  <c r="AA167" i="2"/>
  <c r="Z167" i="2"/>
  <c r="Y167" i="2"/>
  <c r="X167" i="2"/>
  <c r="W167" i="2"/>
  <c r="V167" i="2"/>
  <c r="U167" i="2"/>
  <c r="T167" i="2"/>
  <c r="S167" i="2"/>
  <c r="R167" i="2"/>
  <c r="Q167" i="2"/>
  <c r="P167" i="2"/>
  <c r="O167" i="2"/>
  <c r="N167" i="2"/>
  <c r="M167" i="2"/>
  <c r="L167" i="2"/>
  <c r="E175" i="4" s="1"/>
  <c r="K167" i="2"/>
  <c r="J167" i="2"/>
  <c r="I167" i="2"/>
  <c r="H167" i="2"/>
  <c r="G167" i="2"/>
  <c r="F167" i="2"/>
  <c r="E167" i="2"/>
  <c r="D167" i="2"/>
  <c r="C167" i="2"/>
  <c r="B167" i="2"/>
  <c r="A167" i="2"/>
  <c r="AR166" i="2"/>
  <c r="AQ166" i="2"/>
  <c r="AP166" i="2"/>
  <c r="AO166" i="2"/>
  <c r="AN166" i="2"/>
  <c r="AM166" i="2"/>
  <c r="AL166" i="2"/>
  <c r="AK166" i="2"/>
  <c r="AJ166" i="2"/>
  <c r="AI166" i="2"/>
  <c r="AH166" i="2"/>
  <c r="E176" i="5" s="1"/>
  <c r="AG166" i="2"/>
  <c r="AF166" i="2"/>
  <c r="AE166" i="2"/>
  <c r="AD166" i="2"/>
  <c r="E176" i="6" s="1"/>
  <c r="AC166" i="2"/>
  <c r="AB166" i="2"/>
  <c r="AA166" i="2"/>
  <c r="Z166" i="2"/>
  <c r="Y166" i="2"/>
  <c r="X166" i="2"/>
  <c r="W166" i="2"/>
  <c r="V166" i="2"/>
  <c r="U166" i="2"/>
  <c r="T166" i="2"/>
  <c r="S166" i="2"/>
  <c r="R166" i="2"/>
  <c r="Q166" i="2"/>
  <c r="P166" i="2"/>
  <c r="O166" i="2"/>
  <c r="N166" i="2"/>
  <c r="M166" i="2"/>
  <c r="L166" i="2"/>
  <c r="E174" i="4" s="1"/>
  <c r="K166" i="2"/>
  <c r="J166" i="2"/>
  <c r="I166" i="2"/>
  <c r="H166" i="2"/>
  <c r="G166" i="2"/>
  <c r="F166" i="2"/>
  <c r="E166" i="2"/>
  <c r="D166" i="2"/>
  <c r="C166" i="2"/>
  <c r="B166" i="2"/>
  <c r="A166" i="2"/>
  <c r="AR165" i="2"/>
  <c r="AQ165" i="2"/>
  <c r="AP165" i="2"/>
  <c r="AO165" i="2"/>
  <c r="AN165" i="2"/>
  <c r="AM165" i="2"/>
  <c r="AL165" i="2"/>
  <c r="AK165" i="2"/>
  <c r="AJ165" i="2"/>
  <c r="AI165" i="2"/>
  <c r="AH165" i="2"/>
  <c r="E175" i="5" s="1"/>
  <c r="AG165" i="2"/>
  <c r="AF165" i="2"/>
  <c r="AE165" i="2"/>
  <c r="AD165" i="2"/>
  <c r="E175" i="6" s="1"/>
  <c r="AC165" i="2"/>
  <c r="AB165" i="2"/>
  <c r="AA165" i="2"/>
  <c r="Z165" i="2"/>
  <c r="Y165" i="2"/>
  <c r="X165" i="2"/>
  <c r="W165" i="2"/>
  <c r="V165" i="2"/>
  <c r="U165" i="2"/>
  <c r="T165" i="2"/>
  <c r="S165" i="2"/>
  <c r="R165" i="2"/>
  <c r="Q165" i="2"/>
  <c r="P165" i="2"/>
  <c r="O165" i="2"/>
  <c r="N165" i="2"/>
  <c r="M165" i="2"/>
  <c r="L165" i="2"/>
  <c r="E173" i="4" s="1"/>
  <c r="K165" i="2"/>
  <c r="J165" i="2"/>
  <c r="I165" i="2"/>
  <c r="H165" i="2"/>
  <c r="G165" i="2"/>
  <c r="F165" i="2"/>
  <c r="E165" i="2"/>
  <c r="D165" i="2"/>
  <c r="C165" i="2"/>
  <c r="B165" i="2"/>
  <c r="A165" i="2"/>
  <c r="AR164" i="2"/>
  <c r="AQ164" i="2"/>
  <c r="AP164" i="2"/>
  <c r="AO164" i="2"/>
  <c r="AN164" i="2"/>
  <c r="AM164" i="2"/>
  <c r="AL164" i="2"/>
  <c r="AK164" i="2"/>
  <c r="AJ164" i="2"/>
  <c r="AI164" i="2"/>
  <c r="AH164" i="2"/>
  <c r="E174" i="5" s="1"/>
  <c r="AG164" i="2"/>
  <c r="AF164" i="2"/>
  <c r="AE164" i="2"/>
  <c r="AD164" i="2"/>
  <c r="E174" i="6" s="1"/>
  <c r="AC164" i="2"/>
  <c r="AB164" i="2"/>
  <c r="AA164" i="2"/>
  <c r="Z164" i="2"/>
  <c r="Y164" i="2"/>
  <c r="X164" i="2"/>
  <c r="W164" i="2"/>
  <c r="V164" i="2"/>
  <c r="U164" i="2"/>
  <c r="T164" i="2"/>
  <c r="S164" i="2"/>
  <c r="R164" i="2"/>
  <c r="Q164" i="2"/>
  <c r="P164" i="2"/>
  <c r="O164" i="2"/>
  <c r="N164" i="2"/>
  <c r="M164" i="2"/>
  <c r="L164" i="2"/>
  <c r="E172" i="4" s="1"/>
  <c r="K164" i="2"/>
  <c r="J164" i="2"/>
  <c r="I164" i="2"/>
  <c r="H164" i="2"/>
  <c r="G164" i="2"/>
  <c r="F164" i="2"/>
  <c r="E164" i="2"/>
  <c r="D164" i="2"/>
  <c r="C164" i="2"/>
  <c r="B164" i="2"/>
  <c r="A164" i="2"/>
  <c r="AR163" i="2"/>
  <c r="AQ163" i="2"/>
  <c r="AP163" i="2"/>
  <c r="AO163" i="2"/>
  <c r="AN163" i="2"/>
  <c r="AM163" i="2"/>
  <c r="AL163" i="2"/>
  <c r="AK163" i="2"/>
  <c r="AJ163" i="2"/>
  <c r="AI163" i="2"/>
  <c r="AH163" i="2"/>
  <c r="E173" i="5" s="1"/>
  <c r="AG163" i="2"/>
  <c r="AF163" i="2"/>
  <c r="AE163" i="2"/>
  <c r="AD163" i="2"/>
  <c r="E173" i="6" s="1"/>
  <c r="AC163" i="2"/>
  <c r="AB163" i="2"/>
  <c r="AA163" i="2"/>
  <c r="Z163" i="2"/>
  <c r="Y163" i="2"/>
  <c r="X163" i="2"/>
  <c r="W163" i="2"/>
  <c r="V163" i="2"/>
  <c r="U163" i="2"/>
  <c r="T163" i="2"/>
  <c r="S163" i="2"/>
  <c r="R163" i="2"/>
  <c r="Q163" i="2"/>
  <c r="P163" i="2"/>
  <c r="O163" i="2"/>
  <c r="N163" i="2"/>
  <c r="M163" i="2"/>
  <c r="L163" i="2"/>
  <c r="E171" i="4" s="1"/>
  <c r="K163" i="2"/>
  <c r="J163" i="2"/>
  <c r="I163" i="2"/>
  <c r="H163" i="2"/>
  <c r="G163" i="2"/>
  <c r="F163" i="2"/>
  <c r="E163" i="2"/>
  <c r="D163" i="2"/>
  <c r="C163" i="2"/>
  <c r="B163" i="2"/>
  <c r="A163" i="2"/>
  <c r="AR162" i="2"/>
  <c r="AQ162" i="2"/>
  <c r="AP162" i="2"/>
  <c r="AO162" i="2"/>
  <c r="AN162" i="2"/>
  <c r="AM162" i="2"/>
  <c r="AL162" i="2"/>
  <c r="AK162" i="2"/>
  <c r="AJ162" i="2"/>
  <c r="AI162" i="2"/>
  <c r="AH162" i="2"/>
  <c r="E172" i="5" s="1"/>
  <c r="AG162" i="2"/>
  <c r="AF162" i="2"/>
  <c r="AE162" i="2"/>
  <c r="AD162" i="2"/>
  <c r="E172" i="6" s="1"/>
  <c r="AC162" i="2"/>
  <c r="AB162" i="2"/>
  <c r="AA162" i="2"/>
  <c r="Z162" i="2"/>
  <c r="Y162" i="2"/>
  <c r="X162" i="2"/>
  <c r="W162" i="2"/>
  <c r="V162" i="2"/>
  <c r="U162" i="2"/>
  <c r="T162" i="2"/>
  <c r="S162" i="2"/>
  <c r="R162" i="2"/>
  <c r="Q162" i="2"/>
  <c r="P162" i="2"/>
  <c r="O162" i="2"/>
  <c r="N162" i="2"/>
  <c r="M162" i="2"/>
  <c r="L162" i="2"/>
  <c r="E170" i="4" s="1"/>
  <c r="K162" i="2"/>
  <c r="J162" i="2"/>
  <c r="I162" i="2"/>
  <c r="H162" i="2"/>
  <c r="G162" i="2"/>
  <c r="F162" i="2"/>
  <c r="E162" i="2"/>
  <c r="D162" i="2"/>
  <c r="C162" i="2"/>
  <c r="B162" i="2"/>
  <c r="A162" i="2"/>
  <c r="AR161" i="2"/>
  <c r="AQ161" i="2"/>
  <c r="AP161" i="2"/>
  <c r="AO161" i="2"/>
  <c r="AN161" i="2"/>
  <c r="AM161" i="2"/>
  <c r="AL161" i="2"/>
  <c r="AK161" i="2"/>
  <c r="AJ161" i="2"/>
  <c r="AI161" i="2"/>
  <c r="AH161" i="2"/>
  <c r="E171" i="5" s="1"/>
  <c r="AG161" i="2"/>
  <c r="AF161" i="2"/>
  <c r="AE161" i="2"/>
  <c r="AD161" i="2"/>
  <c r="E171" i="6" s="1"/>
  <c r="AC161" i="2"/>
  <c r="AB161" i="2"/>
  <c r="AA161" i="2"/>
  <c r="Z161" i="2"/>
  <c r="Y161" i="2"/>
  <c r="X161" i="2"/>
  <c r="W161" i="2"/>
  <c r="V161" i="2"/>
  <c r="U161" i="2"/>
  <c r="T161" i="2"/>
  <c r="S161" i="2"/>
  <c r="R161" i="2"/>
  <c r="Q161" i="2"/>
  <c r="P161" i="2"/>
  <c r="O161" i="2"/>
  <c r="N161" i="2"/>
  <c r="M161" i="2"/>
  <c r="L161" i="2"/>
  <c r="E169" i="4" s="1"/>
  <c r="K161" i="2"/>
  <c r="J161" i="2"/>
  <c r="I161" i="2"/>
  <c r="H161" i="2"/>
  <c r="G161" i="2"/>
  <c r="F161" i="2"/>
  <c r="E161" i="2"/>
  <c r="D161" i="2"/>
  <c r="C161" i="2"/>
  <c r="B161" i="2"/>
  <c r="A161" i="2"/>
  <c r="AR160" i="2"/>
  <c r="AQ160" i="2"/>
  <c r="AP160" i="2"/>
  <c r="AO160" i="2"/>
  <c r="AN160" i="2"/>
  <c r="AM160" i="2"/>
  <c r="AL160" i="2"/>
  <c r="AK160" i="2"/>
  <c r="AJ160" i="2"/>
  <c r="AI160" i="2"/>
  <c r="AH160" i="2"/>
  <c r="E170" i="5" s="1"/>
  <c r="AG160" i="2"/>
  <c r="AF160" i="2"/>
  <c r="AE160" i="2"/>
  <c r="AD160" i="2"/>
  <c r="E170" i="6" s="1"/>
  <c r="AC160" i="2"/>
  <c r="AB160" i="2"/>
  <c r="AA160" i="2"/>
  <c r="Z160" i="2"/>
  <c r="Y160" i="2"/>
  <c r="X160" i="2"/>
  <c r="W160" i="2"/>
  <c r="V160" i="2"/>
  <c r="U160" i="2"/>
  <c r="T160" i="2"/>
  <c r="S160" i="2"/>
  <c r="R160" i="2"/>
  <c r="Q160" i="2"/>
  <c r="P160" i="2"/>
  <c r="O160" i="2"/>
  <c r="N160" i="2"/>
  <c r="M160" i="2"/>
  <c r="L160" i="2"/>
  <c r="E168" i="4" s="1"/>
  <c r="K160" i="2"/>
  <c r="J160" i="2"/>
  <c r="I160" i="2"/>
  <c r="H160" i="2"/>
  <c r="G160" i="2"/>
  <c r="F160" i="2"/>
  <c r="E160" i="2"/>
  <c r="D160" i="2"/>
  <c r="C160" i="2"/>
  <c r="B160" i="2"/>
  <c r="A160" i="2"/>
  <c r="AR159" i="2"/>
  <c r="AQ159" i="2"/>
  <c r="AP159" i="2"/>
  <c r="AO159" i="2"/>
  <c r="AN159" i="2"/>
  <c r="AM159" i="2"/>
  <c r="AL159" i="2"/>
  <c r="AK159" i="2"/>
  <c r="AJ159" i="2"/>
  <c r="AI159" i="2"/>
  <c r="AH159" i="2"/>
  <c r="E169" i="5" s="1"/>
  <c r="AG159" i="2"/>
  <c r="AF159" i="2"/>
  <c r="AE159" i="2"/>
  <c r="AD159" i="2"/>
  <c r="E169" i="6" s="1"/>
  <c r="AC159" i="2"/>
  <c r="AB159" i="2"/>
  <c r="AA159" i="2"/>
  <c r="Z159" i="2"/>
  <c r="Y159" i="2"/>
  <c r="X159" i="2"/>
  <c r="W159" i="2"/>
  <c r="V159" i="2"/>
  <c r="U159" i="2"/>
  <c r="T159" i="2"/>
  <c r="S159" i="2"/>
  <c r="R159" i="2"/>
  <c r="Q159" i="2"/>
  <c r="P159" i="2"/>
  <c r="O159" i="2"/>
  <c r="N159" i="2"/>
  <c r="M159" i="2"/>
  <c r="L159" i="2"/>
  <c r="E167" i="4" s="1"/>
  <c r="K159" i="2"/>
  <c r="J159" i="2"/>
  <c r="I159" i="2"/>
  <c r="H159" i="2"/>
  <c r="G159" i="2"/>
  <c r="F159" i="2"/>
  <c r="E159" i="2"/>
  <c r="D159" i="2"/>
  <c r="C159" i="2"/>
  <c r="B159" i="2"/>
  <c r="A159" i="2"/>
  <c r="AR158" i="2"/>
  <c r="AQ158" i="2"/>
  <c r="AP158" i="2"/>
  <c r="AO158" i="2"/>
  <c r="AN158" i="2"/>
  <c r="AM158" i="2"/>
  <c r="AL158" i="2"/>
  <c r="AK158" i="2"/>
  <c r="AJ158" i="2"/>
  <c r="AI158" i="2"/>
  <c r="AH158" i="2"/>
  <c r="E168" i="5" s="1"/>
  <c r="AG158" i="2"/>
  <c r="AF158" i="2"/>
  <c r="AE158" i="2"/>
  <c r="AD158" i="2"/>
  <c r="E168" i="6" s="1"/>
  <c r="AC158" i="2"/>
  <c r="AB158" i="2"/>
  <c r="AA158" i="2"/>
  <c r="Z158" i="2"/>
  <c r="Y158" i="2"/>
  <c r="X158" i="2"/>
  <c r="W158" i="2"/>
  <c r="V158" i="2"/>
  <c r="U158" i="2"/>
  <c r="T158" i="2"/>
  <c r="S158" i="2"/>
  <c r="R158" i="2"/>
  <c r="Q158" i="2"/>
  <c r="P158" i="2"/>
  <c r="O158" i="2"/>
  <c r="N158" i="2"/>
  <c r="M158" i="2"/>
  <c r="L158" i="2"/>
  <c r="E166" i="4" s="1"/>
  <c r="K158" i="2"/>
  <c r="J158" i="2"/>
  <c r="I158" i="2"/>
  <c r="H158" i="2"/>
  <c r="G158" i="2"/>
  <c r="F158" i="2"/>
  <c r="E158" i="2"/>
  <c r="D158" i="2"/>
  <c r="C158" i="2"/>
  <c r="B158" i="2"/>
  <c r="A158" i="2"/>
  <c r="AR157" i="2"/>
  <c r="AQ157" i="2"/>
  <c r="AP157" i="2"/>
  <c r="AO157" i="2"/>
  <c r="AN157" i="2"/>
  <c r="AM157" i="2"/>
  <c r="AL157" i="2"/>
  <c r="AK157" i="2"/>
  <c r="AJ157" i="2"/>
  <c r="AI157" i="2"/>
  <c r="AH157" i="2"/>
  <c r="E167" i="5" s="1"/>
  <c r="AG157" i="2"/>
  <c r="AF157" i="2"/>
  <c r="AE157" i="2"/>
  <c r="AD157" i="2"/>
  <c r="E167" i="6" s="1"/>
  <c r="AC157" i="2"/>
  <c r="AB157" i="2"/>
  <c r="AA157" i="2"/>
  <c r="Z157" i="2"/>
  <c r="Y157" i="2"/>
  <c r="X157" i="2"/>
  <c r="W157" i="2"/>
  <c r="V157" i="2"/>
  <c r="U157" i="2"/>
  <c r="T157" i="2"/>
  <c r="S157" i="2"/>
  <c r="R157" i="2"/>
  <c r="Q157" i="2"/>
  <c r="P157" i="2"/>
  <c r="O157" i="2"/>
  <c r="N157" i="2"/>
  <c r="M157" i="2"/>
  <c r="L157" i="2"/>
  <c r="E165" i="4" s="1"/>
  <c r="K157" i="2"/>
  <c r="J157" i="2"/>
  <c r="I157" i="2"/>
  <c r="H157" i="2"/>
  <c r="G157" i="2"/>
  <c r="F157" i="2"/>
  <c r="E157" i="2"/>
  <c r="D157" i="2"/>
  <c r="C157" i="2"/>
  <c r="B157" i="2"/>
  <c r="A157" i="2"/>
  <c r="AR156" i="2"/>
  <c r="AQ156" i="2"/>
  <c r="AP156" i="2"/>
  <c r="AO156" i="2"/>
  <c r="AN156" i="2"/>
  <c r="AM156" i="2"/>
  <c r="AL156" i="2"/>
  <c r="AK156" i="2"/>
  <c r="AJ156" i="2"/>
  <c r="AI156" i="2"/>
  <c r="AH156" i="2"/>
  <c r="E166" i="5" s="1"/>
  <c r="AG156" i="2"/>
  <c r="AF156" i="2"/>
  <c r="AE156" i="2"/>
  <c r="AD156" i="2"/>
  <c r="E166" i="6" s="1"/>
  <c r="AC156" i="2"/>
  <c r="AB156" i="2"/>
  <c r="AA156" i="2"/>
  <c r="Z156" i="2"/>
  <c r="Y156" i="2"/>
  <c r="X156" i="2"/>
  <c r="W156" i="2"/>
  <c r="V156" i="2"/>
  <c r="U156" i="2"/>
  <c r="T156" i="2"/>
  <c r="S156" i="2"/>
  <c r="R156" i="2"/>
  <c r="Q156" i="2"/>
  <c r="P156" i="2"/>
  <c r="O156" i="2"/>
  <c r="N156" i="2"/>
  <c r="M156" i="2"/>
  <c r="L156" i="2"/>
  <c r="E164" i="4" s="1"/>
  <c r="K156" i="2"/>
  <c r="J156" i="2"/>
  <c r="I156" i="2"/>
  <c r="H156" i="2"/>
  <c r="G156" i="2"/>
  <c r="F156" i="2"/>
  <c r="E156" i="2"/>
  <c r="D156" i="2"/>
  <c r="C156" i="2"/>
  <c r="B156" i="2"/>
  <c r="A156" i="2"/>
  <c r="AR155" i="2"/>
  <c r="AQ155" i="2"/>
  <c r="AP155" i="2"/>
  <c r="AO155" i="2"/>
  <c r="AN155" i="2"/>
  <c r="AM155" i="2"/>
  <c r="AL155" i="2"/>
  <c r="AK155" i="2"/>
  <c r="AJ155" i="2"/>
  <c r="AI155" i="2"/>
  <c r="AH155" i="2"/>
  <c r="E165" i="5" s="1"/>
  <c r="AG155" i="2"/>
  <c r="AF155" i="2"/>
  <c r="AE155" i="2"/>
  <c r="AD155" i="2"/>
  <c r="E165" i="6" s="1"/>
  <c r="AC155" i="2"/>
  <c r="AB155" i="2"/>
  <c r="AA155" i="2"/>
  <c r="Z155" i="2"/>
  <c r="Y155" i="2"/>
  <c r="X155" i="2"/>
  <c r="W155" i="2"/>
  <c r="V155" i="2"/>
  <c r="U155" i="2"/>
  <c r="T155" i="2"/>
  <c r="S155" i="2"/>
  <c r="R155" i="2"/>
  <c r="Q155" i="2"/>
  <c r="P155" i="2"/>
  <c r="O155" i="2"/>
  <c r="N155" i="2"/>
  <c r="M155" i="2"/>
  <c r="L155" i="2"/>
  <c r="E163" i="4" s="1"/>
  <c r="K155" i="2"/>
  <c r="J155" i="2"/>
  <c r="I155" i="2"/>
  <c r="H155" i="2"/>
  <c r="G155" i="2"/>
  <c r="F155" i="2"/>
  <c r="E155" i="2"/>
  <c r="D155" i="2"/>
  <c r="C155" i="2"/>
  <c r="B155" i="2"/>
  <c r="A155" i="2"/>
  <c r="AR154" i="2"/>
  <c r="AQ154" i="2"/>
  <c r="AP154" i="2"/>
  <c r="AO154" i="2"/>
  <c r="AN154" i="2"/>
  <c r="AM154" i="2"/>
  <c r="AL154" i="2"/>
  <c r="AK154" i="2"/>
  <c r="AJ154" i="2"/>
  <c r="AI154" i="2"/>
  <c r="AH154" i="2"/>
  <c r="E164" i="5" s="1"/>
  <c r="AG154" i="2"/>
  <c r="AF154" i="2"/>
  <c r="AE154" i="2"/>
  <c r="AD154" i="2"/>
  <c r="E164" i="6" s="1"/>
  <c r="AC154" i="2"/>
  <c r="AB154" i="2"/>
  <c r="AA154" i="2"/>
  <c r="Z154" i="2"/>
  <c r="Y154" i="2"/>
  <c r="X154" i="2"/>
  <c r="W154" i="2"/>
  <c r="V154" i="2"/>
  <c r="U154" i="2"/>
  <c r="T154" i="2"/>
  <c r="S154" i="2"/>
  <c r="R154" i="2"/>
  <c r="Q154" i="2"/>
  <c r="P154" i="2"/>
  <c r="O154" i="2"/>
  <c r="N154" i="2"/>
  <c r="M154" i="2"/>
  <c r="L154" i="2"/>
  <c r="E162" i="4" s="1"/>
  <c r="K154" i="2"/>
  <c r="J154" i="2"/>
  <c r="I154" i="2"/>
  <c r="H154" i="2"/>
  <c r="G154" i="2"/>
  <c r="F154" i="2"/>
  <c r="E154" i="2"/>
  <c r="D154" i="2"/>
  <c r="C154" i="2"/>
  <c r="B154" i="2"/>
  <c r="A154" i="2"/>
  <c r="AR153" i="2"/>
  <c r="AQ153" i="2"/>
  <c r="AP153" i="2"/>
  <c r="AO153" i="2"/>
  <c r="AN153" i="2"/>
  <c r="AM153" i="2"/>
  <c r="AL153" i="2"/>
  <c r="AK153" i="2"/>
  <c r="AJ153" i="2"/>
  <c r="AI153" i="2"/>
  <c r="AH153" i="2"/>
  <c r="E163" i="5" s="1"/>
  <c r="AG153" i="2"/>
  <c r="AF153" i="2"/>
  <c r="AE153" i="2"/>
  <c r="AD153" i="2"/>
  <c r="E163" i="6" s="1"/>
  <c r="AC153" i="2"/>
  <c r="AB153" i="2"/>
  <c r="AA153" i="2"/>
  <c r="Z153" i="2"/>
  <c r="Y153" i="2"/>
  <c r="X153" i="2"/>
  <c r="W153" i="2"/>
  <c r="V153" i="2"/>
  <c r="U153" i="2"/>
  <c r="T153" i="2"/>
  <c r="S153" i="2"/>
  <c r="R153" i="2"/>
  <c r="Q153" i="2"/>
  <c r="P153" i="2"/>
  <c r="O153" i="2"/>
  <c r="N153" i="2"/>
  <c r="M153" i="2"/>
  <c r="L153" i="2"/>
  <c r="E161" i="4" s="1"/>
  <c r="K153" i="2"/>
  <c r="J153" i="2"/>
  <c r="I153" i="2"/>
  <c r="H153" i="2"/>
  <c r="G153" i="2"/>
  <c r="F153" i="2"/>
  <c r="E153" i="2"/>
  <c r="D153" i="2"/>
  <c r="C153" i="2"/>
  <c r="B153" i="2"/>
  <c r="A153" i="2"/>
  <c r="AR152" i="2"/>
  <c r="AQ152" i="2"/>
  <c r="AP152" i="2"/>
  <c r="AO152" i="2"/>
  <c r="AN152" i="2"/>
  <c r="AM152" i="2"/>
  <c r="AL152" i="2"/>
  <c r="AK152" i="2"/>
  <c r="AJ152" i="2"/>
  <c r="AI152" i="2"/>
  <c r="AH152" i="2"/>
  <c r="E162" i="5" s="1"/>
  <c r="AG152" i="2"/>
  <c r="AF152" i="2"/>
  <c r="AE152" i="2"/>
  <c r="AD152" i="2"/>
  <c r="E162" i="6" s="1"/>
  <c r="AC152" i="2"/>
  <c r="AB152" i="2"/>
  <c r="AA152" i="2"/>
  <c r="Z152" i="2"/>
  <c r="Y152" i="2"/>
  <c r="X152" i="2"/>
  <c r="W152" i="2"/>
  <c r="V152" i="2"/>
  <c r="U152" i="2"/>
  <c r="T152" i="2"/>
  <c r="S152" i="2"/>
  <c r="R152" i="2"/>
  <c r="Q152" i="2"/>
  <c r="P152" i="2"/>
  <c r="O152" i="2"/>
  <c r="N152" i="2"/>
  <c r="M152" i="2"/>
  <c r="L152" i="2"/>
  <c r="E160" i="4" s="1"/>
  <c r="K152" i="2"/>
  <c r="J152" i="2"/>
  <c r="I152" i="2"/>
  <c r="H152" i="2"/>
  <c r="G152" i="2"/>
  <c r="F152" i="2"/>
  <c r="E152" i="2"/>
  <c r="D152" i="2"/>
  <c r="C152" i="2"/>
  <c r="B152" i="2"/>
  <c r="A152" i="2"/>
  <c r="AR151" i="2"/>
  <c r="AQ151" i="2"/>
  <c r="AP151" i="2"/>
  <c r="AO151" i="2"/>
  <c r="AN151" i="2"/>
  <c r="AM151" i="2"/>
  <c r="AL151" i="2"/>
  <c r="AK151" i="2"/>
  <c r="AJ151" i="2"/>
  <c r="AI151" i="2"/>
  <c r="AH151" i="2"/>
  <c r="E161" i="5" s="1"/>
  <c r="AG151" i="2"/>
  <c r="AF151" i="2"/>
  <c r="AE151" i="2"/>
  <c r="AD151" i="2"/>
  <c r="E161" i="6" s="1"/>
  <c r="AC151" i="2"/>
  <c r="AB151" i="2"/>
  <c r="AA151" i="2"/>
  <c r="Z151" i="2"/>
  <c r="Y151" i="2"/>
  <c r="X151" i="2"/>
  <c r="W151" i="2"/>
  <c r="V151" i="2"/>
  <c r="U151" i="2"/>
  <c r="T151" i="2"/>
  <c r="S151" i="2"/>
  <c r="R151" i="2"/>
  <c r="Q151" i="2"/>
  <c r="P151" i="2"/>
  <c r="O151" i="2"/>
  <c r="N151" i="2"/>
  <c r="M151" i="2"/>
  <c r="L151" i="2"/>
  <c r="E159" i="4" s="1"/>
  <c r="K151" i="2"/>
  <c r="J151" i="2"/>
  <c r="I151" i="2"/>
  <c r="H151" i="2"/>
  <c r="G151" i="2"/>
  <c r="F151" i="2"/>
  <c r="E151" i="2"/>
  <c r="D151" i="2"/>
  <c r="C151" i="2"/>
  <c r="B151" i="2"/>
  <c r="A151" i="2"/>
  <c r="AR150" i="2"/>
  <c r="AQ150" i="2"/>
  <c r="AP150" i="2"/>
  <c r="AO150" i="2"/>
  <c r="AN150" i="2"/>
  <c r="AM150" i="2"/>
  <c r="AL150" i="2"/>
  <c r="AK150" i="2"/>
  <c r="AJ150" i="2"/>
  <c r="AI150" i="2"/>
  <c r="AH150" i="2"/>
  <c r="E160" i="5" s="1"/>
  <c r="AG150" i="2"/>
  <c r="AF150" i="2"/>
  <c r="AE150" i="2"/>
  <c r="AD150" i="2"/>
  <c r="E160" i="6" s="1"/>
  <c r="AC150" i="2"/>
  <c r="AB150" i="2"/>
  <c r="AA150" i="2"/>
  <c r="Z150" i="2"/>
  <c r="Y150" i="2"/>
  <c r="X150" i="2"/>
  <c r="W150" i="2"/>
  <c r="V150" i="2"/>
  <c r="U150" i="2"/>
  <c r="T150" i="2"/>
  <c r="S150" i="2"/>
  <c r="R150" i="2"/>
  <c r="Q150" i="2"/>
  <c r="P150" i="2"/>
  <c r="O150" i="2"/>
  <c r="N150" i="2"/>
  <c r="M150" i="2"/>
  <c r="L150" i="2"/>
  <c r="E158" i="4" s="1"/>
  <c r="K150" i="2"/>
  <c r="J150" i="2"/>
  <c r="I150" i="2"/>
  <c r="H150" i="2"/>
  <c r="G150" i="2"/>
  <c r="F150" i="2"/>
  <c r="E150" i="2"/>
  <c r="D150" i="2"/>
  <c r="C150" i="2"/>
  <c r="B150" i="2"/>
  <c r="A150" i="2"/>
  <c r="AR149" i="2"/>
  <c r="AQ149" i="2"/>
  <c r="AP149" i="2"/>
  <c r="AO149" i="2"/>
  <c r="AN149" i="2"/>
  <c r="AM149" i="2"/>
  <c r="AL149" i="2"/>
  <c r="AK149" i="2"/>
  <c r="AJ149" i="2"/>
  <c r="AI149" i="2"/>
  <c r="AH149" i="2"/>
  <c r="E159" i="5" s="1"/>
  <c r="AG149" i="2"/>
  <c r="AF149" i="2"/>
  <c r="AE149" i="2"/>
  <c r="AD149" i="2"/>
  <c r="E159" i="6" s="1"/>
  <c r="AC149" i="2"/>
  <c r="AB149" i="2"/>
  <c r="AA149" i="2"/>
  <c r="Z149" i="2"/>
  <c r="Y149" i="2"/>
  <c r="X149" i="2"/>
  <c r="W149" i="2"/>
  <c r="V149" i="2"/>
  <c r="U149" i="2"/>
  <c r="T149" i="2"/>
  <c r="S149" i="2"/>
  <c r="R149" i="2"/>
  <c r="Q149" i="2"/>
  <c r="P149" i="2"/>
  <c r="O149" i="2"/>
  <c r="N149" i="2"/>
  <c r="M149" i="2"/>
  <c r="L149" i="2"/>
  <c r="E157" i="4" s="1"/>
  <c r="K149" i="2"/>
  <c r="J149" i="2"/>
  <c r="I149" i="2"/>
  <c r="H149" i="2"/>
  <c r="G149" i="2"/>
  <c r="F149" i="2"/>
  <c r="E149" i="2"/>
  <c r="D149" i="2"/>
  <c r="C149" i="2"/>
  <c r="B149" i="2"/>
  <c r="A149" i="2"/>
  <c r="AR148" i="2"/>
  <c r="AQ148" i="2"/>
  <c r="AP148" i="2"/>
  <c r="AO148" i="2"/>
  <c r="AN148" i="2"/>
  <c r="AM148" i="2"/>
  <c r="AL148" i="2"/>
  <c r="AK148" i="2"/>
  <c r="AJ148" i="2"/>
  <c r="AI148" i="2"/>
  <c r="AH148" i="2"/>
  <c r="E158" i="5" s="1"/>
  <c r="AG148" i="2"/>
  <c r="AF148" i="2"/>
  <c r="AE148" i="2"/>
  <c r="AD148" i="2"/>
  <c r="E158" i="6" s="1"/>
  <c r="AC148" i="2"/>
  <c r="AB148" i="2"/>
  <c r="AA148" i="2"/>
  <c r="Z148" i="2"/>
  <c r="Y148" i="2"/>
  <c r="X148" i="2"/>
  <c r="W148" i="2"/>
  <c r="V148" i="2"/>
  <c r="U148" i="2"/>
  <c r="T148" i="2"/>
  <c r="S148" i="2"/>
  <c r="R148" i="2"/>
  <c r="Q148" i="2"/>
  <c r="P148" i="2"/>
  <c r="O148" i="2"/>
  <c r="N148" i="2"/>
  <c r="M148" i="2"/>
  <c r="L148" i="2"/>
  <c r="E156" i="4" s="1"/>
  <c r="K148" i="2"/>
  <c r="J148" i="2"/>
  <c r="I148" i="2"/>
  <c r="H148" i="2"/>
  <c r="G148" i="2"/>
  <c r="F148" i="2"/>
  <c r="E148" i="2"/>
  <c r="D148" i="2"/>
  <c r="C148" i="2"/>
  <c r="B148" i="2"/>
  <c r="A148" i="2"/>
  <c r="AR147" i="2"/>
  <c r="AQ147" i="2"/>
  <c r="AP147" i="2"/>
  <c r="AO147" i="2"/>
  <c r="AN147" i="2"/>
  <c r="AM147" i="2"/>
  <c r="AL147" i="2"/>
  <c r="AK147" i="2"/>
  <c r="AJ147" i="2"/>
  <c r="AI147" i="2"/>
  <c r="AH147" i="2"/>
  <c r="E157" i="5" s="1"/>
  <c r="AG147" i="2"/>
  <c r="AF147" i="2"/>
  <c r="AE147" i="2"/>
  <c r="AD147" i="2"/>
  <c r="E157" i="6" s="1"/>
  <c r="AC147" i="2"/>
  <c r="AB147" i="2"/>
  <c r="AA147" i="2"/>
  <c r="Z147" i="2"/>
  <c r="Y147" i="2"/>
  <c r="X147" i="2"/>
  <c r="W147" i="2"/>
  <c r="V147" i="2"/>
  <c r="U147" i="2"/>
  <c r="T147" i="2"/>
  <c r="S147" i="2"/>
  <c r="R147" i="2"/>
  <c r="Q147" i="2"/>
  <c r="P147" i="2"/>
  <c r="O147" i="2"/>
  <c r="N147" i="2"/>
  <c r="M147" i="2"/>
  <c r="L147" i="2"/>
  <c r="E155" i="4" s="1"/>
  <c r="K147" i="2"/>
  <c r="J147" i="2"/>
  <c r="I147" i="2"/>
  <c r="H147" i="2"/>
  <c r="G147" i="2"/>
  <c r="F147" i="2"/>
  <c r="E147" i="2"/>
  <c r="D147" i="2"/>
  <c r="C147" i="2"/>
  <c r="B147" i="2"/>
  <c r="A147" i="2"/>
  <c r="AR146" i="2"/>
  <c r="AQ146" i="2"/>
  <c r="AP146" i="2"/>
  <c r="AO146" i="2"/>
  <c r="AN146" i="2"/>
  <c r="AM146" i="2"/>
  <c r="AL146" i="2"/>
  <c r="AK146" i="2"/>
  <c r="AJ146" i="2"/>
  <c r="AI146" i="2"/>
  <c r="AH146" i="2"/>
  <c r="E156" i="5" s="1"/>
  <c r="AG146" i="2"/>
  <c r="AF146" i="2"/>
  <c r="AE146" i="2"/>
  <c r="AD146" i="2"/>
  <c r="E156" i="6" s="1"/>
  <c r="AC146" i="2"/>
  <c r="AB146" i="2"/>
  <c r="AA146" i="2"/>
  <c r="Z146" i="2"/>
  <c r="Y146" i="2"/>
  <c r="X146" i="2"/>
  <c r="W146" i="2"/>
  <c r="V146" i="2"/>
  <c r="U146" i="2"/>
  <c r="T146" i="2"/>
  <c r="S146" i="2"/>
  <c r="R146" i="2"/>
  <c r="Q146" i="2"/>
  <c r="P146" i="2"/>
  <c r="O146" i="2"/>
  <c r="N146" i="2"/>
  <c r="M146" i="2"/>
  <c r="L146" i="2"/>
  <c r="E154" i="4" s="1"/>
  <c r="K146" i="2"/>
  <c r="J146" i="2"/>
  <c r="I146" i="2"/>
  <c r="H146" i="2"/>
  <c r="G146" i="2"/>
  <c r="F146" i="2"/>
  <c r="E146" i="2"/>
  <c r="D146" i="2"/>
  <c r="C146" i="2"/>
  <c r="B146" i="2"/>
  <c r="A146" i="2"/>
  <c r="AR145" i="2"/>
  <c r="AQ145" i="2"/>
  <c r="AP145" i="2"/>
  <c r="AO145" i="2"/>
  <c r="AN145" i="2"/>
  <c r="AM145" i="2"/>
  <c r="AL145" i="2"/>
  <c r="AK145" i="2"/>
  <c r="AJ145" i="2"/>
  <c r="AI145" i="2"/>
  <c r="AH145" i="2"/>
  <c r="E155" i="5" s="1"/>
  <c r="AG145" i="2"/>
  <c r="AF145" i="2"/>
  <c r="AE145" i="2"/>
  <c r="AD145" i="2"/>
  <c r="E155" i="6" s="1"/>
  <c r="AC145" i="2"/>
  <c r="AB145" i="2"/>
  <c r="AA145" i="2"/>
  <c r="Z145" i="2"/>
  <c r="Y145" i="2"/>
  <c r="X145" i="2"/>
  <c r="W145" i="2"/>
  <c r="V145" i="2"/>
  <c r="U145" i="2"/>
  <c r="T145" i="2"/>
  <c r="S145" i="2"/>
  <c r="R145" i="2"/>
  <c r="Q145" i="2"/>
  <c r="P145" i="2"/>
  <c r="O145" i="2"/>
  <c r="N145" i="2"/>
  <c r="M145" i="2"/>
  <c r="L145" i="2"/>
  <c r="E153" i="4" s="1"/>
  <c r="K145" i="2"/>
  <c r="J145" i="2"/>
  <c r="I145" i="2"/>
  <c r="H145" i="2"/>
  <c r="G145" i="2"/>
  <c r="F145" i="2"/>
  <c r="E145" i="2"/>
  <c r="D145" i="2"/>
  <c r="C145" i="2"/>
  <c r="B145" i="2"/>
  <c r="A145" i="2"/>
  <c r="AR144" i="2"/>
  <c r="AQ144" i="2"/>
  <c r="AP144" i="2"/>
  <c r="AO144" i="2"/>
  <c r="AN144" i="2"/>
  <c r="AM144" i="2"/>
  <c r="AL144" i="2"/>
  <c r="AK144" i="2"/>
  <c r="AJ144" i="2"/>
  <c r="AI144" i="2"/>
  <c r="AH144" i="2"/>
  <c r="E154" i="5" s="1"/>
  <c r="AG144" i="2"/>
  <c r="AF144" i="2"/>
  <c r="AE144" i="2"/>
  <c r="AD144" i="2"/>
  <c r="E154" i="6" s="1"/>
  <c r="AC144" i="2"/>
  <c r="AB144" i="2"/>
  <c r="AA144" i="2"/>
  <c r="Z144" i="2"/>
  <c r="Y144" i="2"/>
  <c r="X144" i="2"/>
  <c r="W144" i="2"/>
  <c r="V144" i="2"/>
  <c r="U144" i="2"/>
  <c r="T144" i="2"/>
  <c r="S144" i="2"/>
  <c r="R144" i="2"/>
  <c r="Q144" i="2"/>
  <c r="P144" i="2"/>
  <c r="O144" i="2"/>
  <c r="N144" i="2"/>
  <c r="M144" i="2"/>
  <c r="L144" i="2"/>
  <c r="E152" i="4" s="1"/>
  <c r="K144" i="2"/>
  <c r="J144" i="2"/>
  <c r="I144" i="2"/>
  <c r="H144" i="2"/>
  <c r="G144" i="2"/>
  <c r="F144" i="2"/>
  <c r="E144" i="2"/>
  <c r="D144" i="2"/>
  <c r="C144" i="2"/>
  <c r="B144" i="2"/>
  <c r="A144" i="2"/>
  <c r="AR143" i="2"/>
  <c r="AQ143" i="2"/>
  <c r="AP143" i="2"/>
  <c r="AO143" i="2"/>
  <c r="AN143" i="2"/>
  <c r="AM143" i="2"/>
  <c r="AL143" i="2"/>
  <c r="AK143" i="2"/>
  <c r="AJ143" i="2"/>
  <c r="AI143" i="2"/>
  <c r="AH143" i="2"/>
  <c r="E153" i="5" s="1"/>
  <c r="AG143" i="2"/>
  <c r="AF143" i="2"/>
  <c r="AE143" i="2"/>
  <c r="AD143" i="2"/>
  <c r="E153" i="6" s="1"/>
  <c r="AC143" i="2"/>
  <c r="AB143" i="2"/>
  <c r="AA143" i="2"/>
  <c r="Z143" i="2"/>
  <c r="Y143" i="2"/>
  <c r="X143" i="2"/>
  <c r="W143" i="2"/>
  <c r="V143" i="2"/>
  <c r="U143" i="2"/>
  <c r="T143" i="2"/>
  <c r="S143" i="2"/>
  <c r="R143" i="2"/>
  <c r="Q143" i="2"/>
  <c r="P143" i="2"/>
  <c r="O143" i="2"/>
  <c r="N143" i="2"/>
  <c r="M143" i="2"/>
  <c r="L143" i="2"/>
  <c r="E151" i="4" s="1"/>
  <c r="K143" i="2"/>
  <c r="J143" i="2"/>
  <c r="I143" i="2"/>
  <c r="H143" i="2"/>
  <c r="G143" i="2"/>
  <c r="F143" i="2"/>
  <c r="E143" i="2"/>
  <c r="D143" i="2"/>
  <c r="C143" i="2"/>
  <c r="B143" i="2"/>
  <c r="A143" i="2"/>
  <c r="AR142" i="2"/>
  <c r="AQ142" i="2"/>
  <c r="AP142" i="2"/>
  <c r="AO142" i="2"/>
  <c r="AN142" i="2"/>
  <c r="AM142" i="2"/>
  <c r="AL142" i="2"/>
  <c r="AK142" i="2"/>
  <c r="AJ142" i="2"/>
  <c r="AI142" i="2"/>
  <c r="AH142" i="2"/>
  <c r="E152" i="5" s="1"/>
  <c r="AG142" i="2"/>
  <c r="AF142" i="2"/>
  <c r="AE142" i="2"/>
  <c r="AD142" i="2"/>
  <c r="E152" i="6" s="1"/>
  <c r="AC142" i="2"/>
  <c r="AB142" i="2"/>
  <c r="AA142" i="2"/>
  <c r="Z142" i="2"/>
  <c r="Y142" i="2"/>
  <c r="X142" i="2"/>
  <c r="W142" i="2"/>
  <c r="V142" i="2"/>
  <c r="U142" i="2"/>
  <c r="T142" i="2"/>
  <c r="S142" i="2"/>
  <c r="R142" i="2"/>
  <c r="Q142" i="2"/>
  <c r="P142" i="2"/>
  <c r="O142" i="2"/>
  <c r="N142" i="2"/>
  <c r="M142" i="2"/>
  <c r="L142" i="2"/>
  <c r="E150" i="4" s="1"/>
  <c r="K142" i="2"/>
  <c r="J142" i="2"/>
  <c r="I142" i="2"/>
  <c r="H142" i="2"/>
  <c r="G142" i="2"/>
  <c r="F142" i="2"/>
  <c r="E142" i="2"/>
  <c r="D142" i="2"/>
  <c r="C142" i="2"/>
  <c r="B142" i="2"/>
  <c r="A142" i="2"/>
  <c r="AR141" i="2"/>
  <c r="AQ141" i="2"/>
  <c r="AP141" i="2"/>
  <c r="AO141" i="2"/>
  <c r="AN141" i="2"/>
  <c r="AM141" i="2"/>
  <c r="AL141" i="2"/>
  <c r="AK141" i="2"/>
  <c r="AJ141" i="2"/>
  <c r="AI141" i="2"/>
  <c r="AH141" i="2"/>
  <c r="E151" i="5" s="1"/>
  <c r="AG141" i="2"/>
  <c r="AF141" i="2"/>
  <c r="AE141" i="2"/>
  <c r="AD141" i="2"/>
  <c r="E151" i="6" s="1"/>
  <c r="AC141" i="2"/>
  <c r="AB141" i="2"/>
  <c r="AA141" i="2"/>
  <c r="Z141" i="2"/>
  <c r="Y141" i="2"/>
  <c r="X141" i="2"/>
  <c r="W141" i="2"/>
  <c r="V141" i="2"/>
  <c r="U141" i="2"/>
  <c r="T141" i="2"/>
  <c r="S141" i="2"/>
  <c r="R141" i="2"/>
  <c r="Q141" i="2"/>
  <c r="P141" i="2"/>
  <c r="O141" i="2"/>
  <c r="N141" i="2"/>
  <c r="M141" i="2"/>
  <c r="L141" i="2"/>
  <c r="E149" i="4" s="1"/>
  <c r="K141" i="2"/>
  <c r="J141" i="2"/>
  <c r="I141" i="2"/>
  <c r="H141" i="2"/>
  <c r="G141" i="2"/>
  <c r="F141" i="2"/>
  <c r="E141" i="2"/>
  <c r="D141" i="2"/>
  <c r="C141" i="2"/>
  <c r="B141" i="2"/>
  <c r="A141" i="2"/>
  <c r="AR140" i="2"/>
  <c r="AQ140" i="2"/>
  <c r="AP140" i="2"/>
  <c r="AO140" i="2"/>
  <c r="AN140" i="2"/>
  <c r="AM140" i="2"/>
  <c r="AL140" i="2"/>
  <c r="AK140" i="2"/>
  <c r="AJ140" i="2"/>
  <c r="AI140" i="2"/>
  <c r="AH140" i="2"/>
  <c r="E150" i="5" s="1"/>
  <c r="AG140" i="2"/>
  <c r="AF140" i="2"/>
  <c r="AE140" i="2"/>
  <c r="AD140" i="2"/>
  <c r="E150" i="6" s="1"/>
  <c r="AC140" i="2"/>
  <c r="AB140" i="2"/>
  <c r="AA140" i="2"/>
  <c r="Z140" i="2"/>
  <c r="Y140" i="2"/>
  <c r="X140" i="2"/>
  <c r="W140" i="2"/>
  <c r="V140" i="2"/>
  <c r="U140" i="2"/>
  <c r="T140" i="2"/>
  <c r="S140" i="2"/>
  <c r="R140" i="2"/>
  <c r="Q140" i="2"/>
  <c r="P140" i="2"/>
  <c r="O140" i="2"/>
  <c r="N140" i="2"/>
  <c r="M140" i="2"/>
  <c r="L140" i="2"/>
  <c r="E148" i="4" s="1"/>
  <c r="K140" i="2"/>
  <c r="J140" i="2"/>
  <c r="I140" i="2"/>
  <c r="H140" i="2"/>
  <c r="G140" i="2"/>
  <c r="F140" i="2"/>
  <c r="E140" i="2"/>
  <c r="D140" i="2"/>
  <c r="C140" i="2"/>
  <c r="B140" i="2"/>
  <c r="A140" i="2"/>
  <c r="AR139" i="2"/>
  <c r="AQ139" i="2"/>
  <c r="AP139" i="2"/>
  <c r="AO139" i="2"/>
  <c r="AN139" i="2"/>
  <c r="AM139" i="2"/>
  <c r="AL139" i="2"/>
  <c r="AK139" i="2"/>
  <c r="AJ139" i="2"/>
  <c r="AI139" i="2"/>
  <c r="AH139" i="2"/>
  <c r="E149" i="5" s="1"/>
  <c r="AG139" i="2"/>
  <c r="AF139" i="2"/>
  <c r="AE139" i="2"/>
  <c r="AD139" i="2"/>
  <c r="E149" i="6" s="1"/>
  <c r="AC139" i="2"/>
  <c r="AB139" i="2"/>
  <c r="AA139" i="2"/>
  <c r="Z139" i="2"/>
  <c r="Y139" i="2"/>
  <c r="X139" i="2"/>
  <c r="W139" i="2"/>
  <c r="V139" i="2"/>
  <c r="U139" i="2"/>
  <c r="T139" i="2"/>
  <c r="S139" i="2"/>
  <c r="R139" i="2"/>
  <c r="Q139" i="2"/>
  <c r="P139" i="2"/>
  <c r="O139" i="2"/>
  <c r="N139" i="2"/>
  <c r="M139" i="2"/>
  <c r="L139" i="2"/>
  <c r="E147" i="4" s="1"/>
  <c r="K139" i="2"/>
  <c r="J139" i="2"/>
  <c r="I139" i="2"/>
  <c r="H139" i="2"/>
  <c r="G139" i="2"/>
  <c r="F139" i="2"/>
  <c r="E139" i="2"/>
  <c r="D139" i="2"/>
  <c r="C139" i="2"/>
  <c r="B139" i="2"/>
  <c r="A139" i="2"/>
  <c r="AR138" i="2"/>
  <c r="AQ138" i="2"/>
  <c r="AP138" i="2"/>
  <c r="AO138" i="2"/>
  <c r="AN138" i="2"/>
  <c r="AM138" i="2"/>
  <c r="AL138" i="2"/>
  <c r="AK138" i="2"/>
  <c r="AJ138" i="2"/>
  <c r="AI138" i="2"/>
  <c r="AH138" i="2"/>
  <c r="E148" i="5" s="1"/>
  <c r="AG138" i="2"/>
  <c r="AF138" i="2"/>
  <c r="AE138" i="2"/>
  <c r="AD138" i="2"/>
  <c r="E148" i="6" s="1"/>
  <c r="AC138" i="2"/>
  <c r="AB138" i="2"/>
  <c r="AA138" i="2"/>
  <c r="Z138" i="2"/>
  <c r="Y138" i="2"/>
  <c r="X138" i="2"/>
  <c r="W138" i="2"/>
  <c r="V138" i="2"/>
  <c r="U138" i="2"/>
  <c r="T138" i="2"/>
  <c r="S138" i="2"/>
  <c r="R138" i="2"/>
  <c r="Q138" i="2"/>
  <c r="P138" i="2"/>
  <c r="O138" i="2"/>
  <c r="N138" i="2"/>
  <c r="M138" i="2"/>
  <c r="L138" i="2"/>
  <c r="E146" i="4" s="1"/>
  <c r="K138" i="2"/>
  <c r="J138" i="2"/>
  <c r="I138" i="2"/>
  <c r="H138" i="2"/>
  <c r="G138" i="2"/>
  <c r="F138" i="2"/>
  <c r="E138" i="2"/>
  <c r="D138" i="2"/>
  <c r="C138" i="2"/>
  <c r="B138" i="2"/>
  <c r="A138" i="2"/>
  <c r="AR137" i="2"/>
  <c r="AQ137" i="2"/>
  <c r="AP137" i="2"/>
  <c r="AO137" i="2"/>
  <c r="AN137" i="2"/>
  <c r="AM137" i="2"/>
  <c r="AL137" i="2"/>
  <c r="AK137" i="2"/>
  <c r="AJ137" i="2"/>
  <c r="AI137" i="2"/>
  <c r="AH137" i="2"/>
  <c r="E147" i="5" s="1"/>
  <c r="AG137" i="2"/>
  <c r="AF137" i="2"/>
  <c r="AE137" i="2"/>
  <c r="AD137" i="2"/>
  <c r="E147" i="6" s="1"/>
  <c r="AC137" i="2"/>
  <c r="AB137" i="2"/>
  <c r="AA137" i="2"/>
  <c r="Z137" i="2"/>
  <c r="Y137" i="2"/>
  <c r="X137" i="2"/>
  <c r="W137" i="2"/>
  <c r="V137" i="2"/>
  <c r="U137" i="2"/>
  <c r="T137" i="2"/>
  <c r="S137" i="2"/>
  <c r="R137" i="2"/>
  <c r="Q137" i="2"/>
  <c r="P137" i="2"/>
  <c r="O137" i="2"/>
  <c r="N137" i="2"/>
  <c r="M137" i="2"/>
  <c r="L137" i="2"/>
  <c r="E145" i="4" s="1"/>
  <c r="K137" i="2"/>
  <c r="J137" i="2"/>
  <c r="I137" i="2"/>
  <c r="H137" i="2"/>
  <c r="G137" i="2"/>
  <c r="F137" i="2"/>
  <c r="E137" i="2"/>
  <c r="D137" i="2"/>
  <c r="C137" i="2"/>
  <c r="B137" i="2"/>
  <c r="A137" i="2"/>
  <c r="AR136" i="2"/>
  <c r="AQ136" i="2"/>
  <c r="AP136" i="2"/>
  <c r="AO136" i="2"/>
  <c r="AN136" i="2"/>
  <c r="AM136" i="2"/>
  <c r="AL136" i="2"/>
  <c r="AK136" i="2"/>
  <c r="AJ136" i="2"/>
  <c r="AI136" i="2"/>
  <c r="AH136" i="2"/>
  <c r="E146" i="5" s="1"/>
  <c r="AG136" i="2"/>
  <c r="AF136" i="2"/>
  <c r="AE136" i="2"/>
  <c r="AD136" i="2"/>
  <c r="E146" i="6" s="1"/>
  <c r="AC136" i="2"/>
  <c r="AB136" i="2"/>
  <c r="AA136" i="2"/>
  <c r="Z136" i="2"/>
  <c r="Y136" i="2"/>
  <c r="X136" i="2"/>
  <c r="W136" i="2"/>
  <c r="V136" i="2"/>
  <c r="U136" i="2"/>
  <c r="T136" i="2"/>
  <c r="S136" i="2"/>
  <c r="R136" i="2"/>
  <c r="Q136" i="2"/>
  <c r="P136" i="2"/>
  <c r="O136" i="2"/>
  <c r="N136" i="2"/>
  <c r="M136" i="2"/>
  <c r="L136" i="2"/>
  <c r="E144" i="4" s="1"/>
  <c r="K136" i="2"/>
  <c r="J136" i="2"/>
  <c r="I136" i="2"/>
  <c r="H136" i="2"/>
  <c r="G136" i="2"/>
  <c r="F136" i="2"/>
  <c r="E136" i="2"/>
  <c r="D136" i="2"/>
  <c r="C136" i="2"/>
  <c r="B136" i="2"/>
  <c r="A136" i="2"/>
  <c r="AR135" i="2"/>
  <c r="AQ135" i="2"/>
  <c r="AP135" i="2"/>
  <c r="AO135" i="2"/>
  <c r="AN135" i="2"/>
  <c r="AM135" i="2"/>
  <c r="AL135" i="2"/>
  <c r="AK135" i="2"/>
  <c r="AJ135" i="2"/>
  <c r="AI135" i="2"/>
  <c r="AH135" i="2"/>
  <c r="E145" i="5" s="1"/>
  <c r="AG135" i="2"/>
  <c r="AF135" i="2"/>
  <c r="AE135" i="2"/>
  <c r="AD135" i="2"/>
  <c r="E145" i="6" s="1"/>
  <c r="AC135" i="2"/>
  <c r="AB135" i="2"/>
  <c r="AA135" i="2"/>
  <c r="Z135" i="2"/>
  <c r="Y135" i="2"/>
  <c r="X135" i="2"/>
  <c r="W135" i="2"/>
  <c r="V135" i="2"/>
  <c r="U135" i="2"/>
  <c r="T135" i="2"/>
  <c r="S135" i="2"/>
  <c r="R135" i="2"/>
  <c r="Q135" i="2"/>
  <c r="P135" i="2"/>
  <c r="O135" i="2"/>
  <c r="N135" i="2"/>
  <c r="M135" i="2"/>
  <c r="L135" i="2"/>
  <c r="E143" i="4" s="1"/>
  <c r="K135" i="2"/>
  <c r="J135" i="2"/>
  <c r="I135" i="2"/>
  <c r="H135" i="2"/>
  <c r="G135" i="2"/>
  <c r="F135" i="2"/>
  <c r="E135" i="2"/>
  <c r="D135" i="2"/>
  <c r="C135" i="2"/>
  <c r="B135" i="2"/>
  <c r="A135" i="2"/>
  <c r="AR134" i="2"/>
  <c r="AQ134" i="2"/>
  <c r="AP134" i="2"/>
  <c r="AO134" i="2"/>
  <c r="AN134" i="2"/>
  <c r="AM134" i="2"/>
  <c r="AL134" i="2"/>
  <c r="AK134" i="2"/>
  <c r="AJ134" i="2"/>
  <c r="AI134" i="2"/>
  <c r="AH134" i="2"/>
  <c r="E144" i="5" s="1"/>
  <c r="AG134" i="2"/>
  <c r="AF134" i="2"/>
  <c r="AE134" i="2"/>
  <c r="AD134" i="2"/>
  <c r="E144" i="6" s="1"/>
  <c r="AC134" i="2"/>
  <c r="AB134" i="2"/>
  <c r="AA134" i="2"/>
  <c r="Z134" i="2"/>
  <c r="Y134" i="2"/>
  <c r="X134" i="2"/>
  <c r="W134" i="2"/>
  <c r="V134" i="2"/>
  <c r="U134" i="2"/>
  <c r="T134" i="2"/>
  <c r="S134" i="2"/>
  <c r="R134" i="2"/>
  <c r="Q134" i="2"/>
  <c r="P134" i="2"/>
  <c r="O134" i="2"/>
  <c r="N134" i="2"/>
  <c r="M134" i="2"/>
  <c r="L134" i="2"/>
  <c r="E142" i="4" s="1"/>
  <c r="K134" i="2"/>
  <c r="J134" i="2"/>
  <c r="I134" i="2"/>
  <c r="H134" i="2"/>
  <c r="G134" i="2"/>
  <c r="F134" i="2"/>
  <c r="E134" i="2"/>
  <c r="D134" i="2"/>
  <c r="C134" i="2"/>
  <c r="B134" i="2"/>
  <c r="A134" i="2"/>
  <c r="AR133" i="2"/>
  <c r="AQ133" i="2"/>
  <c r="AP133" i="2"/>
  <c r="AO133" i="2"/>
  <c r="AN133" i="2"/>
  <c r="AM133" i="2"/>
  <c r="AL133" i="2"/>
  <c r="AK133" i="2"/>
  <c r="AJ133" i="2"/>
  <c r="AI133" i="2"/>
  <c r="AH133" i="2"/>
  <c r="E143" i="5" s="1"/>
  <c r="AG133" i="2"/>
  <c r="AF133" i="2"/>
  <c r="AE133" i="2"/>
  <c r="AD133" i="2"/>
  <c r="E143" i="6" s="1"/>
  <c r="AC133" i="2"/>
  <c r="AB133" i="2"/>
  <c r="AA133" i="2"/>
  <c r="Z133" i="2"/>
  <c r="Y133" i="2"/>
  <c r="X133" i="2"/>
  <c r="W133" i="2"/>
  <c r="V133" i="2"/>
  <c r="U133" i="2"/>
  <c r="T133" i="2"/>
  <c r="S133" i="2"/>
  <c r="R133" i="2"/>
  <c r="Q133" i="2"/>
  <c r="P133" i="2"/>
  <c r="O133" i="2"/>
  <c r="N133" i="2"/>
  <c r="M133" i="2"/>
  <c r="L133" i="2"/>
  <c r="E141" i="4" s="1"/>
  <c r="K133" i="2"/>
  <c r="J133" i="2"/>
  <c r="I133" i="2"/>
  <c r="H133" i="2"/>
  <c r="G133" i="2"/>
  <c r="F133" i="2"/>
  <c r="E133" i="2"/>
  <c r="D133" i="2"/>
  <c r="C133" i="2"/>
  <c r="B133" i="2"/>
  <c r="A133" i="2"/>
  <c r="AR132" i="2"/>
  <c r="AQ132" i="2"/>
  <c r="AP132" i="2"/>
  <c r="AO132" i="2"/>
  <c r="AN132" i="2"/>
  <c r="AM132" i="2"/>
  <c r="AL132" i="2"/>
  <c r="AK132" i="2"/>
  <c r="AJ132" i="2"/>
  <c r="AI132" i="2"/>
  <c r="AH132" i="2"/>
  <c r="E142" i="5" s="1"/>
  <c r="AG132" i="2"/>
  <c r="AF132" i="2"/>
  <c r="AE132" i="2"/>
  <c r="AD132" i="2"/>
  <c r="E142" i="6" s="1"/>
  <c r="AC132" i="2"/>
  <c r="AB132" i="2"/>
  <c r="AA132" i="2"/>
  <c r="Z132" i="2"/>
  <c r="Y132" i="2"/>
  <c r="X132" i="2"/>
  <c r="W132" i="2"/>
  <c r="V132" i="2"/>
  <c r="U132" i="2"/>
  <c r="T132" i="2"/>
  <c r="S132" i="2"/>
  <c r="R132" i="2"/>
  <c r="Q132" i="2"/>
  <c r="P132" i="2"/>
  <c r="O132" i="2"/>
  <c r="N132" i="2"/>
  <c r="M132" i="2"/>
  <c r="L132" i="2"/>
  <c r="E140" i="4" s="1"/>
  <c r="K132" i="2"/>
  <c r="J132" i="2"/>
  <c r="I132" i="2"/>
  <c r="H132" i="2"/>
  <c r="G132" i="2"/>
  <c r="F132" i="2"/>
  <c r="E132" i="2"/>
  <c r="D132" i="2"/>
  <c r="C132" i="2"/>
  <c r="B132" i="2"/>
  <c r="A132" i="2"/>
  <c r="AR131" i="2"/>
  <c r="AQ131" i="2"/>
  <c r="AP131" i="2"/>
  <c r="AO131" i="2"/>
  <c r="AN131" i="2"/>
  <c r="AM131" i="2"/>
  <c r="AL131" i="2"/>
  <c r="AK131" i="2"/>
  <c r="AJ131" i="2"/>
  <c r="AI131" i="2"/>
  <c r="AH131" i="2"/>
  <c r="E141" i="5" s="1"/>
  <c r="AG131" i="2"/>
  <c r="AF131" i="2"/>
  <c r="AE131" i="2"/>
  <c r="AD131" i="2"/>
  <c r="E141" i="6" s="1"/>
  <c r="AC131" i="2"/>
  <c r="AB131" i="2"/>
  <c r="AA131" i="2"/>
  <c r="Z131" i="2"/>
  <c r="Y131" i="2"/>
  <c r="X131" i="2"/>
  <c r="W131" i="2"/>
  <c r="V131" i="2"/>
  <c r="U131" i="2"/>
  <c r="T131" i="2"/>
  <c r="S131" i="2"/>
  <c r="R131" i="2"/>
  <c r="Q131" i="2"/>
  <c r="P131" i="2"/>
  <c r="O131" i="2"/>
  <c r="N131" i="2"/>
  <c r="M131" i="2"/>
  <c r="L131" i="2"/>
  <c r="E139" i="4" s="1"/>
  <c r="K131" i="2"/>
  <c r="J131" i="2"/>
  <c r="I131" i="2"/>
  <c r="H131" i="2"/>
  <c r="G131" i="2"/>
  <c r="F131" i="2"/>
  <c r="E131" i="2"/>
  <c r="D131" i="2"/>
  <c r="C131" i="2"/>
  <c r="B131" i="2"/>
  <c r="A131" i="2"/>
  <c r="AR130" i="2"/>
  <c r="AQ130" i="2"/>
  <c r="AP130" i="2"/>
  <c r="AO130" i="2"/>
  <c r="AN130" i="2"/>
  <c r="AM130" i="2"/>
  <c r="AL130" i="2"/>
  <c r="AK130" i="2"/>
  <c r="AJ130" i="2"/>
  <c r="AI130" i="2"/>
  <c r="AH130" i="2"/>
  <c r="E140" i="5" s="1"/>
  <c r="AG130" i="2"/>
  <c r="AF130" i="2"/>
  <c r="AE130" i="2"/>
  <c r="AD130" i="2"/>
  <c r="E140" i="6" s="1"/>
  <c r="AC130" i="2"/>
  <c r="AB130" i="2"/>
  <c r="AA130" i="2"/>
  <c r="Z130" i="2"/>
  <c r="Y130" i="2"/>
  <c r="X130" i="2"/>
  <c r="W130" i="2"/>
  <c r="V130" i="2"/>
  <c r="U130" i="2"/>
  <c r="T130" i="2"/>
  <c r="S130" i="2"/>
  <c r="R130" i="2"/>
  <c r="Q130" i="2"/>
  <c r="P130" i="2"/>
  <c r="O130" i="2"/>
  <c r="N130" i="2"/>
  <c r="M130" i="2"/>
  <c r="L130" i="2"/>
  <c r="E138" i="4" s="1"/>
  <c r="K130" i="2"/>
  <c r="J130" i="2"/>
  <c r="I130" i="2"/>
  <c r="H130" i="2"/>
  <c r="G130" i="2"/>
  <c r="F130" i="2"/>
  <c r="E130" i="2"/>
  <c r="D130" i="2"/>
  <c r="C130" i="2"/>
  <c r="B130" i="2"/>
  <c r="A130" i="2"/>
  <c r="AR129" i="2"/>
  <c r="AQ129" i="2"/>
  <c r="AP129" i="2"/>
  <c r="AO129" i="2"/>
  <c r="AN129" i="2"/>
  <c r="AM129" i="2"/>
  <c r="AL129" i="2"/>
  <c r="AK129" i="2"/>
  <c r="AJ129" i="2"/>
  <c r="AI129" i="2"/>
  <c r="AH129" i="2"/>
  <c r="E139" i="5" s="1"/>
  <c r="AG129" i="2"/>
  <c r="AF129" i="2"/>
  <c r="AE129" i="2"/>
  <c r="AD129" i="2"/>
  <c r="E139" i="6" s="1"/>
  <c r="AC129" i="2"/>
  <c r="AB129" i="2"/>
  <c r="AA129" i="2"/>
  <c r="Z129" i="2"/>
  <c r="Y129" i="2"/>
  <c r="X129" i="2"/>
  <c r="W129" i="2"/>
  <c r="V129" i="2"/>
  <c r="U129" i="2"/>
  <c r="T129" i="2"/>
  <c r="S129" i="2"/>
  <c r="R129" i="2"/>
  <c r="Q129" i="2"/>
  <c r="P129" i="2"/>
  <c r="O129" i="2"/>
  <c r="N129" i="2"/>
  <c r="M129" i="2"/>
  <c r="L129" i="2"/>
  <c r="E137" i="4" s="1"/>
  <c r="K129" i="2"/>
  <c r="J129" i="2"/>
  <c r="I129" i="2"/>
  <c r="H129" i="2"/>
  <c r="G129" i="2"/>
  <c r="F129" i="2"/>
  <c r="E129" i="2"/>
  <c r="D129" i="2"/>
  <c r="C129" i="2"/>
  <c r="B129" i="2"/>
  <c r="A129" i="2"/>
  <c r="AR128" i="2"/>
  <c r="AQ128" i="2"/>
  <c r="AP128" i="2"/>
  <c r="AO128" i="2"/>
  <c r="AN128" i="2"/>
  <c r="AM128" i="2"/>
  <c r="AL128" i="2"/>
  <c r="AK128" i="2"/>
  <c r="AJ128" i="2"/>
  <c r="AI128" i="2"/>
  <c r="AH128" i="2"/>
  <c r="E138" i="5" s="1"/>
  <c r="AG128" i="2"/>
  <c r="AF128" i="2"/>
  <c r="AE128" i="2"/>
  <c r="AD128" i="2"/>
  <c r="E138" i="6" s="1"/>
  <c r="AC128" i="2"/>
  <c r="AB128" i="2"/>
  <c r="AA128" i="2"/>
  <c r="Z128" i="2"/>
  <c r="Y128" i="2"/>
  <c r="X128" i="2"/>
  <c r="W128" i="2"/>
  <c r="V128" i="2"/>
  <c r="U128" i="2"/>
  <c r="T128" i="2"/>
  <c r="S128" i="2"/>
  <c r="R128" i="2"/>
  <c r="Q128" i="2"/>
  <c r="P128" i="2"/>
  <c r="O128" i="2"/>
  <c r="N128" i="2"/>
  <c r="M128" i="2"/>
  <c r="L128" i="2"/>
  <c r="E136" i="4" s="1"/>
  <c r="K128" i="2"/>
  <c r="J128" i="2"/>
  <c r="I128" i="2"/>
  <c r="H128" i="2"/>
  <c r="G128" i="2"/>
  <c r="F128" i="2"/>
  <c r="E128" i="2"/>
  <c r="D128" i="2"/>
  <c r="C128" i="2"/>
  <c r="B128" i="2"/>
  <c r="A128" i="2"/>
  <c r="AR127" i="2"/>
  <c r="AQ127" i="2"/>
  <c r="AP127" i="2"/>
  <c r="AO127" i="2"/>
  <c r="AN127" i="2"/>
  <c r="AM127" i="2"/>
  <c r="AL127" i="2"/>
  <c r="AK127" i="2"/>
  <c r="AJ127" i="2"/>
  <c r="AI127" i="2"/>
  <c r="AH127" i="2"/>
  <c r="E137" i="5" s="1"/>
  <c r="AG127" i="2"/>
  <c r="AF127" i="2"/>
  <c r="AE127" i="2"/>
  <c r="AD127" i="2"/>
  <c r="E137" i="6" s="1"/>
  <c r="AC127" i="2"/>
  <c r="AB127" i="2"/>
  <c r="AA127" i="2"/>
  <c r="Z127" i="2"/>
  <c r="Y127" i="2"/>
  <c r="X127" i="2"/>
  <c r="W127" i="2"/>
  <c r="V127" i="2"/>
  <c r="U127" i="2"/>
  <c r="T127" i="2"/>
  <c r="S127" i="2"/>
  <c r="R127" i="2"/>
  <c r="Q127" i="2"/>
  <c r="P127" i="2"/>
  <c r="O127" i="2"/>
  <c r="N127" i="2"/>
  <c r="M127" i="2"/>
  <c r="L127" i="2"/>
  <c r="E135" i="4" s="1"/>
  <c r="K127" i="2"/>
  <c r="J127" i="2"/>
  <c r="I127" i="2"/>
  <c r="H127" i="2"/>
  <c r="G127" i="2"/>
  <c r="F127" i="2"/>
  <c r="E127" i="2"/>
  <c r="D127" i="2"/>
  <c r="C127" i="2"/>
  <c r="B127" i="2"/>
  <c r="A127" i="2"/>
  <c r="AR126" i="2"/>
  <c r="AQ126" i="2"/>
  <c r="AP126" i="2"/>
  <c r="AO126" i="2"/>
  <c r="AN126" i="2"/>
  <c r="AM126" i="2"/>
  <c r="AL126" i="2"/>
  <c r="AK126" i="2"/>
  <c r="AJ126" i="2"/>
  <c r="AI126" i="2"/>
  <c r="AH126" i="2"/>
  <c r="E136" i="5" s="1"/>
  <c r="AG126" i="2"/>
  <c r="AF126" i="2"/>
  <c r="AE126" i="2"/>
  <c r="AD126" i="2"/>
  <c r="E136" i="6" s="1"/>
  <c r="AC126" i="2"/>
  <c r="AB126" i="2"/>
  <c r="AA126" i="2"/>
  <c r="Z126" i="2"/>
  <c r="Y126" i="2"/>
  <c r="X126" i="2"/>
  <c r="W126" i="2"/>
  <c r="V126" i="2"/>
  <c r="U126" i="2"/>
  <c r="T126" i="2"/>
  <c r="S126" i="2"/>
  <c r="R126" i="2"/>
  <c r="Q126" i="2"/>
  <c r="P126" i="2"/>
  <c r="O126" i="2"/>
  <c r="N126" i="2"/>
  <c r="M126" i="2"/>
  <c r="L126" i="2"/>
  <c r="E134" i="4" s="1"/>
  <c r="K126" i="2"/>
  <c r="J126" i="2"/>
  <c r="I126" i="2"/>
  <c r="H126" i="2"/>
  <c r="G126" i="2"/>
  <c r="F126" i="2"/>
  <c r="E126" i="2"/>
  <c r="D126" i="2"/>
  <c r="C126" i="2"/>
  <c r="B126" i="2"/>
  <c r="A126" i="2"/>
  <c r="AR125" i="2"/>
  <c r="AQ125" i="2"/>
  <c r="AP125" i="2"/>
  <c r="AO125" i="2"/>
  <c r="AN125" i="2"/>
  <c r="AM125" i="2"/>
  <c r="AL125" i="2"/>
  <c r="AK125" i="2"/>
  <c r="AJ125" i="2"/>
  <c r="AI125" i="2"/>
  <c r="AH125" i="2"/>
  <c r="E135" i="5" s="1"/>
  <c r="AG125" i="2"/>
  <c r="AF125" i="2"/>
  <c r="AE125" i="2"/>
  <c r="AD125" i="2"/>
  <c r="E135" i="6" s="1"/>
  <c r="AC125" i="2"/>
  <c r="AB125" i="2"/>
  <c r="AA125" i="2"/>
  <c r="Z125" i="2"/>
  <c r="Y125" i="2"/>
  <c r="X125" i="2"/>
  <c r="W125" i="2"/>
  <c r="V125" i="2"/>
  <c r="U125" i="2"/>
  <c r="T125" i="2"/>
  <c r="S125" i="2"/>
  <c r="R125" i="2"/>
  <c r="Q125" i="2"/>
  <c r="P125" i="2"/>
  <c r="O125" i="2"/>
  <c r="N125" i="2"/>
  <c r="M125" i="2"/>
  <c r="L125" i="2"/>
  <c r="E133" i="4" s="1"/>
  <c r="K125" i="2"/>
  <c r="J125" i="2"/>
  <c r="I125" i="2"/>
  <c r="H125" i="2"/>
  <c r="G125" i="2"/>
  <c r="F125" i="2"/>
  <c r="E125" i="2"/>
  <c r="D125" i="2"/>
  <c r="C125" i="2"/>
  <c r="B125" i="2"/>
  <c r="A125" i="2"/>
  <c r="AR124" i="2"/>
  <c r="AQ124" i="2"/>
  <c r="AP124" i="2"/>
  <c r="AO124" i="2"/>
  <c r="AN124" i="2"/>
  <c r="AM124" i="2"/>
  <c r="AL124" i="2"/>
  <c r="AK124" i="2"/>
  <c r="AJ124" i="2"/>
  <c r="AI124" i="2"/>
  <c r="AH124" i="2"/>
  <c r="E134" i="5" s="1"/>
  <c r="AG124" i="2"/>
  <c r="AF124" i="2"/>
  <c r="AE124" i="2"/>
  <c r="AD124" i="2"/>
  <c r="E134" i="6" s="1"/>
  <c r="AC124" i="2"/>
  <c r="AB124" i="2"/>
  <c r="AA124" i="2"/>
  <c r="Z124" i="2"/>
  <c r="Y124" i="2"/>
  <c r="X124" i="2"/>
  <c r="W124" i="2"/>
  <c r="V124" i="2"/>
  <c r="U124" i="2"/>
  <c r="T124" i="2"/>
  <c r="S124" i="2"/>
  <c r="R124" i="2"/>
  <c r="Q124" i="2"/>
  <c r="P124" i="2"/>
  <c r="O124" i="2"/>
  <c r="N124" i="2"/>
  <c r="M124" i="2"/>
  <c r="L124" i="2"/>
  <c r="E132" i="4" s="1"/>
  <c r="K124" i="2"/>
  <c r="J124" i="2"/>
  <c r="I124" i="2"/>
  <c r="H124" i="2"/>
  <c r="G124" i="2"/>
  <c r="F124" i="2"/>
  <c r="E124" i="2"/>
  <c r="D124" i="2"/>
  <c r="C124" i="2"/>
  <c r="B124" i="2"/>
  <c r="A124" i="2"/>
  <c r="AR123" i="2"/>
  <c r="AQ123" i="2"/>
  <c r="AP123" i="2"/>
  <c r="AO123" i="2"/>
  <c r="AN123" i="2"/>
  <c r="AM123" i="2"/>
  <c r="AL123" i="2"/>
  <c r="AK123" i="2"/>
  <c r="AJ123" i="2"/>
  <c r="AI123" i="2"/>
  <c r="AH123" i="2"/>
  <c r="E133" i="5" s="1"/>
  <c r="AG123" i="2"/>
  <c r="AF123" i="2"/>
  <c r="AE123" i="2"/>
  <c r="AD123" i="2"/>
  <c r="E133" i="6" s="1"/>
  <c r="AC123" i="2"/>
  <c r="AB123" i="2"/>
  <c r="AA123" i="2"/>
  <c r="Z123" i="2"/>
  <c r="Y123" i="2"/>
  <c r="X123" i="2"/>
  <c r="W123" i="2"/>
  <c r="V123" i="2"/>
  <c r="U123" i="2"/>
  <c r="T123" i="2"/>
  <c r="S123" i="2"/>
  <c r="R123" i="2"/>
  <c r="Q123" i="2"/>
  <c r="P123" i="2"/>
  <c r="O123" i="2"/>
  <c r="N123" i="2"/>
  <c r="M123" i="2"/>
  <c r="L123" i="2"/>
  <c r="E131" i="4" s="1"/>
  <c r="K123" i="2"/>
  <c r="J123" i="2"/>
  <c r="I123" i="2"/>
  <c r="H123" i="2"/>
  <c r="G123" i="2"/>
  <c r="F123" i="2"/>
  <c r="E123" i="2"/>
  <c r="D123" i="2"/>
  <c r="C123" i="2"/>
  <c r="B123" i="2"/>
  <c r="A123" i="2"/>
  <c r="AR122" i="2"/>
  <c r="AQ122" i="2"/>
  <c r="AP122" i="2"/>
  <c r="AO122" i="2"/>
  <c r="AN122" i="2"/>
  <c r="AM122" i="2"/>
  <c r="AL122" i="2"/>
  <c r="AK122" i="2"/>
  <c r="AJ122" i="2"/>
  <c r="AI122" i="2"/>
  <c r="AH122" i="2"/>
  <c r="E132" i="5" s="1"/>
  <c r="AG122" i="2"/>
  <c r="AF122" i="2"/>
  <c r="AE122" i="2"/>
  <c r="AD122" i="2"/>
  <c r="E132" i="6" s="1"/>
  <c r="AC122" i="2"/>
  <c r="AB122" i="2"/>
  <c r="AA122" i="2"/>
  <c r="Z122" i="2"/>
  <c r="Y122" i="2"/>
  <c r="X122" i="2"/>
  <c r="W122" i="2"/>
  <c r="V122" i="2"/>
  <c r="U122" i="2"/>
  <c r="T122" i="2"/>
  <c r="S122" i="2"/>
  <c r="R122" i="2"/>
  <c r="Q122" i="2"/>
  <c r="P122" i="2"/>
  <c r="O122" i="2"/>
  <c r="N122" i="2"/>
  <c r="M122" i="2"/>
  <c r="L122" i="2"/>
  <c r="E130" i="4" s="1"/>
  <c r="K122" i="2"/>
  <c r="J122" i="2"/>
  <c r="I122" i="2"/>
  <c r="H122" i="2"/>
  <c r="G122" i="2"/>
  <c r="F122" i="2"/>
  <c r="E122" i="2"/>
  <c r="D122" i="2"/>
  <c r="C122" i="2"/>
  <c r="B122" i="2"/>
  <c r="A122" i="2"/>
  <c r="AR121" i="2"/>
  <c r="AQ121" i="2"/>
  <c r="AP121" i="2"/>
  <c r="AO121" i="2"/>
  <c r="AN121" i="2"/>
  <c r="AM121" i="2"/>
  <c r="AL121" i="2"/>
  <c r="AK121" i="2"/>
  <c r="AJ121" i="2"/>
  <c r="AI121" i="2"/>
  <c r="AH121" i="2"/>
  <c r="E131" i="5" s="1"/>
  <c r="AG121" i="2"/>
  <c r="AF121" i="2"/>
  <c r="AE121" i="2"/>
  <c r="AD121" i="2"/>
  <c r="E131" i="6" s="1"/>
  <c r="AC121" i="2"/>
  <c r="AB121" i="2"/>
  <c r="AA121" i="2"/>
  <c r="Z121" i="2"/>
  <c r="Y121" i="2"/>
  <c r="X121" i="2"/>
  <c r="W121" i="2"/>
  <c r="V121" i="2"/>
  <c r="U121" i="2"/>
  <c r="T121" i="2"/>
  <c r="S121" i="2"/>
  <c r="R121" i="2"/>
  <c r="Q121" i="2"/>
  <c r="P121" i="2"/>
  <c r="O121" i="2"/>
  <c r="N121" i="2"/>
  <c r="M121" i="2"/>
  <c r="L121" i="2"/>
  <c r="E129" i="4" s="1"/>
  <c r="K121" i="2"/>
  <c r="J121" i="2"/>
  <c r="I121" i="2"/>
  <c r="H121" i="2"/>
  <c r="G121" i="2"/>
  <c r="F121" i="2"/>
  <c r="E121" i="2"/>
  <c r="D121" i="2"/>
  <c r="C121" i="2"/>
  <c r="B121" i="2"/>
  <c r="A121" i="2"/>
  <c r="AR120" i="2"/>
  <c r="AQ120" i="2"/>
  <c r="AP120" i="2"/>
  <c r="AO120" i="2"/>
  <c r="AN120" i="2"/>
  <c r="AM120" i="2"/>
  <c r="AL120" i="2"/>
  <c r="AK120" i="2"/>
  <c r="AJ120" i="2"/>
  <c r="AI120" i="2"/>
  <c r="AH120" i="2"/>
  <c r="E130" i="5" s="1"/>
  <c r="AG120" i="2"/>
  <c r="AF120" i="2"/>
  <c r="AE120" i="2"/>
  <c r="AD120" i="2"/>
  <c r="E130" i="6" s="1"/>
  <c r="AC120" i="2"/>
  <c r="AB120" i="2"/>
  <c r="AA120" i="2"/>
  <c r="Z120" i="2"/>
  <c r="Y120" i="2"/>
  <c r="X120" i="2"/>
  <c r="W120" i="2"/>
  <c r="V120" i="2"/>
  <c r="U120" i="2"/>
  <c r="T120" i="2"/>
  <c r="S120" i="2"/>
  <c r="R120" i="2"/>
  <c r="Q120" i="2"/>
  <c r="P120" i="2"/>
  <c r="O120" i="2"/>
  <c r="N120" i="2"/>
  <c r="M120" i="2"/>
  <c r="L120" i="2"/>
  <c r="E128" i="4" s="1"/>
  <c r="K120" i="2"/>
  <c r="J120" i="2"/>
  <c r="I120" i="2"/>
  <c r="H120" i="2"/>
  <c r="G120" i="2"/>
  <c r="F120" i="2"/>
  <c r="E120" i="2"/>
  <c r="D120" i="2"/>
  <c r="C120" i="2"/>
  <c r="B120" i="2"/>
  <c r="A120" i="2"/>
  <c r="AR119" i="2"/>
  <c r="AQ119" i="2"/>
  <c r="AP119" i="2"/>
  <c r="AO119" i="2"/>
  <c r="AN119" i="2"/>
  <c r="AM119" i="2"/>
  <c r="AL119" i="2"/>
  <c r="AK119" i="2"/>
  <c r="AJ119" i="2"/>
  <c r="AI119" i="2"/>
  <c r="AH119" i="2"/>
  <c r="E129" i="5" s="1"/>
  <c r="AG119" i="2"/>
  <c r="AF119" i="2"/>
  <c r="AE119" i="2"/>
  <c r="AD119" i="2"/>
  <c r="E129" i="6" s="1"/>
  <c r="AC119" i="2"/>
  <c r="AB119" i="2"/>
  <c r="AA119" i="2"/>
  <c r="Z119" i="2"/>
  <c r="Y119" i="2"/>
  <c r="X119" i="2"/>
  <c r="W119" i="2"/>
  <c r="V119" i="2"/>
  <c r="U119" i="2"/>
  <c r="T119" i="2"/>
  <c r="S119" i="2"/>
  <c r="R119" i="2"/>
  <c r="Q119" i="2"/>
  <c r="P119" i="2"/>
  <c r="O119" i="2"/>
  <c r="N119" i="2"/>
  <c r="M119" i="2"/>
  <c r="L119" i="2"/>
  <c r="E127" i="4" s="1"/>
  <c r="K119" i="2"/>
  <c r="J119" i="2"/>
  <c r="I119" i="2"/>
  <c r="H119" i="2"/>
  <c r="G119" i="2"/>
  <c r="F119" i="2"/>
  <c r="E119" i="2"/>
  <c r="D119" i="2"/>
  <c r="C119" i="2"/>
  <c r="B119" i="2"/>
  <c r="A119" i="2"/>
  <c r="AR118" i="2"/>
  <c r="AQ118" i="2"/>
  <c r="AP118" i="2"/>
  <c r="AO118" i="2"/>
  <c r="AN118" i="2"/>
  <c r="AM118" i="2"/>
  <c r="AL118" i="2"/>
  <c r="AK118" i="2"/>
  <c r="AJ118" i="2"/>
  <c r="AI118" i="2"/>
  <c r="AH118" i="2"/>
  <c r="E128" i="5" s="1"/>
  <c r="AG118" i="2"/>
  <c r="AF118" i="2"/>
  <c r="AE118" i="2"/>
  <c r="AD118" i="2"/>
  <c r="E128" i="6" s="1"/>
  <c r="AC118" i="2"/>
  <c r="AB118" i="2"/>
  <c r="AA118" i="2"/>
  <c r="Z118" i="2"/>
  <c r="Y118" i="2"/>
  <c r="X118" i="2"/>
  <c r="W118" i="2"/>
  <c r="V118" i="2"/>
  <c r="U118" i="2"/>
  <c r="T118" i="2"/>
  <c r="S118" i="2"/>
  <c r="R118" i="2"/>
  <c r="Q118" i="2"/>
  <c r="P118" i="2"/>
  <c r="O118" i="2"/>
  <c r="N118" i="2"/>
  <c r="M118" i="2"/>
  <c r="L118" i="2"/>
  <c r="E126" i="4" s="1"/>
  <c r="K118" i="2"/>
  <c r="J118" i="2"/>
  <c r="I118" i="2"/>
  <c r="H118" i="2"/>
  <c r="G118" i="2"/>
  <c r="F118" i="2"/>
  <c r="E118" i="2"/>
  <c r="D118" i="2"/>
  <c r="C118" i="2"/>
  <c r="B118" i="2"/>
  <c r="A118" i="2"/>
  <c r="AR117" i="2"/>
  <c r="AQ117" i="2"/>
  <c r="AP117" i="2"/>
  <c r="AO117" i="2"/>
  <c r="AN117" i="2"/>
  <c r="AM117" i="2"/>
  <c r="AL117" i="2"/>
  <c r="AK117" i="2"/>
  <c r="AJ117" i="2"/>
  <c r="AI117" i="2"/>
  <c r="AH117" i="2"/>
  <c r="E127" i="5" s="1"/>
  <c r="AG117" i="2"/>
  <c r="AF117" i="2"/>
  <c r="AE117" i="2"/>
  <c r="AD117" i="2"/>
  <c r="E127" i="6" s="1"/>
  <c r="AC117" i="2"/>
  <c r="AB117" i="2"/>
  <c r="AA117" i="2"/>
  <c r="Z117" i="2"/>
  <c r="Y117" i="2"/>
  <c r="X117" i="2"/>
  <c r="W117" i="2"/>
  <c r="V117" i="2"/>
  <c r="U117" i="2"/>
  <c r="T117" i="2"/>
  <c r="S117" i="2"/>
  <c r="R117" i="2"/>
  <c r="Q117" i="2"/>
  <c r="P117" i="2"/>
  <c r="O117" i="2"/>
  <c r="N117" i="2"/>
  <c r="M117" i="2"/>
  <c r="L117" i="2"/>
  <c r="E125" i="4" s="1"/>
  <c r="K117" i="2"/>
  <c r="J117" i="2"/>
  <c r="I117" i="2"/>
  <c r="H117" i="2"/>
  <c r="G117" i="2"/>
  <c r="F117" i="2"/>
  <c r="E117" i="2"/>
  <c r="D117" i="2"/>
  <c r="C117" i="2"/>
  <c r="B117" i="2"/>
  <c r="A117" i="2"/>
  <c r="AR116" i="2"/>
  <c r="AQ116" i="2"/>
  <c r="AP116" i="2"/>
  <c r="AO116" i="2"/>
  <c r="AN116" i="2"/>
  <c r="AM116" i="2"/>
  <c r="AL116" i="2"/>
  <c r="AK116" i="2"/>
  <c r="AJ116" i="2"/>
  <c r="AI116" i="2"/>
  <c r="AH116" i="2"/>
  <c r="E126" i="5" s="1"/>
  <c r="AG116" i="2"/>
  <c r="AF116" i="2"/>
  <c r="AE116" i="2"/>
  <c r="AD116" i="2"/>
  <c r="E126" i="6" s="1"/>
  <c r="AC116" i="2"/>
  <c r="AB116" i="2"/>
  <c r="AA116" i="2"/>
  <c r="Z116" i="2"/>
  <c r="Y116" i="2"/>
  <c r="X116" i="2"/>
  <c r="W116" i="2"/>
  <c r="V116" i="2"/>
  <c r="U116" i="2"/>
  <c r="T116" i="2"/>
  <c r="S116" i="2"/>
  <c r="R116" i="2"/>
  <c r="Q116" i="2"/>
  <c r="P116" i="2"/>
  <c r="O116" i="2"/>
  <c r="N116" i="2"/>
  <c r="M116" i="2"/>
  <c r="L116" i="2"/>
  <c r="E124" i="4" s="1"/>
  <c r="K116" i="2"/>
  <c r="J116" i="2"/>
  <c r="I116" i="2"/>
  <c r="H116" i="2"/>
  <c r="G116" i="2"/>
  <c r="F116" i="2"/>
  <c r="E116" i="2"/>
  <c r="D116" i="2"/>
  <c r="C116" i="2"/>
  <c r="B116" i="2"/>
  <c r="A116" i="2"/>
  <c r="AR115" i="2"/>
  <c r="AQ115" i="2"/>
  <c r="AP115" i="2"/>
  <c r="AO115" i="2"/>
  <c r="AN115" i="2"/>
  <c r="AM115" i="2"/>
  <c r="AL115" i="2"/>
  <c r="AK115" i="2"/>
  <c r="AJ115" i="2"/>
  <c r="AI115" i="2"/>
  <c r="AH115" i="2"/>
  <c r="E125" i="5" s="1"/>
  <c r="AG115" i="2"/>
  <c r="AF115" i="2"/>
  <c r="AE115" i="2"/>
  <c r="AD115" i="2"/>
  <c r="E125" i="6" s="1"/>
  <c r="AC115" i="2"/>
  <c r="AB115" i="2"/>
  <c r="AA115" i="2"/>
  <c r="Z115" i="2"/>
  <c r="Y115" i="2"/>
  <c r="X115" i="2"/>
  <c r="W115" i="2"/>
  <c r="V115" i="2"/>
  <c r="U115" i="2"/>
  <c r="T115" i="2"/>
  <c r="S115" i="2"/>
  <c r="R115" i="2"/>
  <c r="Q115" i="2"/>
  <c r="P115" i="2"/>
  <c r="O115" i="2"/>
  <c r="N115" i="2"/>
  <c r="M115" i="2"/>
  <c r="L115" i="2"/>
  <c r="E123" i="4" s="1"/>
  <c r="K115" i="2"/>
  <c r="J115" i="2"/>
  <c r="I115" i="2"/>
  <c r="H115" i="2"/>
  <c r="G115" i="2"/>
  <c r="F115" i="2"/>
  <c r="E115" i="2"/>
  <c r="D115" i="2"/>
  <c r="C115" i="2"/>
  <c r="B115" i="2"/>
  <c r="A115" i="2"/>
  <c r="AR114" i="2"/>
  <c r="AQ114" i="2"/>
  <c r="AP114" i="2"/>
  <c r="AO114" i="2"/>
  <c r="AN114" i="2"/>
  <c r="AM114" i="2"/>
  <c r="AL114" i="2"/>
  <c r="AK114" i="2"/>
  <c r="AJ114" i="2"/>
  <c r="AI114" i="2"/>
  <c r="AH114" i="2"/>
  <c r="E124" i="5" s="1"/>
  <c r="AG114" i="2"/>
  <c r="AF114" i="2"/>
  <c r="AE114" i="2"/>
  <c r="AD114" i="2"/>
  <c r="E124" i="6" s="1"/>
  <c r="AC114" i="2"/>
  <c r="AB114" i="2"/>
  <c r="AA114" i="2"/>
  <c r="Z114" i="2"/>
  <c r="Y114" i="2"/>
  <c r="X114" i="2"/>
  <c r="W114" i="2"/>
  <c r="V114" i="2"/>
  <c r="U114" i="2"/>
  <c r="T114" i="2"/>
  <c r="S114" i="2"/>
  <c r="R114" i="2"/>
  <c r="Q114" i="2"/>
  <c r="P114" i="2"/>
  <c r="O114" i="2"/>
  <c r="N114" i="2"/>
  <c r="M114" i="2"/>
  <c r="L114" i="2"/>
  <c r="E122" i="4" s="1"/>
  <c r="K114" i="2"/>
  <c r="J114" i="2"/>
  <c r="I114" i="2"/>
  <c r="H114" i="2"/>
  <c r="G114" i="2"/>
  <c r="F114" i="2"/>
  <c r="E114" i="2"/>
  <c r="D114" i="2"/>
  <c r="C114" i="2"/>
  <c r="B114" i="2"/>
  <c r="A114" i="2"/>
  <c r="AR113" i="2"/>
  <c r="AQ113" i="2"/>
  <c r="AP113" i="2"/>
  <c r="AO113" i="2"/>
  <c r="AN113" i="2"/>
  <c r="AM113" i="2"/>
  <c r="AL113" i="2"/>
  <c r="AK113" i="2"/>
  <c r="AJ113" i="2"/>
  <c r="AI113" i="2"/>
  <c r="AH113" i="2"/>
  <c r="E123" i="5" s="1"/>
  <c r="AG113" i="2"/>
  <c r="AF113" i="2"/>
  <c r="AE113" i="2"/>
  <c r="AD113" i="2"/>
  <c r="E123" i="6" s="1"/>
  <c r="AC113" i="2"/>
  <c r="AB113" i="2"/>
  <c r="AA113" i="2"/>
  <c r="Z113" i="2"/>
  <c r="Y113" i="2"/>
  <c r="X113" i="2"/>
  <c r="W113" i="2"/>
  <c r="V113" i="2"/>
  <c r="U113" i="2"/>
  <c r="T113" i="2"/>
  <c r="S113" i="2"/>
  <c r="R113" i="2"/>
  <c r="Q113" i="2"/>
  <c r="P113" i="2"/>
  <c r="O113" i="2"/>
  <c r="N113" i="2"/>
  <c r="M113" i="2"/>
  <c r="L113" i="2"/>
  <c r="E121" i="4" s="1"/>
  <c r="K113" i="2"/>
  <c r="J113" i="2"/>
  <c r="I113" i="2"/>
  <c r="H113" i="2"/>
  <c r="G113" i="2"/>
  <c r="F113" i="2"/>
  <c r="E113" i="2"/>
  <c r="D113" i="2"/>
  <c r="C113" i="2"/>
  <c r="B113" i="2"/>
  <c r="A113" i="2"/>
  <c r="AR112" i="2"/>
  <c r="AQ112" i="2"/>
  <c r="AP112" i="2"/>
  <c r="AO112" i="2"/>
  <c r="AN112" i="2"/>
  <c r="AM112" i="2"/>
  <c r="AL112" i="2"/>
  <c r="AK112" i="2"/>
  <c r="AJ112" i="2"/>
  <c r="AI112" i="2"/>
  <c r="AH112" i="2"/>
  <c r="E122" i="5" s="1"/>
  <c r="AG112" i="2"/>
  <c r="AF112" i="2"/>
  <c r="AE112" i="2"/>
  <c r="AD112" i="2"/>
  <c r="E122" i="6" s="1"/>
  <c r="AC112" i="2"/>
  <c r="AB112" i="2"/>
  <c r="AA112" i="2"/>
  <c r="Z112" i="2"/>
  <c r="Y112" i="2"/>
  <c r="X112" i="2"/>
  <c r="W112" i="2"/>
  <c r="V112" i="2"/>
  <c r="U112" i="2"/>
  <c r="T112" i="2"/>
  <c r="S112" i="2"/>
  <c r="R112" i="2"/>
  <c r="Q112" i="2"/>
  <c r="P112" i="2"/>
  <c r="O112" i="2"/>
  <c r="N112" i="2"/>
  <c r="M112" i="2"/>
  <c r="L112" i="2"/>
  <c r="E120" i="4" s="1"/>
  <c r="K112" i="2"/>
  <c r="J112" i="2"/>
  <c r="I112" i="2"/>
  <c r="H112" i="2"/>
  <c r="G112" i="2"/>
  <c r="F112" i="2"/>
  <c r="E112" i="2"/>
  <c r="D112" i="2"/>
  <c r="C112" i="2"/>
  <c r="B112" i="2"/>
  <c r="A112" i="2"/>
  <c r="AR111" i="2"/>
  <c r="AQ111" i="2"/>
  <c r="AP111" i="2"/>
  <c r="AO111" i="2"/>
  <c r="AN111" i="2"/>
  <c r="AM111" i="2"/>
  <c r="AL111" i="2"/>
  <c r="AK111" i="2"/>
  <c r="AJ111" i="2"/>
  <c r="AI111" i="2"/>
  <c r="AH111" i="2"/>
  <c r="E121" i="5" s="1"/>
  <c r="AG111" i="2"/>
  <c r="AF111" i="2"/>
  <c r="AE111" i="2"/>
  <c r="AD111" i="2"/>
  <c r="E121" i="6" s="1"/>
  <c r="AC111" i="2"/>
  <c r="AB111" i="2"/>
  <c r="AA111" i="2"/>
  <c r="Z111" i="2"/>
  <c r="Y111" i="2"/>
  <c r="X111" i="2"/>
  <c r="W111" i="2"/>
  <c r="V111" i="2"/>
  <c r="U111" i="2"/>
  <c r="T111" i="2"/>
  <c r="S111" i="2"/>
  <c r="R111" i="2"/>
  <c r="Q111" i="2"/>
  <c r="P111" i="2"/>
  <c r="O111" i="2"/>
  <c r="N111" i="2"/>
  <c r="M111" i="2"/>
  <c r="L111" i="2"/>
  <c r="E119" i="4" s="1"/>
  <c r="K111" i="2"/>
  <c r="J111" i="2"/>
  <c r="I111" i="2"/>
  <c r="H111" i="2"/>
  <c r="G111" i="2"/>
  <c r="F111" i="2"/>
  <c r="E111" i="2"/>
  <c r="D111" i="2"/>
  <c r="C111" i="2"/>
  <c r="B111" i="2"/>
  <c r="A111" i="2"/>
  <c r="AR110" i="2"/>
  <c r="AQ110" i="2"/>
  <c r="AP110" i="2"/>
  <c r="AO110" i="2"/>
  <c r="AN110" i="2"/>
  <c r="AM110" i="2"/>
  <c r="AL110" i="2"/>
  <c r="AK110" i="2"/>
  <c r="AJ110" i="2"/>
  <c r="AI110" i="2"/>
  <c r="AH110" i="2"/>
  <c r="E120" i="5" s="1"/>
  <c r="AG110" i="2"/>
  <c r="AF110" i="2"/>
  <c r="AE110" i="2"/>
  <c r="AD110" i="2"/>
  <c r="E120" i="6" s="1"/>
  <c r="AC110" i="2"/>
  <c r="AB110" i="2"/>
  <c r="AA110" i="2"/>
  <c r="Z110" i="2"/>
  <c r="Y110" i="2"/>
  <c r="X110" i="2"/>
  <c r="W110" i="2"/>
  <c r="V110" i="2"/>
  <c r="U110" i="2"/>
  <c r="T110" i="2"/>
  <c r="S110" i="2"/>
  <c r="R110" i="2"/>
  <c r="Q110" i="2"/>
  <c r="P110" i="2"/>
  <c r="O110" i="2"/>
  <c r="N110" i="2"/>
  <c r="M110" i="2"/>
  <c r="L110" i="2"/>
  <c r="E118" i="4" s="1"/>
  <c r="K110" i="2"/>
  <c r="J110" i="2"/>
  <c r="I110" i="2"/>
  <c r="H110" i="2"/>
  <c r="G110" i="2"/>
  <c r="F110" i="2"/>
  <c r="E110" i="2"/>
  <c r="D110" i="2"/>
  <c r="C110" i="2"/>
  <c r="B110" i="2"/>
  <c r="A110" i="2"/>
  <c r="AR109" i="2"/>
  <c r="AQ109" i="2"/>
  <c r="AP109" i="2"/>
  <c r="AO109" i="2"/>
  <c r="AN109" i="2"/>
  <c r="AM109" i="2"/>
  <c r="AL109" i="2"/>
  <c r="AK109" i="2"/>
  <c r="AJ109" i="2"/>
  <c r="AI109" i="2"/>
  <c r="AH109" i="2"/>
  <c r="E119" i="5" s="1"/>
  <c r="AG109" i="2"/>
  <c r="AF109" i="2"/>
  <c r="AE109" i="2"/>
  <c r="AD109" i="2"/>
  <c r="E119" i="6" s="1"/>
  <c r="AC109" i="2"/>
  <c r="AB109" i="2"/>
  <c r="AA109" i="2"/>
  <c r="Z109" i="2"/>
  <c r="Y109" i="2"/>
  <c r="X109" i="2"/>
  <c r="W109" i="2"/>
  <c r="V109" i="2"/>
  <c r="U109" i="2"/>
  <c r="T109" i="2"/>
  <c r="S109" i="2"/>
  <c r="R109" i="2"/>
  <c r="Q109" i="2"/>
  <c r="P109" i="2"/>
  <c r="O109" i="2"/>
  <c r="N109" i="2"/>
  <c r="M109" i="2"/>
  <c r="L109" i="2"/>
  <c r="E117" i="4" s="1"/>
  <c r="K109" i="2"/>
  <c r="J109" i="2"/>
  <c r="I109" i="2"/>
  <c r="H109" i="2"/>
  <c r="G109" i="2"/>
  <c r="F109" i="2"/>
  <c r="E109" i="2"/>
  <c r="D109" i="2"/>
  <c r="C109" i="2"/>
  <c r="B109" i="2"/>
  <c r="A109" i="2"/>
  <c r="AR108" i="2"/>
  <c r="AQ108" i="2"/>
  <c r="AP108" i="2"/>
  <c r="AO108" i="2"/>
  <c r="AN108" i="2"/>
  <c r="AM108" i="2"/>
  <c r="AL108" i="2"/>
  <c r="AK108" i="2"/>
  <c r="AJ108" i="2"/>
  <c r="AI108" i="2"/>
  <c r="AH108" i="2"/>
  <c r="E118" i="5" s="1"/>
  <c r="AG108" i="2"/>
  <c r="AF108" i="2"/>
  <c r="AE108" i="2"/>
  <c r="AD108" i="2"/>
  <c r="E118" i="6" s="1"/>
  <c r="AC108" i="2"/>
  <c r="AB108" i="2"/>
  <c r="AA108" i="2"/>
  <c r="Z108" i="2"/>
  <c r="Y108" i="2"/>
  <c r="X108" i="2"/>
  <c r="W108" i="2"/>
  <c r="V108" i="2"/>
  <c r="U108" i="2"/>
  <c r="T108" i="2"/>
  <c r="S108" i="2"/>
  <c r="R108" i="2"/>
  <c r="Q108" i="2"/>
  <c r="P108" i="2"/>
  <c r="O108" i="2"/>
  <c r="N108" i="2"/>
  <c r="M108" i="2"/>
  <c r="L108" i="2"/>
  <c r="E116" i="4" s="1"/>
  <c r="K108" i="2"/>
  <c r="J108" i="2"/>
  <c r="I108" i="2"/>
  <c r="H108" i="2"/>
  <c r="G108" i="2"/>
  <c r="F108" i="2"/>
  <c r="E108" i="2"/>
  <c r="D108" i="2"/>
  <c r="C108" i="2"/>
  <c r="B108" i="2"/>
  <c r="A108" i="2"/>
  <c r="AR107" i="2"/>
  <c r="AQ107" i="2"/>
  <c r="AP107" i="2"/>
  <c r="AO107" i="2"/>
  <c r="AN107" i="2"/>
  <c r="AM107" i="2"/>
  <c r="AL107" i="2"/>
  <c r="AK107" i="2"/>
  <c r="AJ107" i="2"/>
  <c r="AI107" i="2"/>
  <c r="AH107" i="2"/>
  <c r="E117" i="5" s="1"/>
  <c r="AG107" i="2"/>
  <c r="AF107" i="2"/>
  <c r="AE107" i="2"/>
  <c r="AD107" i="2"/>
  <c r="E117" i="6" s="1"/>
  <c r="AC107" i="2"/>
  <c r="AB107" i="2"/>
  <c r="AA107" i="2"/>
  <c r="Z107" i="2"/>
  <c r="Y107" i="2"/>
  <c r="X107" i="2"/>
  <c r="W107" i="2"/>
  <c r="V107" i="2"/>
  <c r="U107" i="2"/>
  <c r="T107" i="2"/>
  <c r="S107" i="2"/>
  <c r="R107" i="2"/>
  <c r="Q107" i="2"/>
  <c r="P107" i="2"/>
  <c r="O107" i="2"/>
  <c r="N107" i="2"/>
  <c r="M107" i="2"/>
  <c r="L107" i="2"/>
  <c r="E115" i="4" s="1"/>
  <c r="K107" i="2"/>
  <c r="J107" i="2"/>
  <c r="I107" i="2"/>
  <c r="H107" i="2"/>
  <c r="G107" i="2"/>
  <c r="F107" i="2"/>
  <c r="E107" i="2"/>
  <c r="D107" i="2"/>
  <c r="C107" i="2"/>
  <c r="B107" i="2"/>
  <c r="A107" i="2"/>
  <c r="AR106" i="2"/>
  <c r="AQ106" i="2"/>
  <c r="AP106" i="2"/>
  <c r="AO106" i="2"/>
  <c r="AN106" i="2"/>
  <c r="AM106" i="2"/>
  <c r="AL106" i="2"/>
  <c r="AK106" i="2"/>
  <c r="AJ106" i="2"/>
  <c r="AI106" i="2"/>
  <c r="AH106" i="2"/>
  <c r="E116" i="5" s="1"/>
  <c r="AG106" i="2"/>
  <c r="AF106" i="2"/>
  <c r="AE106" i="2"/>
  <c r="AD106" i="2"/>
  <c r="E116" i="6" s="1"/>
  <c r="AC106" i="2"/>
  <c r="AB106" i="2"/>
  <c r="AA106" i="2"/>
  <c r="Z106" i="2"/>
  <c r="Y106" i="2"/>
  <c r="X106" i="2"/>
  <c r="W106" i="2"/>
  <c r="V106" i="2"/>
  <c r="U106" i="2"/>
  <c r="T106" i="2"/>
  <c r="S106" i="2"/>
  <c r="R106" i="2"/>
  <c r="Q106" i="2"/>
  <c r="P106" i="2"/>
  <c r="O106" i="2"/>
  <c r="N106" i="2"/>
  <c r="M106" i="2"/>
  <c r="L106" i="2"/>
  <c r="E114" i="4" s="1"/>
  <c r="K106" i="2"/>
  <c r="J106" i="2"/>
  <c r="I106" i="2"/>
  <c r="H106" i="2"/>
  <c r="G106" i="2"/>
  <c r="F106" i="2"/>
  <c r="E106" i="2"/>
  <c r="D106" i="2"/>
  <c r="C106" i="2"/>
  <c r="B106" i="2"/>
  <c r="A106" i="2"/>
  <c r="AR105" i="2"/>
  <c r="AQ105" i="2"/>
  <c r="AP105" i="2"/>
  <c r="AO105" i="2"/>
  <c r="AN105" i="2"/>
  <c r="AM105" i="2"/>
  <c r="AL105" i="2"/>
  <c r="AK105" i="2"/>
  <c r="AJ105" i="2"/>
  <c r="AI105" i="2"/>
  <c r="AH105" i="2"/>
  <c r="E115" i="5" s="1"/>
  <c r="AG105" i="2"/>
  <c r="AF105" i="2"/>
  <c r="AE105" i="2"/>
  <c r="AD105" i="2"/>
  <c r="E115" i="6" s="1"/>
  <c r="AC105" i="2"/>
  <c r="AB105" i="2"/>
  <c r="AA105" i="2"/>
  <c r="Z105" i="2"/>
  <c r="Y105" i="2"/>
  <c r="X105" i="2"/>
  <c r="W105" i="2"/>
  <c r="V105" i="2"/>
  <c r="U105" i="2"/>
  <c r="T105" i="2"/>
  <c r="S105" i="2"/>
  <c r="R105" i="2"/>
  <c r="Q105" i="2"/>
  <c r="P105" i="2"/>
  <c r="O105" i="2"/>
  <c r="N105" i="2"/>
  <c r="M105" i="2"/>
  <c r="L105" i="2"/>
  <c r="E113" i="4" s="1"/>
  <c r="K105" i="2"/>
  <c r="J105" i="2"/>
  <c r="I105" i="2"/>
  <c r="H105" i="2"/>
  <c r="G105" i="2"/>
  <c r="F105" i="2"/>
  <c r="E105" i="2"/>
  <c r="D105" i="2"/>
  <c r="C105" i="2"/>
  <c r="B105" i="2"/>
  <c r="A105" i="2"/>
  <c r="AR104" i="2"/>
  <c r="AQ104" i="2"/>
  <c r="AP104" i="2"/>
  <c r="AO104" i="2"/>
  <c r="AN104" i="2"/>
  <c r="AM104" i="2"/>
  <c r="AL104" i="2"/>
  <c r="AK104" i="2"/>
  <c r="AJ104" i="2"/>
  <c r="AI104" i="2"/>
  <c r="AH104" i="2"/>
  <c r="E114" i="5" s="1"/>
  <c r="AG104" i="2"/>
  <c r="AF104" i="2"/>
  <c r="AE104" i="2"/>
  <c r="AD104" i="2"/>
  <c r="E114" i="6" s="1"/>
  <c r="AC104" i="2"/>
  <c r="AB104" i="2"/>
  <c r="AA104" i="2"/>
  <c r="Z104" i="2"/>
  <c r="Y104" i="2"/>
  <c r="X104" i="2"/>
  <c r="W104" i="2"/>
  <c r="V104" i="2"/>
  <c r="U104" i="2"/>
  <c r="T104" i="2"/>
  <c r="S104" i="2"/>
  <c r="R104" i="2"/>
  <c r="Q104" i="2"/>
  <c r="P104" i="2"/>
  <c r="O104" i="2"/>
  <c r="N104" i="2"/>
  <c r="M104" i="2"/>
  <c r="L104" i="2"/>
  <c r="E112" i="4" s="1"/>
  <c r="K104" i="2"/>
  <c r="J104" i="2"/>
  <c r="I104" i="2"/>
  <c r="H104" i="2"/>
  <c r="G104" i="2"/>
  <c r="F104" i="2"/>
  <c r="E104" i="2"/>
  <c r="D104" i="2"/>
  <c r="C104" i="2"/>
  <c r="B104" i="2"/>
  <c r="A104" i="2"/>
  <c r="AR103" i="2"/>
  <c r="AQ103" i="2"/>
  <c r="AP103" i="2"/>
  <c r="AO103" i="2"/>
  <c r="AN103" i="2"/>
  <c r="AM103" i="2"/>
  <c r="AL103" i="2"/>
  <c r="AK103" i="2"/>
  <c r="AJ103" i="2"/>
  <c r="AI103" i="2"/>
  <c r="AH103" i="2"/>
  <c r="E113" i="5" s="1"/>
  <c r="AG103" i="2"/>
  <c r="AF103" i="2"/>
  <c r="AE103" i="2"/>
  <c r="AD103" i="2"/>
  <c r="E113" i="6" s="1"/>
  <c r="AC103" i="2"/>
  <c r="AB103" i="2"/>
  <c r="AA103" i="2"/>
  <c r="Z103" i="2"/>
  <c r="Y103" i="2"/>
  <c r="X103" i="2"/>
  <c r="W103" i="2"/>
  <c r="V103" i="2"/>
  <c r="U103" i="2"/>
  <c r="T103" i="2"/>
  <c r="S103" i="2"/>
  <c r="R103" i="2"/>
  <c r="Q103" i="2"/>
  <c r="P103" i="2"/>
  <c r="O103" i="2"/>
  <c r="N103" i="2"/>
  <c r="M103" i="2"/>
  <c r="L103" i="2"/>
  <c r="E111" i="4" s="1"/>
  <c r="K103" i="2"/>
  <c r="J103" i="2"/>
  <c r="I103" i="2"/>
  <c r="H103" i="2"/>
  <c r="G103" i="2"/>
  <c r="F103" i="2"/>
  <c r="E103" i="2"/>
  <c r="D103" i="2"/>
  <c r="C103" i="2"/>
  <c r="B103" i="2"/>
  <c r="A103" i="2"/>
  <c r="AR102" i="2"/>
  <c r="AQ102" i="2"/>
  <c r="AP102" i="2"/>
  <c r="AO102" i="2"/>
  <c r="AN102" i="2"/>
  <c r="AM102" i="2"/>
  <c r="AL102" i="2"/>
  <c r="AK102" i="2"/>
  <c r="AJ102" i="2"/>
  <c r="AI102" i="2"/>
  <c r="AH102" i="2"/>
  <c r="E112" i="5" s="1"/>
  <c r="AG102" i="2"/>
  <c r="AF102" i="2"/>
  <c r="AE102" i="2"/>
  <c r="AD102" i="2"/>
  <c r="E112" i="6" s="1"/>
  <c r="AC102" i="2"/>
  <c r="AB102" i="2"/>
  <c r="AA102" i="2"/>
  <c r="Z102" i="2"/>
  <c r="Y102" i="2"/>
  <c r="X102" i="2"/>
  <c r="W102" i="2"/>
  <c r="V102" i="2"/>
  <c r="U102" i="2"/>
  <c r="T102" i="2"/>
  <c r="S102" i="2"/>
  <c r="R102" i="2"/>
  <c r="Q102" i="2"/>
  <c r="P102" i="2"/>
  <c r="O102" i="2"/>
  <c r="N102" i="2"/>
  <c r="M102" i="2"/>
  <c r="L102" i="2"/>
  <c r="E110" i="4" s="1"/>
  <c r="K102" i="2"/>
  <c r="J102" i="2"/>
  <c r="I102" i="2"/>
  <c r="H102" i="2"/>
  <c r="G102" i="2"/>
  <c r="F102" i="2"/>
  <c r="E102" i="2"/>
  <c r="D102" i="2"/>
  <c r="C102" i="2"/>
  <c r="B102" i="2"/>
  <c r="A102" i="2"/>
  <c r="AR101" i="2"/>
  <c r="AQ101" i="2"/>
  <c r="AP101" i="2"/>
  <c r="AO101" i="2"/>
  <c r="AN101" i="2"/>
  <c r="AM101" i="2"/>
  <c r="AL101" i="2"/>
  <c r="AK101" i="2"/>
  <c r="AJ101" i="2"/>
  <c r="AI101" i="2"/>
  <c r="AH101" i="2"/>
  <c r="E111" i="5" s="1"/>
  <c r="AG101" i="2"/>
  <c r="AF101" i="2"/>
  <c r="AE101" i="2"/>
  <c r="AD101" i="2"/>
  <c r="E111" i="6" s="1"/>
  <c r="AC101" i="2"/>
  <c r="AB101" i="2"/>
  <c r="AA101" i="2"/>
  <c r="Z101" i="2"/>
  <c r="Y101" i="2"/>
  <c r="X101" i="2"/>
  <c r="W101" i="2"/>
  <c r="V101" i="2"/>
  <c r="U101" i="2"/>
  <c r="T101" i="2"/>
  <c r="S101" i="2"/>
  <c r="R101" i="2"/>
  <c r="Q101" i="2"/>
  <c r="P101" i="2"/>
  <c r="O101" i="2"/>
  <c r="N101" i="2"/>
  <c r="M101" i="2"/>
  <c r="L101" i="2"/>
  <c r="E109" i="4" s="1"/>
  <c r="K101" i="2"/>
  <c r="J101" i="2"/>
  <c r="I101" i="2"/>
  <c r="H101" i="2"/>
  <c r="G101" i="2"/>
  <c r="F101" i="2"/>
  <c r="E101" i="2"/>
  <c r="D101" i="2"/>
  <c r="C101" i="2"/>
  <c r="B101" i="2"/>
  <c r="A101" i="2"/>
  <c r="AR100" i="2"/>
  <c r="AQ100" i="2"/>
  <c r="AP100" i="2"/>
  <c r="AO100" i="2"/>
  <c r="AN100" i="2"/>
  <c r="AM100" i="2"/>
  <c r="AL100" i="2"/>
  <c r="AK100" i="2"/>
  <c r="AJ100" i="2"/>
  <c r="AI100" i="2"/>
  <c r="AH100" i="2"/>
  <c r="E110" i="5" s="1"/>
  <c r="AG100" i="2"/>
  <c r="AF100" i="2"/>
  <c r="AE100" i="2"/>
  <c r="AD100" i="2"/>
  <c r="E110" i="6" s="1"/>
  <c r="AC100" i="2"/>
  <c r="AB100" i="2"/>
  <c r="AA100" i="2"/>
  <c r="Z100" i="2"/>
  <c r="Y100" i="2"/>
  <c r="X100" i="2"/>
  <c r="W100" i="2"/>
  <c r="V100" i="2"/>
  <c r="U100" i="2"/>
  <c r="T100" i="2"/>
  <c r="S100" i="2"/>
  <c r="R100" i="2"/>
  <c r="Q100" i="2"/>
  <c r="P100" i="2"/>
  <c r="O100" i="2"/>
  <c r="N100" i="2"/>
  <c r="M100" i="2"/>
  <c r="L100" i="2"/>
  <c r="E108" i="4" s="1"/>
  <c r="K100" i="2"/>
  <c r="J100" i="2"/>
  <c r="I100" i="2"/>
  <c r="H100" i="2"/>
  <c r="G100" i="2"/>
  <c r="F100" i="2"/>
  <c r="E100" i="2"/>
  <c r="D100" i="2"/>
  <c r="C100" i="2"/>
  <c r="B100" i="2"/>
  <c r="A100" i="2"/>
  <c r="AR99" i="2"/>
  <c r="AQ99" i="2"/>
  <c r="AP99" i="2"/>
  <c r="AO99" i="2"/>
  <c r="AN99" i="2"/>
  <c r="AM99" i="2"/>
  <c r="AL99" i="2"/>
  <c r="AK99" i="2"/>
  <c r="AJ99" i="2"/>
  <c r="AI99" i="2"/>
  <c r="AH99" i="2"/>
  <c r="E109" i="5" s="1"/>
  <c r="AG99" i="2"/>
  <c r="AF99" i="2"/>
  <c r="AE99" i="2"/>
  <c r="AD99" i="2"/>
  <c r="E109" i="6" s="1"/>
  <c r="AC99" i="2"/>
  <c r="AB99" i="2"/>
  <c r="AA99" i="2"/>
  <c r="Z99" i="2"/>
  <c r="Y99" i="2"/>
  <c r="X99" i="2"/>
  <c r="W99" i="2"/>
  <c r="V99" i="2"/>
  <c r="U99" i="2"/>
  <c r="T99" i="2"/>
  <c r="S99" i="2"/>
  <c r="R99" i="2"/>
  <c r="Q99" i="2"/>
  <c r="P99" i="2"/>
  <c r="O99" i="2"/>
  <c r="N99" i="2"/>
  <c r="M99" i="2"/>
  <c r="L99" i="2"/>
  <c r="E107" i="4" s="1"/>
  <c r="K99" i="2"/>
  <c r="J99" i="2"/>
  <c r="I99" i="2"/>
  <c r="H99" i="2"/>
  <c r="G99" i="2"/>
  <c r="F99" i="2"/>
  <c r="E99" i="2"/>
  <c r="D99" i="2"/>
  <c r="C99" i="2"/>
  <c r="B99" i="2"/>
  <c r="A99" i="2"/>
  <c r="AR98" i="2"/>
  <c r="AQ98" i="2"/>
  <c r="AP98" i="2"/>
  <c r="AO98" i="2"/>
  <c r="AN98" i="2"/>
  <c r="AM98" i="2"/>
  <c r="AL98" i="2"/>
  <c r="AK98" i="2"/>
  <c r="AJ98" i="2"/>
  <c r="AI98" i="2"/>
  <c r="AH98" i="2"/>
  <c r="E108" i="5" s="1"/>
  <c r="AG98" i="2"/>
  <c r="AF98" i="2"/>
  <c r="AE98" i="2"/>
  <c r="AD98" i="2"/>
  <c r="E108" i="6" s="1"/>
  <c r="AC98" i="2"/>
  <c r="AB98" i="2"/>
  <c r="AA98" i="2"/>
  <c r="Z98" i="2"/>
  <c r="Y98" i="2"/>
  <c r="X98" i="2"/>
  <c r="W98" i="2"/>
  <c r="V98" i="2"/>
  <c r="U98" i="2"/>
  <c r="T98" i="2"/>
  <c r="S98" i="2"/>
  <c r="R98" i="2"/>
  <c r="Q98" i="2"/>
  <c r="P98" i="2"/>
  <c r="O98" i="2"/>
  <c r="N98" i="2"/>
  <c r="M98" i="2"/>
  <c r="L98" i="2"/>
  <c r="E106" i="4" s="1"/>
  <c r="K98" i="2"/>
  <c r="J98" i="2"/>
  <c r="I98" i="2"/>
  <c r="H98" i="2"/>
  <c r="G98" i="2"/>
  <c r="F98" i="2"/>
  <c r="E98" i="2"/>
  <c r="D98" i="2"/>
  <c r="C98" i="2"/>
  <c r="B98" i="2"/>
  <c r="A98" i="2"/>
  <c r="AR97" i="2"/>
  <c r="AQ97" i="2"/>
  <c r="AP97" i="2"/>
  <c r="AO97" i="2"/>
  <c r="AN97" i="2"/>
  <c r="AM97" i="2"/>
  <c r="AL97" i="2"/>
  <c r="AK97" i="2"/>
  <c r="AJ97" i="2"/>
  <c r="AI97" i="2"/>
  <c r="AH97" i="2"/>
  <c r="E107" i="5" s="1"/>
  <c r="AG97" i="2"/>
  <c r="AF97" i="2"/>
  <c r="AE97" i="2"/>
  <c r="AD97" i="2"/>
  <c r="E107" i="6" s="1"/>
  <c r="AC97" i="2"/>
  <c r="AB97" i="2"/>
  <c r="AA97" i="2"/>
  <c r="Z97" i="2"/>
  <c r="Y97" i="2"/>
  <c r="X97" i="2"/>
  <c r="W97" i="2"/>
  <c r="V97" i="2"/>
  <c r="U97" i="2"/>
  <c r="T97" i="2"/>
  <c r="S97" i="2"/>
  <c r="R97" i="2"/>
  <c r="Q97" i="2"/>
  <c r="P97" i="2"/>
  <c r="O97" i="2"/>
  <c r="N97" i="2"/>
  <c r="M97" i="2"/>
  <c r="L97" i="2"/>
  <c r="E105" i="4" s="1"/>
  <c r="K97" i="2"/>
  <c r="J97" i="2"/>
  <c r="I97" i="2"/>
  <c r="H97" i="2"/>
  <c r="G97" i="2"/>
  <c r="F97" i="2"/>
  <c r="E97" i="2"/>
  <c r="D97" i="2"/>
  <c r="C97" i="2"/>
  <c r="B97" i="2"/>
  <c r="A97" i="2"/>
  <c r="AR96" i="2"/>
  <c r="AQ96" i="2"/>
  <c r="AP96" i="2"/>
  <c r="AO96" i="2"/>
  <c r="AN96" i="2"/>
  <c r="AM96" i="2"/>
  <c r="AL96" i="2"/>
  <c r="AK96" i="2"/>
  <c r="AJ96" i="2"/>
  <c r="AI96" i="2"/>
  <c r="AH96" i="2"/>
  <c r="E106" i="5" s="1"/>
  <c r="AG96" i="2"/>
  <c r="AF96" i="2"/>
  <c r="AE96" i="2"/>
  <c r="AD96" i="2"/>
  <c r="E106" i="6" s="1"/>
  <c r="AC96" i="2"/>
  <c r="AB96" i="2"/>
  <c r="AA96" i="2"/>
  <c r="Z96" i="2"/>
  <c r="Y96" i="2"/>
  <c r="X96" i="2"/>
  <c r="W96" i="2"/>
  <c r="V96" i="2"/>
  <c r="U96" i="2"/>
  <c r="T96" i="2"/>
  <c r="S96" i="2"/>
  <c r="R96" i="2"/>
  <c r="Q96" i="2"/>
  <c r="P96" i="2"/>
  <c r="O96" i="2"/>
  <c r="N96" i="2"/>
  <c r="M96" i="2"/>
  <c r="L96" i="2"/>
  <c r="E104" i="4" s="1"/>
  <c r="K96" i="2"/>
  <c r="J96" i="2"/>
  <c r="I96" i="2"/>
  <c r="H96" i="2"/>
  <c r="G96" i="2"/>
  <c r="F96" i="2"/>
  <c r="E96" i="2"/>
  <c r="D96" i="2"/>
  <c r="C96" i="2"/>
  <c r="B96" i="2"/>
  <c r="A96" i="2"/>
  <c r="AR95" i="2"/>
  <c r="AQ95" i="2"/>
  <c r="AP95" i="2"/>
  <c r="AO95" i="2"/>
  <c r="AN95" i="2"/>
  <c r="AM95" i="2"/>
  <c r="AL95" i="2"/>
  <c r="AK95" i="2"/>
  <c r="AJ95" i="2"/>
  <c r="AI95" i="2"/>
  <c r="AH95" i="2"/>
  <c r="E105" i="5" s="1"/>
  <c r="AG95" i="2"/>
  <c r="AF95" i="2"/>
  <c r="AE95" i="2"/>
  <c r="AD95" i="2"/>
  <c r="E105" i="6" s="1"/>
  <c r="AC95" i="2"/>
  <c r="AB95" i="2"/>
  <c r="AA95" i="2"/>
  <c r="Z95" i="2"/>
  <c r="Y95" i="2"/>
  <c r="X95" i="2"/>
  <c r="W95" i="2"/>
  <c r="V95" i="2"/>
  <c r="U95" i="2"/>
  <c r="T95" i="2"/>
  <c r="S95" i="2"/>
  <c r="R95" i="2"/>
  <c r="Q95" i="2"/>
  <c r="P95" i="2"/>
  <c r="O95" i="2"/>
  <c r="N95" i="2"/>
  <c r="M95" i="2"/>
  <c r="L95" i="2"/>
  <c r="E103" i="4" s="1"/>
  <c r="K95" i="2"/>
  <c r="J95" i="2"/>
  <c r="I95" i="2"/>
  <c r="H95" i="2"/>
  <c r="G95" i="2"/>
  <c r="F95" i="2"/>
  <c r="E95" i="2"/>
  <c r="D95" i="2"/>
  <c r="C95" i="2"/>
  <c r="B95" i="2"/>
  <c r="A95" i="2"/>
  <c r="AR94" i="2"/>
  <c r="AQ94" i="2"/>
  <c r="AP94" i="2"/>
  <c r="AO94" i="2"/>
  <c r="AN94" i="2"/>
  <c r="AM94" i="2"/>
  <c r="AL94" i="2"/>
  <c r="AK94" i="2"/>
  <c r="AJ94" i="2"/>
  <c r="AI94" i="2"/>
  <c r="AH94" i="2"/>
  <c r="E104" i="5" s="1"/>
  <c r="AG94" i="2"/>
  <c r="AF94" i="2"/>
  <c r="AE94" i="2"/>
  <c r="AD94" i="2"/>
  <c r="E104" i="6" s="1"/>
  <c r="AC94" i="2"/>
  <c r="AB94" i="2"/>
  <c r="AA94" i="2"/>
  <c r="Z94" i="2"/>
  <c r="Y94" i="2"/>
  <c r="X94" i="2"/>
  <c r="W94" i="2"/>
  <c r="V94" i="2"/>
  <c r="U94" i="2"/>
  <c r="T94" i="2"/>
  <c r="S94" i="2"/>
  <c r="R94" i="2"/>
  <c r="Q94" i="2"/>
  <c r="P94" i="2"/>
  <c r="O94" i="2"/>
  <c r="N94" i="2"/>
  <c r="M94" i="2"/>
  <c r="L94" i="2"/>
  <c r="E102" i="4" s="1"/>
  <c r="K94" i="2"/>
  <c r="J94" i="2"/>
  <c r="I94" i="2"/>
  <c r="H94" i="2"/>
  <c r="G94" i="2"/>
  <c r="F94" i="2"/>
  <c r="E94" i="2"/>
  <c r="D94" i="2"/>
  <c r="C94" i="2"/>
  <c r="B94" i="2"/>
  <c r="A94" i="2"/>
  <c r="AR93" i="2"/>
  <c r="AQ93" i="2"/>
  <c r="AP93" i="2"/>
  <c r="AO93" i="2"/>
  <c r="AN93" i="2"/>
  <c r="AM93" i="2"/>
  <c r="AL93" i="2"/>
  <c r="AK93" i="2"/>
  <c r="AJ93" i="2"/>
  <c r="AI93" i="2"/>
  <c r="AH93" i="2"/>
  <c r="E103" i="5" s="1"/>
  <c r="AG93" i="2"/>
  <c r="AF93" i="2"/>
  <c r="AE93" i="2"/>
  <c r="AD93" i="2"/>
  <c r="E103" i="6" s="1"/>
  <c r="AC93" i="2"/>
  <c r="AB93" i="2"/>
  <c r="AA93" i="2"/>
  <c r="Z93" i="2"/>
  <c r="Y93" i="2"/>
  <c r="X93" i="2"/>
  <c r="W93" i="2"/>
  <c r="V93" i="2"/>
  <c r="U93" i="2"/>
  <c r="T93" i="2"/>
  <c r="S93" i="2"/>
  <c r="R93" i="2"/>
  <c r="Q93" i="2"/>
  <c r="P93" i="2"/>
  <c r="O93" i="2"/>
  <c r="N93" i="2"/>
  <c r="M93" i="2"/>
  <c r="L93" i="2"/>
  <c r="E101" i="4" s="1"/>
  <c r="K93" i="2"/>
  <c r="J93" i="2"/>
  <c r="I93" i="2"/>
  <c r="H93" i="2"/>
  <c r="G93" i="2"/>
  <c r="F93" i="2"/>
  <c r="E93" i="2"/>
  <c r="D93" i="2"/>
  <c r="C93" i="2"/>
  <c r="B93" i="2"/>
  <c r="A93" i="2"/>
  <c r="AR92" i="2"/>
  <c r="AQ92" i="2"/>
  <c r="AP92" i="2"/>
  <c r="AO92" i="2"/>
  <c r="AN92" i="2"/>
  <c r="AM92" i="2"/>
  <c r="AL92" i="2"/>
  <c r="AK92" i="2"/>
  <c r="AJ92" i="2"/>
  <c r="AI92" i="2"/>
  <c r="AH92" i="2"/>
  <c r="E102" i="5" s="1"/>
  <c r="AG92" i="2"/>
  <c r="AF92" i="2"/>
  <c r="AE92" i="2"/>
  <c r="AD92" i="2"/>
  <c r="E102" i="6" s="1"/>
  <c r="AC92" i="2"/>
  <c r="AB92" i="2"/>
  <c r="AA92" i="2"/>
  <c r="Z92" i="2"/>
  <c r="Y92" i="2"/>
  <c r="X92" i="2"/>
  <c r="W92" i="2"/>
  <c r="V92" i="2"/>
  <c r="U92" i="2"/>
  <c r="T92" i="2"/>
  <c r="S92" i="2"/>
  <c r="R92" i="2"/>
  <c r="Q92" i="2"/>
  <c r="P92" i="2"/>
  <c r="O92" i="2"/>
  <c r="N92" i="2"/>
  <c r="M92" i="2"/>
  <c r="L92" i="2"/>
  <c r="E100" i="4" s="1"/>
  <c r="K92" i="2"/>
  <c r="J92" i="2"/>
  <c r="I92" i="2"/>
  <c r="H92" i="2"/>
  <c r="G92" i="2"/>
  <c r="F92" i="2"/>
  <c r="E92" i="2"/>
  <c r="D92" i="2"/>
  <c r="C92" i="2"/>
  <c r="B92" i="2"/>
  <c r="A92" i="2"/>
  <c r="AR91" i="2"/>
  <c r="AQ91" i="2"/>
  <c r="AP91" i="2"/>
  <c r="AO91" i="2"/>
  <c r="AN91" i="2"/>
  <c r="AM91" i="2"/>
  <c r="AL91" i="2"/>
  <c r="AK91" i="2"/>
  <c r="AJ91" i="2"/>
  <c r="AI91" i="2"/>
  <c r="AH91" i="2"/>
  <c r="E101" i="5" s="1"/>
  <c r="AG91" i="2"/>
  <c r="AF91" i="2"/>
  <c r="AE91" i="2"/>
  <c r="AD91" i="2"/>
  <c r="E101" i="6" s="1"/>
  <c r="AC91" i="2"/>
  <c r="AB91" i="2"/>
  <c r="AA91" i="2"/>
  <c r="Z91" i="2"/>
  <c r="Y91" i="2"/>
  <c r="X91" i="2"/>
  <c r="W91" i="2"/>
  <c r="V91" i="2"/>
  <c r="U91" i="2"/>
  <c r="T91" i="2"/>
  <c r="S91" i="2"/>
  <c r="R91" i="2"/>
  <c r="Q91" i="2"/>
  <c r="P91" i="2"/>
  <c r="O91" i="2"/>
  <c r="N91" i="2"/>
  <c r="M91" i="2"/>
  <c r="L91" i="2"/>
  <c r="E99" i="4" s="1"/>
  <c r="K91" i="2"/>
  <c r="J91" i="2"/>
  <c r="I91" i="2"/>
  <c r="H91" i="2"/>
  <c r="G91" i="2"/>
  <c r="F91" i="2"/>
  <c r="E91" i="2"/>
  <c r="D91" i="2"/>
  <c r="C91" i="2"/>
  <c r="B91" i="2"/>
  <c r="A91" i="2"/>
  <c r="AR90" i="2"/>
  <c r="AQ90" i="2"/>
  <c r="AP90" i="2"/>
  <c r="AO90" i="2"/>
  <c r="AN90" i="2"/>
  <c r="AM90" i="2"/>
  <c r="AL90" i="2"/>
  <c r="AK90" i="2"/>
  <c r="AJ90" i="2"/>
  <c r="AI90" i="2"/>
  <c r="AH90" i="2"/>
  <c r="E100" i="5" s="1"/>
  <c r="AG90" i="2"/>
  <c r="AF90" i="2"/>
  <c r="AE90" i="2"/>
  <c r="AD90" i="2"/>
  <c r="E100" i="6" s="1"/>
  <c r="AC90" i="2"/>
  <c r="AB90" i="2"/>
  <c r="AA90" i="2"/>
  <c r="Z90" i="2"/>
  <c r="Y90" i="2"/>
  <c r="X90" i="2"/>
  <c r="W90" i="2"/>
  <c r="V90" i="2"/>
  <c r="U90" i="2"/>
  <c r="T90" i="2"/>
  <c r="S90" i="2"/>
  <c r="R90" i="2"/>
  <c r="Q90" i="2"/>
  <c r="P90" i="2"/>
  <c r="O90" i="2"/>
  <c r="N90" i="2"/>
  <c r="M90" i="2"/>
  <c r="L90" i="2"/>
  <c r="E98" i="4" s="1"/>
  <c r="K90" i="2"/>
  <c r="J90" i="2"/>
  <c r="I90" i="2"/>
  <c r="H90" i="2"/>
  <c r="G90" i="2"/>
  <c r="F90" i="2"/>
  <c r="E90" i="2"/>
  <c r="D90" i="2"/>
  <c r="C90" i="2"/>
  <c r="B90" i="2"/>
  <c r="A90" i="2"/>
  <c r="AR89" i="2"/>
  <c r="AQ89" i="2"/>
  <c r="AP89" i="2"/>
  <c r="AO89" i="2"/>
  <c r="AN89" i="2"/>
  <c r="AM89" i="2"/>
  <c r="AL89" i="2"/>
  <c r="AK89" i="2"/>
  <c r="AJ89" i="2"/>
  <c r="AI89" i="2"/>
  <c r="AH89" i="2"/>
  <c r="E99" i="5" s="1"/>
  <c r="AG89" i="2"/>
  <c r="AF89" i="2"/>
  <c r="AE89" i="2"/>
  <c r="AD89" i="2"/>
  <c r="E99" i="6" s="1"/>
  <c r="AC89" i="2"/>
  <c r="AB89" i="2"/>
  <c r="AA89" i="2"/>
  <c r="Z89" i="2"/>
  <c r="Y89" i="2"/>
  <c r="X89" i="2"/>
  <c r="W89" i="2"/>
  <c r="V89" i="2"/>
  <c r="U89" i="2"/>
  <c r="T89" i="2"/>
  <c r="S89" i="2"/>
  <c r="R89" i="2"/>
  <c r="Q89" i="2"/>
  <c r="P89" i="2"/>
  <c r="O89" i="2"/>
  <c r="N89" i="2"/>
  <c r="M89" i="2"/>
  <c r="L89" i="2"/>
  <c r="E97" i="4" s="1"/>
  <c r="K89" i="2"/>
  <c r="J89" i="2"/>
  <c r="I89" i="2"/>
  <c r="H89" i="2"/>
  <c r="G89" i="2"/>
  <c r="F89" i="2"/>
  <c r="E89" i="2"/>
  <c r="D89" i="2"/>
  <c r="C89" i="2"/>
  <c r="B89" i="2"/>
  <c r="A89" i="2"/>
  <c r="AR88" i="2"/>
  <c r="AQ88" i="2"/>
  <c r="AP88" i="2"/>
  <c r="AO88" i="2"/>
  <c r="AN88" i="2"/>
  <c r="AM88" i="2"/>
  <c r="AL88" i="2"/>
  <c r="AK88" i="2"/>
  <c r="AJ88" i="2"/>
  <c r="AI88" i="2"/>
  <c r="AH88" i="2"/>
  <c r="E98" i="5" s="1"/>
  <c r="AG88" i="2"/>
  <c r="AF88" i="2"/>
  <c r="AE88" i="2"/>
  <c r="AD88" i="2"/>
  <c r="E98" i="6" s="1"/>
  <c r="AC88" i="2"/>
  <c r="AB88" i="2"/>
  <c r="AA88" i="2"/>
  <c r="Z88" i="2"/>
  <c r="Y88" i="2"/>
  <c r="X88" i="2"/>
  <c r="W88" i="2"/>
  <c r="V88" i="2"/>
  <c r="U88" i="2"/>
  <c r="T88" i="2"/>
  <c r="S88" i="2"/>
  <c r="R88" i="2"/>
  <c r="Q88" i="2"/>
  <c r="P88" i="2"/>
  <c r="O88" i="2"/>
  <c r="N88" i="2"/>
  <c r="M88" i="2"/>
  <c r="L88" i="2"/>
  <c r="E96" i="4" s="1"/>
  <c r="K88" i="2"/>
  <c r="J88" i="2"/>
  <c r="I88" i="2"/>
  <c r="H88" i="2"/>
  <c r="G88" i="2"/>
  <c r="F88" i="2"/>
  <c r="E88" i="2"/>
  <c r="D88" i="2"/>
  <c r="C88" i="2"/>
  <c r="B88" i="2"/>
  <c r="A88" i="2"/>
  <c r="AR87" i="2"/>
  <c r="AQ87" i="2"/>
  <c r="AP87" i="2"/>
  <c r="AO87" i="2"/>
  <c r="AN87" i="2"/>
  <c r="AM87" i="2"/>
  <c r="AL87" i="2"/>
  <c r="AK87" i="2"/>
  <c r="AJ87" i="2"/>
  <c r="AI87" i="2"/>
  <c r="AH87" i="2"/>
  <c r="E97" i="5" s="1"/>
  <c r="AG87" i="2"/>
  <c r="AF87" i="2"/>
  <c r="AE87" i="2"/>
  <c r="AD87" i="2"/>
  <c r="E97" i="6" s="1"/>
  <c r="AC87" i="2"/>
  <c r="AB87" i="2"/>
  <c r="AA87" i="2"/>
  <c r="Z87" i="2"/>
  <c r="Y87" i="2"/>
  <c r="X87" i="2"/>
  <c r="W87" i="2"/>
  <c r="V87" i="2"/>
  <c r="U87" i="2"/>
  <c r="T87" i="2"/>
  <c r="S87" i="2"/>
  <c r="R87" i="2"/>
  <c r="Q87" i="2"/>
  <c r="P87" i="2"/>
  <c r="O87" i="2"/>
  <c r="N87" i="2"/>
  <c r="M87" i="2"/>
  <c r="L87" i="2"/>
  <c r="E95" i="4" s="1"/>
  <c r="K87" i="2"/>
  <c r="J87" i="2"/>
  <c r="I87" i="2"/>
  <c r="H87" i="2"/>
  <c r="G87" i="2"/>
  <c r="F87" i="2"/>
  <c r="E87" i="2"/>
  <c r="D87" i="2"/>
  <c r="C87" i="2"/>
  <c r="B87" i="2"/>
  <c r="A87" i="2"/>
  <c r="AR86" i="2"/>
  <c r="AQ86" i="2"/>
  <c r="AP86" i="2"/>
  <c r="AO86" i="2"/>
  <c r="AN86" i="2"/>
  <c r="AM86" i="2"/>
  <c r="AL86" i="2"/>
  <c r="AK86" i="2"/>
  <c r="AJ86" i="2"/>
  <c r="AI86" i="2"/>
  <c r="AH86" i="2"/>
  <c r="E96" i="5" s="1"/>
  <c r="AG86" i="2"/>
  <c r="AF86" i="2"/>
  <c r="AE86" i="2"/>
  <c r="AD86" i="2"/>
  <c r="E96" i="6" s="1"/>
  <c r="AC86" i="2"/>
  <c r="AB86" i="2"/>
  <c r="AA86" i="2"/>
  <c r="Z86" i="2"/>
  <c r="Y86" i="2"/>
  <c r="X86" i="2"/>
  <c r="W86" i="2"/>
  <c r="V86" i="2"/>
  <c r="U86" i="2"/>
  <c r="T86" i="2"/>
  <c r="S86" i="2"/>
  <c r="R86" i="2"/>
  <c r="Q86" i="2"/>
  <c r="P86" i="2"/>
  <c r="O86" i="2"/>
  <c r="N86" i="2"/>
  <c r="M86" i="2"/>
  <c r="L86" i="2"/>
  <c r="E94" i="4" s="1"/>
  <c r="K86" i="2"/>
  <c r="J86" i="2"/>
  <c r="I86" i="2"/>
  <c r="H86" i="2"/>
  <c r="G86" i="2"/>
  <c r="F86" i="2"/>
  <c r="E86" i="2"/>
  <c r="D86" i="2"/>
  <c r="C86" i="2"/>
  <c r="B86" i="2"/>
  <c r="A86" i="2"/>
  <c r="AR85" i="2"/>
  <c r="AQ85" i="2"/>
  <c r="AP85" i="2"/>
  <c r="AO85" i="2"/>
  <c r="AN85" i="2"/>
  <c r="AM85" i="2"/>
  <c r="AL85" i="2"/>
  <c r="AK85" i="2"/>
  <c r="AJ85" i="2"/>
  <c r="AI85" i="2"/>
  <c r="AH85" i="2"/>
  <c r="E95" i="5" s="1"/>
  <c r="AG85" i="2"/>
  <c r="AF85" i="2"/>
  <c r="AE85" i="2"/>
  <c r="AD85" i="2"/>
  <c r="E95" i="6" s="1"/>
  <c r="AC85" i="2"/>
  <c r="AB85" i="2"/>
  <c r="AA85" i="2"/>
  <c r="Z85" i="2"/>
  <c r="Y85" i="2"/>
  <c r="X85" i="2"/>
  <c r="W85" i="2"/>
  <c r="V85" i="2"/>
  <c r="U85" i="2"/>
  <c r="T85" i="2"/>
  <c r="S85" i="2"/>
  <c r="R85" i="2"/>
  <c r="Q85" i="2"/>
  <c r="P85" i="2"/>
  <c r="O85" i="2"/>
  <c r="N85" i="2"/>
  <c r="M85" i="2"/>
  <c r="L85" i="2"/>
  <c r="E93" i="4" s="1"/>
  <c r="K85" i="2"/>
  <c r="J85" i="2"/>
  <c r="I85" i="2"/>
  <c r="H85" i="2"/>
  <c r="G85" i="2"/>
  <c r="F85" i="2"/>
  <c r="E85" i="2"/>
  <c r="D85" i="2"/>
  <c r="C85" i="2"/>
  <c r="B85" i="2"/>
  <c r="A85" i="2"/>
  <c r="AR84" i="2"/>
  <c r="AQ84" i="2"/>
  <c r="AP84" i="2"/>
  <c r="AO84" i="2"/>
  <c r="AN84" i="2"/>
  <c r="AM84" i="2"/>
  <c r="AL84" i="2"/>
  <c r="AK84" i="2"/>
  <c r="AJ84" i="2"/>
  <c r="AI84" i="2"/>
  <c r="AH84" i="2"/>
  <c r="E94" i="5" s="1"/>
  <c r="AG84" i="2"/>
  <c r="AF84" i="2"/>
  <c r="AE84" i="2"/>
  <c r="AD84" i="2"/>
  <c r="E94" i="6" s="1"/>
  <c r="AC84" i="2"/>
  <c r="AB84" i="2"/>
  <c r="AA84" i="2"/>
  <c r="Z84" i="2"/>
  <c r="Y84" i="2"/>
  <c r="X84" i="2"/>
  <c r="W84" i="2"/>
  <c r="V84" i="2"/>
  <c r="U84" i="2"/>
  <c r="T84" i="2"/>
  <c r="S84" i="2"/>
  <c r="R84" i="2"/>
  <c r="Q84" i="2"/>
  <c r="P84" i="2"/>
  <c r="O84" i="2"/>
  <c r="N84" i="2"/>
  <c r="M84" i="2"/>
  <c r="L84" i="2"/>
  <c r="E92" i="4" s="1"/>
  <c r="K84" i="2"/>
  <c r="J84" i="2"/>
  <c r="I84" i="2"/>
  <c r="H84" i="2"/>
  <c r="G84" i="2"/>
  <c r="F84" i="2"/>
  <c r="E84" i="2"/>
  <c r="D84" i="2"/>
  <c r="C84" i="2"/>
  <c r="B84" i="2"/>
  <c r="A84" i="2"/>
  <c r="AR83" i="2"/>
  <c r="AQ83" i="2"/>
  <c r="AP83" i="2"/>
  <c r="AO83" i="2"/>
  <c r="AN83" i="2"/>
  <c r="AM83" i="2"/>
  <c r="AL83" i="2"/>
  <c r="AK83" i="2"/>
  <c r="AJ83" i="2"/>
  <c r="AI83" i="2"/>
  <c r="AH83" i="2"/>
  <c r="E93" i="5" s="1"/>
  <c r="AG83" i="2"/>
  <c r="AF83" i="2"/>
  <c r="AE83" i="2"/>
  <c r="AD83" i="2"/>
  <c r="E93" i="6" s="1"/>
  <c r="AC83" i="2"/>
  <c r="AB83" i="2"/>
  <c r="AA83" i="2"/>
  <c r="Z83" i="2"/>
  <c r="Y83" i="2"/>
  <c r="X83" i="2"/>
  <c r="W83" i="2"/>
  <c r="V83" i="2"/>
  <c r="U83" i="2"/>
  <c r="T83" i="2"/>
  <c r="S83" i="2"/>
  <c r="R83" i="2"/>
  <c r="Q83" i="2"/>
  <c r="P83" i="2"/>
  <c r="O83" i="2"/>
  <c r="N83" i="2"/>
  <c r="M83" i="2"/>
  <c r="L83" i="2"/>
  <c r="E91" i="4" s="1"/>
  <c r="K83" i="2"/>
  <c r="J83" i="2"/>
  <c r="I83" i="2"/>
  <c r="H83" i="2"/>
  <c r="G83" i="2"/>
  <c r="F83" i="2"/>
  <c r="E83" i="2"/>
  <c r="D83" i="2"/>
  <c r="C83" i="2"/>
  <c r="B83" i="2"/>
  <c r="A83" i="2"/>
  <c r="AR82" i="2"/>
  <c r="AQ82" i="2"/>
  <c r="AP82" i="2"/>
  <c r="AO82" i="2"/>
  <c r="AN82" i="2"/>
  <c r="AM82" i="2"/>
  <c r="AL82" i="2"/>
  <c r="AK82" i="2"/>
  <c r="AJ82" i="2"/>
  <c r="AI82" i="2"/>
  <c r="AH82" i="2"/>
  <c r="E92" i="5" s="1"/>
  <c r="AG82" i="2"/>
  <c r="AF82" i="2"/>
  <c r="AE82" i="2"/>
  <c r="AD82" i="2"/>
  <c r="E92" i="6" s="1"/>
  <c r="AC82" i="2"/>
  <c r="AB82" i="2"/>
  <c r="AA82" i="2"/>
  <c r="Z82" i="2"/>
  <c r="Y82" i="2"/>
  <c r="X82" i="2"/>
  <c r="W82" i="2"/>
  <c r="V82" i="2"/>
  <c r="U82" i="2"/>
  <c r="T82" i="2"/>
  <c r="S82" i="2"/>
  <c r="R82" i="2"/>
  <c r="Q82" i="2"/>
  <c r="P82" i="2"/>
  <c r="O82" i="2"/>
  <c r="N82" i="2"/>
  <c r="M82" i="2"/>
  <c r="L82" i="2"/>
  <c r="E90" i="4" s="1"/>
  <c r="K82" i="2"/>
  <c r="J82" i="2"/>
  <c r="I82" i="2"/>
  <c r="H82" i="2"/>
  <c r="G82" i="2"/>
  <c r="F82" i="2"/>
  <c r="E82" i="2"/>
  <c r="D82" i="2"/>
  <c r="C82" i="2"/>
  <c r="B82" i="2"/>
  <c r="A82" i="2"/>
  <c r="AR81" i="2"/>
  <c r="AQ81" i="2"/>
  <c r="AP81" i="2"/>
  <c r="AO81" i="2"/>
  <c r="AN81" i="2"/>
  <c r="AM81" i="2"/>
  <c r="AL81" i="2"/>
  <c r="AK81" i="2"/>
  <c r="AJ81" i="2"/>
  <c r="AI81" i="2"/>
  <c r="AH81" i="2"/>
  <c r="E91" i="5" s="1"/>
  <c r="AG81" i="2"/>
  <c r="AF81" i="2"/>
  <c r="AE81" i="2"/>
  <c r="AD81" i="2"/>
  <c r="E91" i="6" s="1"/>
  <c r="AC81" i="2"/>
  <c r="AB81" i="2"/>
  <c r="AA81" i="2"/>
  <c r="Z81" i="2"/>
  <c r="Y81" i="2"/>
  <c r="X81" i="2"/>
  <c r="W81" i="2"/>
  <c r="V81" i="2"/>
  <c r="U81" i="2"/>
  <c r="T81" i="2"/>
  <c r="S81" i="2"/>
  <c r="R81" i="2"/>
  <c r="Q81" i="2"/>
  <c r="P81" i="2"/>
  <c r="O81" i="2"/>
  <c r="N81" i="2"/>
  <c r="M81" i="2"/>
  <c r="L81" i="2"/>
  <c r="E89" i="4" s="1"/>
  <c r="K81" i="2"/>
  <c r="J81" i="2"/>
  <c r="I81" i="2"/>
  <c r="H81" i="2"/>
  <c r="G81" i="2"/>
  <c r="F81" i="2"/>
  <c r="E81" i="2"/>
  <c r="D81" i="2"/>
  <c r="C81" i="2"/>
  <c r="B81" i="2"/>
  <c r="A81" i="2"/>
  <c r="AR80" i="2"/>
  <c r="AQ80" i="2"/>
  <c r="AP80" i="2"/>
  <c r="AO80" i="2"/>
  <c r="AN80" i="2"/>
  <c r="AM80" i="2"/>
  <c r="AL80" i="2"/>
  <c r="AK80" i="2"/>
  <c r="AJ80" i="2"/>
  <c r="AI80" i="2"/>
  <c r="AH80" i="2"/>
  <c r="E90" i="5" s="1"/>
  <c r="AG80" i="2"/>
  <c r="AF80" i="2"/>
  <c r="AE80" i="2"/>
  <c r="AD80" i="2"/>
  <c r="E90" i="6" s="1"/>
  <c r="AC80" i="2"/>
  <c r="AB80" i="2"/>
  <c r="AA80" i="2"/>
  <c r="Z80" i="2"/>
  <c r="Y80" i="2"/>
  <c r="X80" i="2"/>
  <c r="W80" i="2"/>
  <c r="V80" i="2"/>
  <c r="U80" i="2"/>
  <c r="T80" i="2"/>
  <c r="S80" i="2"/>
  <c r="R80" i="2"/>
  <c r="Q80" i="2"/>
  <c r="P80" i="2"/>
  <c r="O80" i="2"/>
  <c r="N80" i="2"/>
  <c r="M80" i="2"/>
  <c r="L80" i="2"/>
  <c r="E88" i="4" s="1"/>
  <c r="K80" i="2"/>
  <c r="J80" i="2"/>
  <c r="I80" i="2"/>
  <c r="H80" i="2"/>
  <c r="G80" i="2"/>
  <c r="F80" i="2"/>
  <c r="E80" i="2"/>
  <c r="D80" i="2"/>
  <c r="C80" i="2"/>
  <c r="B80" i="2"/>
  <c r="A80" i="2"/>
  <c r="AR79" i="2"/>
  <c r="AQ79" i="2"/>
  <c r="AP79" i="2"/>
  <c r="AO79" i="2"/>
  <c r="AN79" i="2"/>
  <c r="AM79" i="2"/>
  <c r="AL79" i="2"/>
  <c r="AK79" i="2"/>
  <c r="AJ79" i="2"/>
  <c r="AI79" i="2"/>
  <c r="AH79" i="2"/>
  <c r="E89" i="5" s="1"/>
  <c r="AG79" i="2"/>
  <c r="AF79" i="2"/>
  <c r="AE79" i="2"/>
  <c r="AD79" i="2"/>
  <c r="E89" i="6" s="1"/>
  <c r="AC79" i="2"/>
  <c r="AB79" i="2"/>
  <c r="AA79" i="2"/>
  <c r="Z79" i="2"/>
  <c r="Y79" i="2"/>
  <c r="X79" i="2"/>
  <c r="W79" i="2"/>
  <c r="V79" i="2"/>
  <c r="U79" i="2"/>
  <c r="T79" i="2"/>
  <c r="S79" i="2"/>
  <c r="R79" i="2"/>
  <c r="Q79" i="2"/>
  <c r="P79" i="2"/>
  <c r="O79" i="2"/>
  <c r="N79" i="2"/>
  <c r="M79" i="2"/>
  <c r="L79" i="2"/>
  <c r="E87" i="4" s="1"/>
  <c r="K79" i="2"/>
  <c r="J79" i="2"/>
  <c r="I79" i="2"/>
  <c r="H79" i="2"/>
  <c r="G79" i="2"/>
  <c r="F79" i="2"/>
  <c r="E79" i="2"/>
  <c r="D79" i="2"/>
  <c r="C79" i="2"/>
  <c r="B79" i="2"/>
  <c r="A79" i="2"/>
  <c r="AR78" i="2"/>
  <c r="AQ78" i="2"/>
  <c r="AP78" i="2"/>
  <c r="AO78" i="2"/>
  <c r="AN78" i="2"/>
  <c r="AM78" i="2"/>
  <c r="AL78" i="2"/>
  <c r="AK78" i="2"/>
  <c r="AJ78" i="2"/>
  <c r="AI78" i="2"/>
  <c r="AH78" i="2"/>
  <c r="E88" i="5" s="1"/>
  <c r="AG78" i="2"/>
  <c r="AF78" i="2"/>
  <c r="AE78" i="2"/>
  <c r="AD78" i="2"/>
  <c r="E88" i="6" s="1"/>
  <c r="AC78" i="2"/>
  <c r="AB78" i="2"/>
  <c r="AA78" i="2"/>
  <c r="Z78" i="2"/>
  <c r="Y78" i="2"/>
  <c r="X78" i="2"/>
  <c r="W78" i="2"/>
  <c r="V78" i="2"/>
  <c r="U78" i="2"/>
  <c r="T78" i="2"/>
  <c r="S78" i="2"/>
  <c r="R78" i="2"/>
  <c r="Q78" i="2"/>
  <c r="P78" i="2"/>
  <c r="O78" i="2"/>
  <c r="N78" i="2"/>
  <c r="M78" i="2"/>
  <c r="L78" i="2"/>
  <c r="E86" i="4" s="1"/>
  <c r="K78" i="2"/>
  <c r="J78" i="2"/>
  <c r="I78" i="2"/>
  <c r="H78" i="2"/>
  <c r="G78" i="2"/>
  <c r="F78" i="2"/>
  <c r="E78" i="2"/>
  <c r="D78" i="2"/>
  <c r="C78" i="2"/>
  <c r="B78" i="2"/>
  <c r="A78" i="2"/>
  <c r="AR77" i="2"/>
  <c r="AQ77" i="2"/>
  <c r="AP77" i="2"/>
  <c r="AO77" i="2"/>
  <c r="AN77" i="2"/>
  <c r="AM77" i="2"/>
  <c r="AL77" i="2"/>
  <c r="AK77" i="2"/>
  <c r="AJ77" i="2"/>
  <c r="AI77" i="2"/>
  <c r="AH77" i="2"/>
  <c r="E87" i="5" s="1"/>
  <c r="AG77" i="2"/>
  <c r="AF77" i="2"/>
  <c r="AE77" i="2"/>
  <c r="AD77" i="2"/>
  <c r="E87" i="6" s="1"/>
  <c r="AC77" i="2"/>
  <c r="AB77" i="2"/>
  <c r="AA77" i="2"/>
  <c r="Z77" i="2"/>
  <c r="Y77" i="2"/>
  <c r="X77" i="2"/>
  <c r="W77" i="2"/>
  <c r="V77" i="2"/>
  <c r="U77" i="2"/>
  <c r="T77" i="2"/>
  <c r="S77" i="2"/>
  <c r="R77" i="2"/>
  <c r="Q77" i="2"/>
  <c r="P77" i="2"/>
  <c r="O77" i="2"/>
  <c r="N77" i="2"/>
  <c r="M77" i="2"/>
  <c r="L77" i="2"/>
  <c r="E85" i="4" s="1"/>
  <c r="K77" i="2"/>
  <c r="J77" i="2"/>
  <c r="I77" i="2"/>
  <c r="H77" i="2"/>
  <c r="G77" i="2"/>
  <c r="F77" i="2"/>
  <c r="E77" i="2"/>
  <c r="D77" i="2"/>
  <c r="C77" i="2"/>
  <c r="B77" i="2"/>
  <c r="A77" i="2"/>
  <c r="AR76" i="2"/>
  <c r="AQ76" i="2"/>
  <c r="AP76" i="2"/>
  <c r="AO76" i="2"/>
  <c r="AN76" i="2"/>
  <c r="AM76" i="2"/>
  <c r="AL76" i="2"/>
  <c r="AK76" i="2"/>
  <c r="AJ76" i="2"/>
  <c r="AI76" i="2"/>
  <c r="AH76" i="2"/>
  <c r="E86" i="5" s="1"/>
  <c r="AG76" i="2"/>
  <c r="AF76" i="2"/>
  <c r="AE76" i="2"/>
  <c r="AD76" i="2"/>
  <c r="E86" i="6" s="1"/>
  <c r="AC76" i="2"/>
  <c r="AB76" i="2"/>
  <c r="AA76" i="2"/>
  <c r="Z76" i="2"/>
  <c r="Y76" i="2"/>
  <c r="X76" i="2"/>
  <c r="W76" i="2"/>
  <c r="V76" i="2"/>
  <c r="U76" i="2"/>
  <c r="T76" i="2"/>
  <c r="S76" i="2"/>
  <c r="R76" i="2"/>
  <c r="Q76" i="2"/>
  <c r="P76" i="2"/>
  <c r="O76" i="2"/>
  <c r="N76" i="2"/>
  <c r="M76" i="2"/>
  <c r="L76" i="2"/>
  <c r="E84" i="4" s="1"/>
  <c r="K76" i="2"/>
  <c r="J76" i="2"/>
  <c r="I76" i="2"/>
  <c r="H76" i="2"/>
  <c r="G76" i="2"/>
  <c r="F76" i="2"/>
  <c r="E76" i="2"/>
  <c r="D76" i="2"/>
  <c r="C76" i="2"/>
  <c r="B76" i="2"/>
  <c r="A76" i="2"/>
  <c r="AR75" i="2"/>
  <c r="AQ75" i="2"/>
  <c r="AP75" i="2"/>
  <c r="AO75" i="2"/>
  <c r="AN75" i="2"/>
  <c r="AM75" i="2"/>
  <c r="AL75" i="2"/>
  <c r="AK75" i="2"/>
  <c r="AJ75" i="2"/>
  <c r="AI75" i="2"/>
  <c r="AH75" i="2"/>
  <c r="E85" i="5" s="1"/>
  <c r="AG75" i="2"/>
  <c r="AF75" i="2"/>
  <c r="AE75" i="2"/>
  <c r="AD75" i="2"/>
  <c r="E85" i="6" s="1"/>
  <c r="AC75" i="2"/>
  <c r="AB75" i="2"/>
  <c r="AA75" i="2"/>
  <c r="Z75" i="2"/>
  <c r="Y75" i="2"/>
  <c r="X75" i="2"/>
  <c r="W75" i="2"/>
  <c r="V75" i="2"/>
  <c r="U75" i="2"/>
  <c r="T75" i="2"/>
  <c r="S75" i="2"/>
  <c r="R75" i="2"/>
  <c r="Q75" i="2"/>
  <c r="P75" i="2"/>
  <c r="O75" i="2"/>
  <c r="N75" i="2"/>
  <c r="M75" i="2"/>
  <c r="L75" i="2"/>
  <c r="E83" i="4" s="1"/>
  <c r="K75" i="2"/>
  <c r="J75" i="2"/>
  <c r="I75" i="2"/>
  <c r="H75" i="2"/>
  <c r="G75" i="2"/>
  <c r="F75" i="2"/>
  <c r="E75" i="2"/>
  <c r="D75" i="2"/>
  <c r="C75" i="2"/>
  <c r="B75" i="2"/>
  <c r="A75" i="2"/>
  <c r="AR74" i="2"/>
  <c r="AQ74" i="2"/>
  <c r="AP74" i="2"/>
  <c r="AO74" i="2"/>
  <c r="AN74" i="2"/>
  <c r="AM74" i="2"/>
  <c r="AL74" i="2"/>
  <c r="AK74" i="2"/>
  <c r="AJ74" i="2"/>
  <c r="AI74" i="2"/>
  <c r="AH74" i="2"/>
  <c r="E84" i="5" s="1"/>
  <c r="AG74" i="2"/>
  <c r="AF74" i="2"/>
  <c r="AE74" i="2"/>
  <c r="AD74" i="2"/>
  <c r="E84" i="6" s="1"/>
  <c r="AC74" i="2"/>
  <c r="AB74" i="2"/>
  <c r="AA74" i="2"/>
  <c r="Z74" i="2"/>
  <c r="Y74" i="2"/>
  <c r="X74" i="2"/>
  <c r="W74" i="2"/>
  <c r="V74" i="2"/>
  <c r="U74" i="2"/>
  <c r="T74" i="2"/>
  <c r="S74" i="2"/>
  <c r="R74" i="2"/>
  <c r="Q74" i="2"/>
  <c r="P74" i="2"/>
  <c r="O74" i="2"/>
  <c r="N74" i="2"/>
  <c r="M74" i="2"/>
  <c r="L74" i="2"/>
  <c r="E82" i="4" s="1"/>
  <c r="K74" i="2"/>
  <c r="J74" i="2"/>
  <c r="I74" i="2"/>
  <c r="H74" i="2"/>
  <c r="G74" i="2"/>
  <c r="F74" i="2"/>
  <c r="E74" i="2"/>
  <c r="D74" i="2"/>
  <c r="C74" i="2"/>
  <c r="B74" i="2"/>
  <c r="A74" i="2"/>
  <c r="AR73" i="2"/>
  <c r="AQ73" i="2"/>
  <c r="AP73" i="2"/>
  <c r="AO73" i="2"/>
  <c r="AN73" i="2"/>
  <c r="AM73" i="2"/>
  <c r="AL73" i="2"/>
  <c r="AK73" i="2"/>
  <c r="AJ73" i="2"/>
  <c r="AI73" i="2"/>
  <c r="AH73" i="2"/>
  <c r="E83" i="5" s="1"/>
  <c r="AG73" i="2"/>
  <c r="AF73" i="2"/>
  <c r="AE73" i="2"/>
  <c r="AD73" i="2"/>
  <c r="E83" i="6" s="1"/>
  <c r="AC73" i="2"/>
  <c r="AB73" i="2"/>
  <c r="AA73" i="2"/>
  <c r="Z73" i="2"/>
  <c r="Y73" i="2"/>
  <c r="X73" i="2"/>
  <c r="W73" i="2"/>
  <c r="V73" i="2"/>
  <c r="U73" i="2"/>
  <c r="T73" i="2"/>
  <c r="S73" i="2"/>
  <c r="R73" i="2"/>
  <c r="Q73" i="2"/>
  <c r="P73" i="2"/>
  <c r="O73" i="2"/>
  <c r="N73" i="2"/>
  <c r="M73" i="2"/>
  <c r="L73" i="2"/>
  <c r="E81" i="4" s="1"/>
  <c r="K73" i="2"/>
  <c r="J73" i="2"/>
  <c r="I73" i="2"/>
  <c r="H73" i="2"/>
  <c r="G73" i="2"/>
  <c r="F73" i="2"/>
  <c r="E73" i="2"/>
  <c r="D73" i="2"/>
  <c r="C73" i="2"/>
  <c r="B73" i="2"/>
  <c r="A73" i="2"/>
  <c r="AR72" i="2"/>
  <c r="AQ72" i="2"/>
  <c r="AP72" i="2"/>
  <c r="AO72" i="2"/>
  <c r="AN72" i="2"/>
  <c r="AM72" i="2"/>
  <c r="AL72" i="2"/>
  <c r="AK72" i="2"/>
  <c r="AJ72" i="2"/>
  <c r="AI72" i="2"/>
  <c r="AH72" i="2"/>
  <c r="E82" i="5" s="1"/>
  <c r="AG72" i="2"/>
  <c r="AF72" i="2"/>
  <c r="AE72" i="2"/>
  <c r="AD72" i="2"/>
  <c r="E82" i="6" s="1"/>
  <c r="AC72" i="2"/>
  <c r="AB72" i="2"/>
  <c r="AA72" i="2"/>
  <c r="Z72" i="2"/>
  <c r="Y72" i="2"/>
  <c r="X72" i="2"/>
  <c r="W72" i="2"/>
  <c r="V72" i="2"/>
  <c r="U72" i="2"/>
  <c r="T72" i="2"/>
  <c r="S72" i="2"/>
  <c r="R72" i="2"/>
  <c r="Q72" i="2"/>
  <c r="P72" i="2"/>
  <c r="O72" i="2"/>
  <c r="N72" i="2"/>
  <c r="M72" i="2"/>
  <c r="L72" i="2"/>
  <c r="E80" i="4" s="1"/>
  <c r="K72" i="2"/>
  <c r="J72" i="2"/>
  <c r="I72" i="2"/>
  <c r="H72" i="2"/>
  <c r="G72" i="2"/>
  <c r="F72" i="2"/>
  <c r="E72" i="2"/>
  <c r="D72" i="2"/>
  <c r="C72" i="2"/>
  <c r="B72" i="2"/>
  <c r="A72" i="2"/>
  <c r="AR71" i="2"/>
  <c r="AQ71" i="2"/>
  <c r="AP71" i="2"/>
  <c r="AO71" i="2"/>
  <c r="AN71" i="2"/>
  <c r="AM71" i="2"/>
  <c r="AL71" i="2"/>
  <c r="AK71" i="2"/>
  <c r="AJ71" i="2"/>
  <c r="AI71" i="2"/>
  <c r="AH71" i="2"/>
  <c r="E81" i="5" s="1"/>
  <c r="AG71" i="2"/>
  <c r="AF71" i="2"/>
  <c r="AE71" i="2"/>
  <c r="AD71" i="2"/>
  <c r="E81" i="6" s="1"/>
  <c r="AC71" i="2"/>
  <c r="AB71" i="2"/>
  <c r="AA71" i="2"/>
  <c r="Z71" i="2"/>
  <c r="Y71" i="2"/>
  <c r="X71" i="2"/>
  <c r="W71" i="2"/>
  <c r="V71" i="2"/>
  <c r="U71" i="2"/>
  <c r="T71" i="2"/>
  <c r="S71" i="2"/>
  <c r="R71" i="2"/>
  <c r="Q71" i="2"/>
  <c r="P71" i="2"/>
  <c r="O71" i="2"/>
  <c r="N71" i="2"/>
  <c r="M71" i="2"/>
  <c r="L71" i="2"/>
  <c r="E79" i="4" s="1"/>
  <c r="K71" i="2"/>
  <c r="J71" i="2"/>
  <c r="I71" i="2"/>
  <c r="H71" i="2"/>
  <c r="G71" i="2"/>
  <c r="F71" i="2"/>
  <c r="E71" i="2"/>
  <c r="D71" i="2"/>
  <c r="C71" i="2"/>
  <c r="B71" i="2"/>
  <c r="A71" i="2"/>
  <c r="AR70" i="2"/>
  <c r="AQ70" i="2"/>
  <c r="AP70" i="2"/>
  <c r="AO70" i="2"/>
  <c r="AN70" i="2"/>
  <c r="AM70" i="2"/>
  <c r="AL70" i="2"/>
  <c r="AK70" i="2"/>
  <c r="AJ70" i="2"/>
  <c r="AI70" i="2"/>
  <c r="AH70" i="2"/>
  <c r="E80" i="5" s="1"/>
  <c r="AG70" i="2"/>
  <c r="AF70" i="2"/>
  <c r="AE70" i="2"/>
  <c r="AD70" i="2"/>
  <c r="E80" i="6" s="1"/>
  <c r="AC70" i="2"/>
  <c r="AB70" i="2"/>
  <c r="AA70" i="2"/>
  <c r="Z70" i="2"/>
  <c r="Y70" i="2"/>
  <c r="X70" i="2"/>
  <c r="W70" i="2"/>
  <c r="V70" i="2"/>
  <c r="U70" i="2"/>
  <c r="T70" i="2"/>
  <c r="S70" i="2"/>
  <c r="R70" i="2"/>
  <c r="Q70" i="2"/>
  <c r="P70" i="2"/>
  <c r="O70" i="2"/>
  <c r="N70" i="2"/>
  <c r="M70" i="2"/>
  <c r="L70" i="2"/>
  <c r="E78" i="4" s="1"/>
  <c r="K70" i="2"/>
  <c r="J70" i="2"/>
  <c r="I70" i="2"/>
  <c r="H70" i="2"/>
  <c r="G70" i="2"/>
  <c r="F70" i="2"/>
  <c r="E70" i="2"/>
  <c r="D70" i="2"/>
  <c r="C70" i="2"/>
  <c r="B70" i="2"/>
  <c r="A70" i="2"/>
  <c r="AR69" i="2"/>
  <c r="AQ69" i="2"/>
  <c r="AP69" i="2"/>
  <c r="AO69" i="2"/>
  <c r="AN69" i="2"/>
  <c r="AM69" i="2"/>
  <c r="AL69" i="2"/>
  <c r="AK69" i="2"/>
  <c r="AJ69" i="2"/>
  <c r="AI69" i="2"/>
  <c r="AH69" i="2"/>
  <c r="E79" i="5" s="1"/>
  <c r="AG69" i="2"/>
  <c r="AF69" i="2"/>
  <c r="AE69" i="2"/>
  <c r="AD69" i="2"/>
  <c r="E79" i="6" s="1"/>
  <c r="AC69" i="2"/>
  <c r="AB69" i="2"/>
  <c r="AA69" i="2"/>
  <c r="Z69" i="2"/>
  <c r="Y69" i="2"/>
  <c r="X69" i="2"/>
  <c r="W69" i="2"/>
  <c r="V69" i="2"/>
  <c r="U69" i="2"/>
  <c r="T69" i="2"/>
  <c r="S69" i="2"/>
  <c r="R69" i="2"/>
  <c r="Q69" i="2"/>
  <c r="P69" i="2"/>
  <c r="O69" i="2"/>
  <c r="N69" i="2"/>
  <c r="M69" i="2"/>
  <c r="L69" i="2"/>
  <c r="E77" i="4" s="1"/>
  <c r="K69" i="2"/>
  <c r="J69" i="2"/>
  <c r="I69" i="2"/>
  <c r="H69" i="2"/>
  <c r="G69" i="2"/>
  <c r="F69" i="2"/>
  <c r="E69" i="2"/>
  <c r="D69" i="2"/>
  <c r="C69" i="2"/>
  <c r="B69" i="2"/>
  <c r="A69" i="2"/>
  <c r="AR68" i="2"/>
  <c r="AQ68" i="2"/>
  <c r="AP68" i="2"/>
  <c r="AO68" i="2"/>
  <c r="AN68" i="2"/>
  <c r="AM68" i="2"/>
  <c r="AL68" i="2"/>
  <c r="AK68" i="2"/>
  <c r="AJ68" i="2"/>
  <c r="AI68" i="2"/>
  <c r="AH68" i="2"/>
  <c r="E78" i="5" s="1"/>
  <c r="AG68" i="2"/>
  <c r="AF68" i="2"/>
  <c r="AE68" i="2"/>
  <c r="AD68" i="2"/>
  <c r="E78" i="6" s="1"/>
  <c r="AC68" i="2"/>
  <c r="AB68" i="2"/>
  <c r="AA68" i="2"/>
  <c r="Z68" i="2"/>
  <c r="Y68" i="2"/>
  <c r="X68" i="2"/>
  <c r="W68" i="2"/>
  <c r="V68" i="2"/>
  <c r="U68" i="2"/>
  <c r="T68" i="2"/>
  <c r="S68" i="2"/>
  <c r="R68" i="2"/>
  <c r="Q68" i="2"/>
  <c r="P68" i="2"/>
  <c r="O68" i="2"/>
  <c r="N68" i="2"/>
  <c r="M68" i="2"/>
  <c r="L68" i="2"/>
  <c r="E76" i="4" s="1"/>
  <c r="K68" i="2"/>
  <c r="J68" i="2"/>
  <c r="I68" i="2"/>
  <c r="H68" i="2"/>
  <c r="G68" i="2"/>
  <c r="F68" i="2"/>
  <c r="E68" i="2"/>
  <c r="D68" i="2"/>
  <c r="C68" i="2"/>
  <c r="B68" i="2"/>
  <c r="A68" i="2"/>
  <c r="AR67" i="2"/>
  <c r="AQ67" i="2"/>
  <c r="AP67" i="2"/>
  <c r="AO67" i="2"/>
  <c r="AN67" i="2"/>
  <c r="AM67" i="2"/>
  <c r="AL67" i="2"/>
  <c r="AK67" i="2"/>
  <c r="AJ67" i="2"/>
  <c r="AI67" i="2"/>
  <c r="AH67" i="2"/>
  <c r="E77" i="5" s="1"/>
  <c r="AG67" i="2"/>
  <c r="AF67" i="2"/>
  <c r="AE67" i="2"/>
  <c r="AD67" i="2"/>
  <c r="E77" i="6" s="1"/>
  <c r="AC67" i="2"/>
  <c r="AB67" i="2"/>
  <c r="AA67" i="2"/>
  <c r="Z67" i="2"/>
  <c r="Y67" i="2"/>
  <c r="X67" i="2"/>
  <c r="W67" i="2"/>
  <c r="V67" i="2"/>
  <c r="U67" i="2"/>
  <c r="T67" i="2"/>
  <c r="S67" i="2"/>
  <c r="R67" i="2"/>
  <c r="Q67" i="2"/>
  <c r="P67" i="2"/>
  <c r="O67" i="2"/>
  <c r="N67" i="2"/>
  <c r="M67" i="2"/>
  <c r="L67" i="2"/>
  <c r="E75" i="4" s="1"/>
  <c r="K67" i="2"/>
  <c r="J67" i="2"/>
  <c r="I67" i="2"/>
  <c r="H67" i="2"/>
  <c r="G67" i="2"/>
  <c r="F67" i="2"/>
  <c r="E67" i="2"/>
  <c r="D67" i="2"/>
  <c r="C67" i="2"/>
  <c r="B67" i="2"/>
  <c r="A67" i="2"/>
  <c r="AR66" i="2"/>
  <c r="AQ66" i="2"/>
  <c r="AP66" i="2"/>
  <c r="AO66" i="2"/>
  <c r="AN66" i="2"/>
  <c r="AM66" i="2"/>
  <c r="AL66" i="2"/>
  <c r="AK66" i="2"/>
  <c r="AJ66" i="2"/>
  <c r="AI66" i="2"/>
  <c r="AH66" i="2"/>
  <c r="E76" i="5" s="1"/>
  <c r="AG66" i="2"/>
  <c r="AF66" i="2"/>
  <c r="AE66" i="2"/>
  <c r="AD66" i="2"/>
  <c r="E76" i="6" s="1"/>
  <c r="AC66" i="2"/>
  <c r="AB66" i="2"/>
  <c r="AA66" i="2"/>
  <c r="Z66" i="2"/>
  <c r="Y66" i="2"/>
  <c r="X66" i="2"/>
  <c r="W66" i="2"/>
  <c r="V66" i="2"/>
  <c r="U66" i="2"/>
  <c r="T66" i="2"/>
  <c r="S66" i="2"/>
  <c r="R66" i="2"/>
  <c r="Q66" i="2"/>
  <c r="P66" i="2"/>
  <c r="O66" i="2"/>
  <c r="N66" i="2"/>
  <c r="M66" i="2"/>
  <c r="L66" i="2"/>
  <c r="E74" i="4" s="1"/>
  <c r="K66" i="2"/>
  <c r="J66" i="2"/>
  <c r="I66" i="2"/>
  <c r="H66" i="2"/>
  <c r="G66" i="2"/>
  <c r="F66" i="2"/>
  <c r="E66" i="2"/>
  <c r="D66" i="2"/>
  <c r="C66" i="2"/>
  <c r="B66" i="2"/>
  <c r="A66" i="2"/>
  <c r="AR65" i="2"/>
  <c r="AQ65" i="2"/>
  <c r="AP65" i="2"/>
  <c r="AO65" i="2"/>
  <c r="AN65" i="2"/>
  <c r="AM65" i="2"/>
  <c r="AL65" i="2"/>
  <c r="AK65" i="2"/>
  <c r="AJ65" i="2"/>
  <c r="AI65" i="2"/>
  <c r="AH65" i="2"/>
  <c r="E75" i="5" s="1"/>
  <c r="AG65" i="2"/>
  <c r="AF65" i="2"/>
  <c r="AE65" i="2"/>
  <c r="AD65" i="2"/>
  <c r="E75" i="6" s="1"/>
  <c r="AC65" i="2"/>
  <c r="AB65" i="2"/>
  <c r="AA65" i="2"/>
  <c r="Z65" i="2"/>
  <c r="Y65" i="2"/>
  <c r="X65" i="2"/>
  <c r="W65" i="2"/>
  <c r="V65" i="2"/>
  <c r="U65" i="2"/>
  <c r="T65" i="2"/>
  <c r="S65" i="2"/>
  <c r="R65" i="2"/>
  <c r="Q65" i="2"/>
  <c r="P65" i="2"/>
  <c r="O65" i="2"/>
  <c r="N65" i="2"/>
  <c r="M65" i="2"/>
  <c r="L65" i="2"/>
  <c r="E73" i="4" s="1"/>
  <c r="K65" i="2"/>
  <c r="J65" i="2"/>
  <c r="I65" i="2"/>
  <c r="H65" i="2"/>
  <c r="G65" i="2"/>
  <c r="F65" i="2"/>
  <c r="E65" i="2"/>
  <c r="D65" i="2"/>
  <c r="C65" i="2"/>
  <c r="B65" i="2"/>
  <c r="A65" i="2"/>
  <c r="AR64" i="2"/>
  <c r="AQ64" i="2"/>
  <c r="AP64" i="2"/>
  <c r="AO64" i="2"/>
  <c r="AN64" i="2"/>
  <c r="AM64" i="2"/>
  <c r="AL64" i="2"/>
  <c r="AK64" i="2"/>
  <c r="AJ64" i="2"/>
  <c r="AI64" i="2"/>
  <c r="AH64" i="2"/>
  <c r="E74" i="5" s="1"/>
  <c r="AG64" i="2"/>
  <c r="AF64" i="2"/>
  <c r="AE64" i="2"/>
  <c r="AD64" i="2"/>
  <c r="E74" i="6" s="1"/>
  <c r="AC64" i="2"/>
  <c r="AB64" i="2"/>
  <c r="AA64" i="2"/>
  <c r="Z64" i="2"/>
  <c r="Y64" i="2"/>
  <c r="X64" i="2"/>
  <c r="W64" i="2"/>
  <c r="V64" i="2"/>
  <c r="U64" i="2"/>
  <c r="T64" i="2"/>
  <c r="S64" i="2"/>
  <c r="R64" i="2"/>
  <c r="Q64" i="2"/>
  <c r="P64" i="2"/>
  <c r="O64" i="2"/>
  <c r="N64" i="2"/>
  <c r="M64" i="2"/>
  <c r="L64" i="2"/>
  <c r="E72" i="4" s="1"/>
  <c r="K64" i="2"/>
  <c r="J64" i="2"/>
  <c r="I64" i="2"/>
  <c r="H64" i="2"/>
  <c r="G64" i="2"/>
  <c r="F64" i="2"/>
  <c r="E64" i="2"/>
  <c r="D64" i="2"/>
  <c r="C64" i="2"/>
  <c r="B64" i="2"/>
  <c r="A64" i="2"/>
  <c r="AR63" i="2"/>
  <c r="AQ63" i="2"/>
  <c r="AP63" i="2"/>
  <c r="AO63" i="2"/>
  <c r="AN63" i="2"/>
  <c r="AM63" i="2"/>
  <c r="AL63" i="2"/>
  <c r="AK63" i="2"/>
  <c r="AJ63" i="2"/>
  <c r="AI63" i="2"/>
  <c r="AH63" i="2"/>
  <c r="E73" i="5" s="1"/>
  <c r="AG63" i="2"/>
  <c r="AF63" i="2"/>
  <c r="AE63" i="2"/>
  <c r="AD63" i="2"/>
  <c r="E73" i="6" s="1"/>
  <c r="AC63" i="2"/>
  <c r="AB63" i="2"/>
  <c r="AA63" i="2"/>
  <c r="Z63" i="2"/>
  <c r="Y63" i="2"/>
  <c r="X63" i="2"/>
  <c r="W63" i="2"/>
  <c r="V63" i="2"/>
  <c r="U63" i="2"/>
  <c r="T63" i="2"/>
  <c r="S63" i="2"/>
  <c r="R63" i="2"/>
  <c r="Q63" i="2"/>
  <c r="P63" i="2"/>
  <c r="O63" i="2"/>
  <c r="N63" i="2"/>
  <c r="M63" i="2"/>
  <c r="L63" i="2"/>
  <c r="E71" i="4" s="1"/>
  <c r="K63" i="2"/>
  <c r="J63" i="2"/>
  <c r="I63" i="2"/>
  <c r="H63" i="2"/>
  <c r="G63" i="2"/>
  <c r="F63" i="2"/>
  <c r="E63" i="2"/>
  <c r="D63" i="2"/>
  <c r="C63" i="2"/>
  <c r="B63" i="2"/>
  <c r="A63" i="2"/>
  <c r="AR62" i="2"/>
  <c r="AQ62" i="2"/>
  <c r="AP62" i="2"/>
  <c r="AO62" i="2"/>
  <c r="AN62" i="2"/>
  <c r="AM62" i="2"/>
  <c r="AL62" i="2"/>
  <c r="AK62" i="2"/>
  <c r="AJ62" i="2"/>
  <c r="AI62" i="2"/>
  <c r="AH62" i="2"/>
  <c r="E72" i="5" s="1"/>
  <c r="AG62" i="2"/>
  <c r="AF62" i="2"/>
  <c r="AE62" i="2"/>
  <c r="AD62" i="2"/>
  <c r="E72" i="6" s="1"/>
  <c r="AC62" i="2"/>
  <c r="AB62" i="2"/>
  <c r="AA62" i="2"/>
  <c r="Z62" i="2"/>
  <c r="Y62" i="2"/>
  <c r="X62" i="2"/>
  <c r="W62" i="2"/>
  <c r="V62" i="2"/>
  <c r="U62" i="2"/>
  <c r="T62" i="2"/>
  <c r="S62" i="2"/>
  <c r="R62" i="2"/>
  <c r="Q62" i="2"/>
  <c r="P62" i="2"/>
  <c r="O62" i="2"/>
  <c r="N62" i="2"/>
  <c r="M62" i="2"/>
  <c r="L62" i="2"/>
  <c r="E70" i="4" s="1"/>
  <c r="K62" i="2"/>
  <c r="J62" i="2"/>
  <c r="I62" i="2"/>
  <c r="H62" i="2"/>
  <c r="G62" i="2"/>
  <c r="F62" i="2"/>
  <c r="E62" i="2"/>
  <c r="D62" i="2"/>
  <c r="C62" i="2"/>
  <c r="B62" i="2"/>
  <c r="A62" i="2"/>
  <c r="AR61" i="2"/>
  <c r="AQ61" i="2"/>
  <c r="AP61" i="2"/>
  <c r="AO61" i="2"/>
  <c r="AN61" i="2"/>
  <c r="AM61" i="2"/>
  <c r="AL61" i="2"/>
  <c r="AK61" i="2"/>
  <c r="AJ61" i="2"/>
  <c r="AI61" i="2"/>
  <c r="AH61" i="2"/>
  <c r="E71" i="5" s="1"/>
  <c r="AG61" i="2"/>
  <c r="AF61" i="2"/>
  <c r="AE61" i="2"/>
  <c r="AD61" i="2"/>
  <c r="E71" i="6" s="1"/>
  <c r="AC61" i="2"/>
  <c r="AB61" i="2"/>
  <c r="AA61" i="2"/>
  <c r="Z61" i="2"/>
  <c r="Y61" i="2"/>
  <c r="X61" i="2"/>
  <c r="W61" i="2"/>
  <c r="V61" i="2"/>
  <c r="U61" i="2"/>
  <c r="T61" i="2"/>
  <c r="S61" i="2"/>
  <c r="R61" i="2"/>
  <c r="Q61" i="2"/>
  <c r="P61" i="2"/>
  <c r="O61" i="2"/>
  <c r="N61" i="2"/>
  <c r="M61" i="2"/>
  <c r="L61" i="2"/>
  <c r="E69" i="4" s="1"/>
  <c r="K61" i="2"/>
  <c r="J61" i="2"/>
  <c r="I61" i="2"/>
  <c r="H61" i="2"/>
  <c r="G61" i="2"/>
  <c r="F61" i="2"/>
  <c r="E61" i="2"/>
  <c r="D61" i="2"/>
  <c r="C61" i="2"/>
  <c r="B61" i="2"/>
  <c r="A61" i="2"/>
  <c r="AR60" i="2"/>
  <c r="AQ60" i="2"/>
  <c r="AP60" i="2"/>
  <c r="AO60" i="2"/>
  <c r="AN60" i="2"/>
  <c r="AM60" i="2"/>
  <c r="AL60" i="2"/>
  <c r="AK60" i="2"/>
  <c r="AJ60" i="2"/>
  <c r="AI60" i="2"/>
  <c r="AH60" i="2"/>
  <c r="E70" i="5" s="1"/>
  <c r="AG60" i="2"/>
  <c r="AF60" i="2"/>
  <c r="AE60" i="2"/>
  <c r="AD60" i="2"/>
  <c r="E70" i="6" s="1"/>
  <c r="AC60" i="2"/>
  <c r="AB60" i="2"/>
  <c r="AA60" i="2"/>
  <c r="Z60" i="2"/>
  <c r="Y60" i="2"/>
  <c r="X60" i="2"/>
  <c r="W60" i="2"/>
  <c r="V60" i="2"/>
  <c r="U60" i="2"/>
  <c r="T60" i="2"/>
  <c r="S60" i="2"/>
  <c r="R60" i="2"/>
  <c r="Q60" i="2"/>
  <c r="P60" i="2"/>
  <c r="O60" i="2"/>
  <c r="N60" i="2"/>
  <c r="M60" i="2"/>
  <c r="L60" i="2"/>
  <c r="E68" i="4" s="1"/>
  <c r="K60" i="2"/>
  <c r="J60" i="2"/>
  <c r="I60" i="2"/>
  <c r="H60" i="2"/>
  <c r="G60" i="2"/>
  <c r="F60" i="2"/>
  <c r="E60" i="2"/>
  <c r="D60" i="2"/>
  <c r="C60" i="2"/>
  <c r="B60" i="2"/>
  <c r="A60" i="2"/>
  <c r="AR59" i="2"/>
  <c r="AQ59" i="2"/>
  <c r="AP59" i="2"/>
  <c r="AO59" i="2"/>
  <c r="AN59" i="2"/>
  <c r="AM59" i="2"/>
  <c r="AL59" i="2"/>
  <c r="AK59" i="2"/>
  <c r="AJ59" i="2"/>
  <c r="AI59" i="2"/>
  <c r="AH59" i="2"/>
  <c r="E69" i="5" s="1"/>
  <c r="AG59" i="2"/>
  <c r="AF59" i="2"/>
  <c r="AE59" i="2"/>
  <c r="AD59" i="2"/>
  <c r="E69" i="6" s="1"/>
  <c r="AC59" i="2"/>
  <c r="AB59" i="2"/>
  <c r="AA59" i="2"/>
  <c r="Z59" i="2"/>
  <c r="Y59" i="2"/>
  <c r="X59" i="2"/>
  <c r="W59" i="2"/>
  <c r="V59" i="2"/>
  <c r="U59" i="2"/>
  <c r="T59" i="2"/>
  <c r="S59" i="2"/>
  <c r="R59" i="2"/>
  <c r="Q59" i="2"/>
  <c r="P59" i="2"/>
  <c r="O59" i="2"/>
  <c r="N59" i="2"/>
  <c r="M59" i="2"/>
  <c r="L59" i="2"/>
  <c r="E67" i="4" s="1"/>
  <c r="K59" i="2"/>
  <c r="J59" i="2"/>
  <c r="I59" i="2"/>
  <c r="H59" i="2"/>
  <c r="G59" i="2"/>
  <c r="F59" i="2"/>
  <c r="E59" i="2"/>
  <c r="D59" i="2"/>
  <c r="C59" i="2"/>
  <c r="B59" i="2"/>
  <c r="A59" i="2"/>
  <c r="AR58" i="2"/>
  <c r="AQ58" i="2"/>
  <c r="AP58" i="2"/>
  <c r="AO58" i="2"/>
  <c r="AN58" i="2"/>
  <c r="AM58" i="2"/>
  <c r="AL58" i="2"/>
  <c r="AK58" i="2"/>
  <c r="AJ58" i="2"/>
  <c r="AI58" i="2"/>
  <c r="AH58" i="2"/>
  <c r="E68" i="5" s="1"/>
  <c r="AG58" i="2"/>
  <c r="AF58" i="2"/>
  <c r="AE58" i="2"/>
  <c r="AD58" i="2"/>
  <c r="E68" i="6" s="1"/>
  <c r="AC58" i="2"/>
  <c r="AB58" i="2"/>
  <c r="AA58" i="2"/>
  <c r="Z58" i="2"/>
  <c r="Y58" i="2"/>
  <c r="X58" i="2"/>
  <c r="W58" i="2"/>
  <c r="V58" i="2"/>
  <c r="U58" i="2"/>
  <c r="T58" i="2"/>
  <c r="S58" i="2"/>
  <c r="R58" i="2"/>
  <c r="Q58" i="2"/>
  <c r="P58" i="2"/>
  <c r="O58" i="2"/>
  <c r="N58" i="2"/>
  <c r="M58" i="2"/>
  <c r="L58" i="2"/>
  <c r="E66" i="4" s="1"/>
  <c r="K58" i="2"/>
  <c r="J58" i="2"/>
  <c r="I58" i="2"/>
  <c r="H58" i="2"/>
  <c r="G58" i="2"/>
  <c r="F58" i="2"/>
  <c r="E58" i="2"/>
  <c r="D58" i="2"/>
  <c r="C58" i="2"/>
  <c r="B58" i="2"/>
  <c r="A58" i="2"/>
  <c r="AR57" i="2"/>
  <c r="AQ57" i="2"/>
  <c r="AP57" i="2"/>
  <c r="AO57" i="2"/>
  <c r="AN57" i="2"/>
  <c r="AM57" i="2"/>
  <c r="AL57" i="2"/>
  <c r="AK57" i="2"/>
  <c r="AJ57" i="2"/>
  <c r="AI57" i="2"/>
  <c r="AH57" i="2"/>
  <c r="E67" i="5" s="1"/>
  <c r="AG57" i="2"/>
  <c r="AF57" i="2"/>
  <c r="AE57" i="2"/>
  <c r="AD57" i="2"/>
  <c r="E67" i="6" s="1"/>
  <c r="AC57" i="2"/>
  <c r="AB57" i="2"/>
  <c r="AA57" i="2"/>
  <c r="Z57" i="2"/>
  <c r="Y57" i="2"/>
  <c r="X57" i="2"/>
  <c r="W57" i="2"/>
  <c r="V57" i="2"/>
  <c r="U57" i="2"/>
  <c r="T57" i="2"/>
  <c r="S57" i="2"/>
  <c r="R57" i="2"/>
  <c r="Q57" i="2"/>
  <c r="P57" i="2"/>
  <c r="O57" i="2"/>
  <c r="N57" i="2"/>
  <c r="M57" i="2"/>
  <c r="L57" i="2"/>
  <c r="E65" i="4" s="1"/>
  <c r="K57" i="2"/>
  <c r="J57" i="2"/>
  <c r="I57" i="2"/>
  <c r="H57" i="2"/>
  <c r="G57" i="2"/>
  <c r="F57" i="2"/>
  <c r="E57" i="2"/>
  <c r="D57" i="2"/>
  <c r="C57" i="2"/>
  <c r="B57" i="2"/>
  <c r="A57" i="2"/>
  <c r="AR56" i="2"/>
  <c r="AQ56" i="2"/>
  <c r="AP56" i="2"/>
  <c r="AO56" i="2"/>
  <c r="AN56" i="2"/>
  <c r="AM56" i="2"/>
  <c r="AL56" i="2"/>
  <c r="AK56" i="2"/>
  <c r="AJ56" i="2"/>
  <c r="AI56" i="2"/>
  <c r="AH56" i="2"/>
  <c r="E66" i="5" s="1"/>
  <c r="AG56" i="2"/>
  <c r="AF56" i="2"/>
  <c r="AE56" i="2"/>
  <c r="AD56" i="2"/>
  <c r="E66" i="6" s="1"/>
  <c r="AC56" i="2"/>
  <c r="AB56" i="2"/>
  <c r="AA56" i="2"/>
  <c r="Z56" i="2"/>
  <c r="Y56" i="2"/>
  <c r="X56" i="2"/>
  <c r="W56" i="2"/>
  <c r="V56" i="2"/>
  <c r="U56" i="2"/>
  <c r="T56" i="2"/>
  <c r="S56" i="2"/>
  <c r="R56" i="2"/>
  <c r="Q56" i="2"/>
  <c r="P56" i="2"/>
  <c r="O56" i="2"/>
  <c r="N56" i="2"/>
  <c r="M56" i="2"/>
  <c r="L56" i="2"/>
  <c r="E64" i="4" s="1"/>
  <c r="K56" i="2"/>
  <c r="J56" i="2"/>
  <c r="I56" i="2"/>
  <c r="H56" i="2"/>
  <c r="G56" i="2"/>
  <c r="F56" i="2"/>
  <c r="E56" i="2"/>
  <c r="D56" i="2"/>
  <c r="C56" i="2"/>
  <c r="B56" i="2"/>
  <c r="A56" i="2"/>
  <c r="AR55" i="2"/>
  <c r="AQ55" i="2"/>
  <c r="AP55" i="2"/>
  <c r="AO55" i="2"/>
  <c r="AN55" i="2"/>
  <c r="AM55" i="2"/>
  <c r="AL55" i="2"/>
  <c r="AK55" i="2"/>
  <c r="AJ55" i="2"/>
  <c r="AI55" i="2"/>
  <c r="AH55" i="2"/>
  <c r="E65" i="5" s="1"/>
  <c r="AG55" i="2"/>
  <c r="AF55" i="2"/>
  <c r="AE55" i="2"/>
  <c r="AD55" i="2"/>
  <c r="E65" i="6" s="1"/>
  <c r="AC55" i="2"/>
  <c r="AB55" i="2"/>
  <c r="AA55" i="2"/>
  <c r="Z55" i="2"/>
  <c r="Y55" i="2"/>
  <c r="X55" i="2"/>
  <c r="W55" i="2"/>
  <c r="V55" i="2"/>
  <c r="U55" i="2"/>
  <c r="T55" i="2"/>
  <c r="S55" i="2"/>
  <c r="R55" i="2"/>
  <c r="Q55" i="2"/>
  <c r="P55" i="2"/>
  <c r="O55" i="2"/>
  <c r="N55" i="2"/>
  <c r="M55" i="2"/>
  <c r="L55" i="2"/>
  <c r="E63" i="4" s="1"/>
  <c r="K55" i="2"/>
  <c r="J55" i="2"/>
  <c r="I55" i="2"/>
  <c r="H55" i="2"/>
  <c r="G55" i="2"/>
  <c r="F55" i="2"/>
  <c r="E55" i="2"/>
  <c r="D55" i="2"/>
  <c r="C55" i="2"/>
  <c r="B55" i="2"/>
  <c r="A55" i="2"/>
  <c r="AR54" i="2"/>
  <c r="AQ54" i="2"/>
  <c r="AP54" i="2"/>
  <c r="AO54" i="2"/>
  <c r="AN54" i="2"/>
  <c r="AM54" i="2"/>
  <c r="AL54" i="2"/>
  <c r="AK54" i="2"/>
  <c r="AJ54" i="2"/>
  <c r="AI54" i="2"/>
  <c r="AH54" i="2"/>
  <c r="E64" i="5" s="1"/>
  <c r="AG54" i="2"/>
  <c r="AF54" i="2"/>
  <c r="AE54" i="2"/>
  <c r="AD54" i="2"/>
  <c r="E64" i="6" s="1"/>
  <c r="AC54" i="2"/>
  <c r="AB54" i="2"/>
  <c r="AA54" i="2"/>
  <c r="Z54" i="2"/>
  <c r="Y54" i="2"/>
  <c r="X54" i="2"/>
  <c r="W54" i="2"/>
  <c r="V54" i="2"/>
  <c r="U54" i="2"/>
  <c r="T54" i="2"/>
  <c r="S54" i="2"/>
  <c r="R54" i="2"/>
  <c r="Q54" i="2"/>
  <c r="P54" i="2"/>
  <c r="O54" i="2"/>
  <c r="N54" i="2"/>
  <c r="M54" i="2"/>
  <c r="L54" i="2"/>
  <c r="E62" i="4" s="1"/>
  <c r="K54" i="2"/>
  <c r="J54" i="2"/>
  <c r="I54" i="2"/>
  <c r="H54" i="2"/>
  <c r="G54" i="2"/>
  <c r="F54" i="2"/>
  <c r="E54" i="2"/>
  <c r="D54" i="2"/>
  <c r="C54" i="2"/>
  <c r="B54" i="2"/>
  <c r="A54" i="2"/>
  <c r="AR53" i="2"/>
  <c r="AQ53" i="2"/>
  <c r="AP53" i="2"/>
  <c r="AO53" i="2"/>
  <c r="AN53" i="2"/>
  <c r="AM53" i="2"/>
  <c r="AL53" i="2"/>
  <c r="AK53" i="2"/>
  <c r="AJ53" i="2"/>
  <c r="AI53" i="2"/>
  <c r="AH53" i="2"/>
  <c r="E63" i="5" s="1"/>
  <c r="AG53" i="2"/>
  <c r="AF53" i="2"/>
  <c r="AE53" i="2"/>
  <c r="AD53" i="2"/>
  <c r="E63" i="6" s="1"/>
  <c r="AC53" i="2"/>
  <c r="AB53" i="2"/>
  <c r="AA53" i="2"/>
  <c r="Z53" i="2"/>
  <c r="Y53" i="2"/>
  <c r="X53" i="2"/>
  <c r="W53" i="2"/>
  <c r="V53" i="2"/>
  <c r="U53" i="2"/>
  <c r="T53" i="2"/>
  <c r="S53" i="2"/>
  <c r="R53" i="2"/>
  <c r="Q53" i="2"/>
  <c r="P53" i="2"/>
  <c r="O53" i="2"/>
  <c r="N53" i="2"/>
  <c r="M53" i="2"/>
  <c r="L53" i="2"/>
  <c r="E61" i="4" s="1"/>
  <c r="K53" i="2"/>
  <c r="J53" i="2"/>
  <c r="I53" i="2"/>
  <c r="H53" i="2"/>
  <c r="G53" i="2"/>
  <c r="F53" i="2"/>
  <c r="E53" i="2"/>
  <c r="D53" i="2"/>
  <c r="C53" i="2"/>
  <c r="B53" i="2"/>
  <c r="A53" i="2"/>
  <c r="AR52" i="2"/>
  <c r="AQ52" i="2"/>
  <c r="AP52" i="2"/>
  <c r="AO52" i="2"/>
  <c r="AN52" i="2"/>
  <c r="AM52" i="2"/>
  <c r="AL52" i="2"/>
  <c r="AK52" i="2"/>
  <c r="AJ52" i="2"/>
  <c r="AI52" i="2"/>
  <c r="AH52" i="2"/>
  <c r="E62" i="5" s="1"/>
  <c r="AG52" i="2"/>
  <c r="AF52" i="2"/>
  <c r="AE52" i="2"/>
  <c r="AD52" i="2"/>
  <c r="E62" i="6" s="1"/>
  <c r="AC52" i="2"/>
  <c r="AB52" i="2"/>
  <c r="AA52" i="2"/>
  <c r="Z52" i="2"/>
  <c r="Y52" i="2"/>
  <c r="X52" i="2"/>
  <c r="W52" i="2"/>
  <c r="V52" i="2"/>
  <c r="U52" i="2"/>
  <c r="T52" i="2"/>
  <c r="S52" i="2"/>
  <c r="R52" i="2"/>
  <c r="Q52" i="2"/>
  <c r="P52" i="2"/>
  <c r="O52" i="2"/>
  <c r="N52" i="2"/>
  <c r="M52" i="2"/>
  <c r="L52" i="2"/>
  <c r="E60" i="4" s="1"/>
  <c r="K52" i="2"/>
  <c r="J52" i="2"/>
  <c r="I52" i="2"/>
  <c r="H52" i="2"/>
  <c r="G52" i="2"/>
  <c r="F52" i="2"/>
  <c r="E52" i="2"/>
  <c r="D52" i="2"/>
  <c r="C52" i="2"/>
  <c r="B52" i="2"/>
  <c r="A52" i="2"/>
  <c r="AR51" i="2"/>
  <c r="AQ51" i="2"/>
  <c r="AP51" i="2"/>
  <c r="AO51" i="2"/>
  <c r="AN51" i="2"/>
  <c r="AM51" i="2"/>
  <c r="AL51" i="2"/>
  <c r="AK51" i="2"/>
  <c r="AJ51" i="2"/>
  <c r="AI51" i="2"/>
  <c r="AH51" i="2"/>
  <c r="E61" i="5" s="1"/>
  <c r="AG51" i="2"/>
  <c r="AF51" i="2"/>
  <c r="AE51" i="2"/>
  <c r="AD51" i="2"/>
  <c r="E61" i="6" s="1"/>
  <c r="AC51" i="2"/>
  <c r="AB51" i="2"/>
  <c r="AA51" i="2"/>
  <c r="Z51" i="2"/>
  <c r="Y51" i="2"/>
  <c r="X51" i="2"/>
  <c r="W51" i="2"/>
  <c r="V51" i="2"/>
  <c r="U51" i="2"/>
  <c r="T51" i="2"/>
  <c r="S51" i="2"/>
  <c r="R51" i="2"/>
  <c r="Q51" i="2"/>
  <c r="P51" i="2"/>
  <c r="O51" i="2"/>
  <c r="N51" i="2"/>
  <c r="M51" i="2"/>
  <c r="L51" i="2"/>
  <c r="E59" i="4" s="1"/>
  <c r="K51" i="2"/>
  <c r="J51" i="2"/>
  <c r="I51" i="2"/>
  <c r="H51" i="2"/>
  <c r="G51" i="2"/>
  <c r="F51" i="2"/>
  <c r="E51" i="2"/>
  <c r="D51" i="2"/>
  <c r="C51" i="2"/>
  <c r="B51" i="2"/>
  <c r="A51" i="2"/>
  <c r="AR50" i="2"/>
  <c r="AQ50" i="2"/>
  <c r="AP50" i="2"/>
  <c r="AO50" i="2"/>
  <c r="AN50" i="2"/>
  <c r="AM50" i="2"/>
  <c r="AL50" i="2"/>
  <c r="AK50" i="2"/>
  <c r="AJ50" i="2"/>
  <c r="AI50" i="2"/>
  <c r="AH50" i="2"/>
  <c r="E60" i="5" s="1"/>
  <c r="AG50" i="2"/>
  <c r="AF50" i="2"/>
  <c r="AE50" i="2"/>
  <c r="AD50" i="2"/>
  <c r="E60" i="6" s="1"/>
  <c r="AC50" i="2"/>
  <c r="AB50" i="2"/>
  <c r="AA50" i="2"/>
  <c r="Z50" i="2"/>
  <c r="Y50" i="2"/>
  <c r="X50" i="2"/>
  <c r="W50" i="2"/>
  <c r="V50" i="2"/>
  <c r="U50" i="2"/>
  <c r="T50" i="2"/>
  <c r="S50" i="2"/>
  <c r="R50" i="2"/>
  <c r="Q50" i="2"/>
  <c r="P50" i="2"/>
  <c r="O50" i="2"/>
  <c r="N50" i="2"/>
  <c r="M50" i="2"/>
  <c r="L50" i="2"/>
  <c r="E58" i="4" s="1"/>
  <c r="K50" i="2"/>
  <c r="J50" i="2"/>
  <c r="I50" i="2"/>
  <c r="H50" i="2"/>
  <c r="G50" i="2"/>
  <c r="F50" i="2"/>
  <c r="E50" i="2"/>
  <c r="D50" i="2"/>
  <c r="C50" i="2"/>
  <c r="B50" i="2"/>
  <c r="A50" i="2"/>
  <c r="AR49" i="2"/>
  <c r="AQ49" i="2"/>
  <c r="AP49" i="2"/>
  <c r="AO49" i="2"/>
  <c r="AN49" i="2"/>
  <c r="AM49" i="2"/>
  <c r="AL49" i="2"/>
  <c r="AK49" i="2"/>
  <c r="AJ49" i="2"/>
  <c r="AI49" i="2"/>
  <c r="AH49" i="2"/>
  <c r="E59" i="5" s="1"/>
  <c r="AG49" i="2"/>
  <c r="AF49" i="2"/>
  <c r="AE49" i="2"/>
  <c r="AD49" i="2"/>
  <c r="E59" i="6" s="1"/>
  <c r="AC49" i="2"/>
  <c r="AB49" i="2"/>
  <c r="AA49" i="2"/>
  <c r="Z49" i="2"/>
  <c r="Y49" i="2"/>
  <c r="X49" i="2"/>
  <c r="W49" i="2"/>
  <c r="V49" i="2"/>
  <c r="U49" i="2"/>
  <c r="T49" i="2"/>
  <c r="S49" i="2"/>
  <c r="R49" i="2"/>
  <c r="Q49" i="2"/>
  <c r="P49" i="2"/>
  <c r="O49" i="2"/>
  <c r="N49" i="2"/>
  <c r="M49" i="2"/>
  <c r="L49" i="2"/>
  <c r="E57" i="4" s="1"/>
  <c r="K49" i="2"/>
  <c r="J49" i="2"/>
  <c r="I49" i="2"/>
  <c r="H49" i="2"/>
  <c r="G49" i="2"/>
  <c r="F49" i="2"/>
  <c r="E49" i="2"/>
  <c r="D49" i="2"/>
  <c r="C49" i="2"/>
  <c r="B49" i="2"/>
  <c r="A49" i="2"/>
  <c r="AR48" i="2"/>
  <c r="AQ48" i="2"/>
  <c r="AP48" i="2"/>
  <c r="AO48" i="2"/>
  <c r="AN48" i="2"/>
  <c r="AM48" i="2"/>
  <c r="AL48" i="2"/>
  <c r="AK48" i="2"/>
  <c r="AJ48" i="2"/>
  <c r="AI48" i="2"/>
  <c r="AH48" i="2"/>
  <c r="E58" i="5" s="1"/>
  <c r="AG48" i="2"/>
  <c r="AF48" i="2"/>
  <c r="AE48" i="2"/>
  <c r="AD48" i="2"/>
  <c r="E58" i="6" s="1"/>
  <c r="AC48" i="2"/>
  <c r="AB48" i="2"/>
  <c r="AA48" i="2"/>
  <c r="Z48" i="2"/>
  <c r="Y48" i="2"/>
  <c r="X48" i="2"/>
  <c r="W48" i="2"/>
  <c r="V48" i="2"/>
  <c r="U48" i="2"/>
  <c r="T48" i="2"/>
  <c r="S48" i="2"/>
  <c r="R48" i="2"/>
  <c r="Q48" i="2"/>
  <c r="P48" i="2"/>
  <c r="O48" i="2"/>
  <c r="N48" i="2"/>
  <c r="M48" i="2"/>
  <c r="L48" i="2"/>
  <c r="E56" i="4" s="1"/>
  <c r="K48" i="2"/>
  <c r="J48" i="2"/>
  <c r="I48" i="2"/>
  <c r="H48" i="2"/>
  <c r="G48" i="2"/>
  <c r="F48" i="2"/>
  <c r="E48" i="2"/>
  <c r="D48" i="2"/>
  <c r="C48" i="2"/>
  <c r="B48" i="2"/>
  <c r="A48" i="2"/>
  <c r="AR47" i="2"/>
  <c r="AQ47" i="2"/>
  <c r="AP47" i="2"/>
  <c r="AO47" i="2"/>
  <c r="AN47" i="2"/>
  <c r="AM47" i="2"/>
  <c r="AL47" i="2"/>
  <c r="AK47" i="2"/>
  <c r="AJ47" i="2"/>
  <c r="AI47" i="2"/>
  <c r="AH47" i="2"/>
  <c r="E57" i="5" s="1"/>
  <c r="AG47" i="2"/>
  <c r="AF47" i="2"/>
  <c r="AE47" i="2"/>
  <c r="AD47" i="2"/>
  <c r="E57" i="6" s="1"/>
  <c r="AC47" i="2"/>
  <c r="AB47" i="2"/>
  <c r="AA47" i="2"/>
  <c r="Z47" i="2"/>
  <c r="Y47" i="2"/>
  <c r="X47" i="2"/>
  <c r="W47" i="2"/>
  <c r="V47" i="2"/>
  <c r="U47" i="2"/>
  <c r="T47" i="2"/>
  <c r="S47" i="2"/>
  <c r="R47" i="2"/>
  <c r="Q47" i="2"/>
  <c r="P47" i="2"/>
  <c r="O47" i="2"/>
  <c r="N47" i="2"/>
  <c r="M47" i="2"/>
  <c r="L47" i="2"/>
  <c r="E55" i="4" s="1"/>
  <c r="K47" i="2"/>
  <c r="J47" i="2"/>
  <c r="I47" i="2"/>
  <c r="H47" i="2"/>
  <c r="G47" i="2"/>
  <c r="F47" i="2"/>
  <c r="E47" i="2"/>
  <c r="D47" i="2"/>
  <c r="C47" i="2"/>
  <c r="B47" i="2"/>
  <c r="A47" i="2"/>
  <c r="AR46" i="2"/>
  <c r="AQ46" i="2"/>
  <c r="AP46" i="2"/>
  <c r="AO46" i="2"/>
  <c r="AN46" i="2"/>
  <c r="AM46" i="2"/>
  <c r="AL46" i="2"/>
  <c r="AK46" i="2"/>
  <c r="AJ46" i="2"/>
  <c r="AI46" i="2"/>
  <c r="AH46" i="2"/>
  <c r="E56" i="5" s="1"/>
  <c r="AG46" i="2"/>
  <c r="AF46" i="2"/>
  <c r="AE46" i="2"/>
  <c r="AD46" i="2"/>
  <c r="E56" i="6" s="1"/>
  <c r="AC46" i="2"/>
  <c r="AB46" i="2"/>
  <c r="AA46" i="2"/>
  <c r="Z46" i="2"/>
  <c r="Y46" i="2"/>
  <c r="X46" i="2"/>
  <c r="W46" i="2"/>
  <c r="V46" i="2"/>
  <c r="U46" i="2"/>
  <c r="T46" i="2"/>
  <c r="S46" i="2"/>
  <c r="R46" i="2"/>
  <c r="Q46" i="2"/>
  <c r="P46" i="2"/>
  <c r="O46" i="2"/>
  <c r="N46" i="2"/>
  <c r="M46" i="2"/>
  <c r="L46" i="2"/>
  <c r="E54" i="4" s="1"/>
  <c r="K46" i="2"/>
  <c r="J46" i="2"/>
  <c r="I46" i="2"/>
  <c r="H46" i="2"/>
  <c r="G46" i="2"/>
  <c r="F46" i="2"/>
  <c r="E46" i="2"/>
  <c r="D46" i="2"/>
  <c r="C46" i="2"/>
  <c r="B46" i="2"/>
  <c r="A46" i="2"/>
  <c r="AR45" i="2"/>
  <c r="AQ45" i="2"/>
  <c r="AP45" i="2"/>
  <c r="AO45" i="2"/>
  <c r="AN45" i="2"/>
  <c r="AM45" i="2"/>
  <c r="AL45" i="2"/>
  <c r="AK45" i="2"/>
  <c r="AJ45" i="2"/>
  <c r="AI45" i="2"/>
  <c r="AH45" i="2"/>
  <c r="E55" i="5" s="1"/>
  <c r="AG45" i="2"/>
  <c r="AF45" i="2"/>
  <c r="AE45" i="2"/>
  <c r="AD45" i="2"/>
  <c r="E55" i="6" s="1"/>
  <c r="AC45" i="2"/>
  <c r="AB45" i="2"/>
  <c r="AA45" i="2"/>
  <c r="Z45" i="2"/>
  <c r="Y45" i="2"/>
  <c r="X45" i="2"/>
  <c r="W45" i="2"/>
  <c r="V45" i="2"/>
  <c r="U45" i="2"/>
  <c r="T45" i="2"/>
  <c r="S45" i="2"/>
  <c r="R45" i="2"/>
  <c r="Q45" i="2"/>
  <c r="P45" i="2"/>
  <c r="O45" i="2"/>
  <c r="N45" i="2"/>
  <c r="M45" i="2"/>
  <c r="L45" i="2"/>
  <c r="E53" i="4" s="1"/>
  <c r="K45" i="2"/>
  <c r="J45" i="2"/>
  <c r="I45" i="2"/>
  <c r="H45" i="2"/>
  <c r="G45" i="2"/>
  <c r="F45" i="2"/>
  <c r="E45" i="2"/>
  <c r="D45" i="2"/>
  <c r="C45" i="2"/>
  <c r="B45" i="2"/>
  <c r="A45" i="2"/>
  <c r="AR44" i="2"/>
  <c r="AQ44" i="2"/>
  <c r="AP44" i="2"/>
  <c r="AO44" i="2"/>
  <c r="AN44" i="2"/>
  <c r="AM44" i="2"/>
  <c r="AL44" i="2"/>
  <c r="AK44" i="2"/>
  <c r="AJ44" i="2"/>
  <c r="AI44" i="2"/>
  <c r="AH44" i="2"/>
  <c r="E54" i="5" s="1"/>
  <c r="AG44" i="2"/>
  <c r="AF44" i="2"/>
  <c r="AE44" i="2"/>
  <c r="AD44" i="2"/>
  <c r="E54" i="6" s="1"/>
  <c r="AC44" i="2"/>
  <c r="AB44" i="2"/>
  <c r="AA44" i="2"/>
  <c r="Z44" i="2"/>
  <c r="Y44" i="2"/>
  <c r="X44" i="2"/>
  <c r="W44" i="2"/>
  <c r="V44" i="2"/>
  <c r="U44" i="2"/>
  <c r="T44" i="2"/>
  <c r="S44" i="2"/>
  <c r="R44" i="2"/>
  <c r="Q44" i="2"/>
  <c r="P44" i="2"/>
  <c r="O44" i="2"/>
  <c r="N44" i="2"/>
  <c r="M44" i="2"/>
  <c r="L44" i="2"/>
  <c r="E52" i="4" s="1"/>
  <c r="K44" i="2"/>
  <c r="J44" i="2"/>
  <c r="I44" i="2"/>
  <c r="H44" i="2"/>
  <c r="G44" i="2"/>
  <c r="F44" i="2"/>
  <c r="E44" i="2"/>
  <c r="D44" i="2"/>
  <c r="C44" i="2"/>
  <c r="B44" i="2"/>
  <c r="A44" i="2"/>
  <c r="AR43" i="2"/>
  <c r="AQ43" i="2"/>
  <c r="AP43" i="2"/>
  <c r="AO43" i="2"/>
  <c r="AN43" i="2"/>
  <c r="AM43" i="2"/>
  <c r="AL43" i="2"/>
  <c r="AK43" i="2"/>
  <c r="AJ43" i="2"/>
  <c r="AI43" i="2"/>
  <c r="AH43" i="2"/>
  <c r="E53" i="5" s="1"/>
  <c r="AG43" i="2"/>
  <c r="AF43" i="2"/>
  <c r="AE43" i="2"/>
  <c r="AD43" i="2"/>
  <c r="E53" i="6" s="1"/>
  <c r="AC43" i="2"/>
  <c r="AB43" i="2"/>
  <c r="AA43" i="2"/>
  <c r="Z43" i="2"/>
  <c r="Y43" i="2"/>
  <c r="X43" i="2"/>
  <c r="W43" i="2"/>
  <c r="V43" i="2"/>
  <c r="U43" i="2"/>
  <c r="T43" i="2"/>
  <c r="S43" i="2"/>
  <c r="R43" i="2"/>
  <c r="Q43" i="2"/>
  <c r="P43" i="2"/>
  <c r="O43" i="2"/>
  <c r="N43" i="2"/>
  <c r="M43" i="2"/>
  <c r="L43" i="2"/>
  <c r="E51" i="4" s="1"/>
  <c r="K43" i="2"/>
  <c r="J43" i="2"/>
  <c r="I43" i="2"/>
  <c r="H43" i="2"/>
  <c r="G43" i="2"/>
  <c r="F43" i="2"/>
  <c r="E43" i="2"/>
  <c r="D43" i="2"/>
  <c r="C43" i="2"/>
  <c r="B43" i="2"/>
  <c r="A43" i="2"/>
  <c r="AR42" i="2"/>
  <c r="AQ42" i="2"/>
  <c r="AP42" i="2"/>
  <c r="AO42" i="2"/>
  <c r="AN42" i="2"/>
  <c r="AM42" i="2"/>
  <c r="AL42" i="2"/>
  <c r="AK42" i="2"/>
  <c r="AJ42" i="2"/>
  <c r="AI42" i="2"/>
  <c r="AH42" i="2"/>
  <c r="E52" i="5" s="1"/>
  <c r="AG42" i="2"/>
  <c r="AF42" i="2"/>
  <c r="AE42" i="2"/>
  <c r="AD42" i="2"/>
  <c r="E52" i="6" s="1"/>
  <c r="AC42" i="2"/>
  <c r="AB42" i="2"/>
  <c r="AA42" i="2"/>
  <c r="Z42" i="2"/>
  <c r="Y42" i="2"/>
  <c r="X42" i="2"/>
  <c r="W42" i="2"/>
  <c r="V42" i="2"/>
  <c r="U42" i="2"/>
  <c r="T42" i="2"/>
  <c r="S42" i="2"/>
  <c r="R42" i="2"/>
  <c r="Q42" i="2"/>
  <c r="P42" i="2"/>
  <c r="O42" i="2"/>
  <c r="N42" i="2"/>
  <c r="M42" i="2"/>
  <c r="L42" i="2"/>
  <c r="E50" i="4" s="1"/>
  <c r="K42" i="2"/>
  <c r="J42" i="2"/>
  <c r="I42" i="2"/>
  <c r="H42" i="2"/>
  <c r="G42" i="2"/>
  <c r="F42" i="2"/>
  <c r="E42" i="2"/>
  <c r="D42" i="2"/>
  <c r="C42" i="2"/>
  <c r="B42" i="2"/>
  <c r="A42" i="2"/>
  <c r="AR41" i="2"/>
  <c r="AQ41" i="2"/>
  <c r="AP41" i="2"/>
  <c r="AO41" i="2"/>
  <c r="AN41" i="2"/>
  <c r="AM41" i="2"/>
  <c r="AL41" i="2"/>
  <c r="AK41" i="2"/>
  <c r="AJ41" i="2"/>
  <c r="AI41" i="2"/>
  <c r="AH41" i="2"/>
  <c r="E51" i="5" s="1"/>
  <c r="AG41" i="2"/>
  <c r="AF41" i="2"/>
  <c r="AE41" i="2"/>
  <c r="AD41" i="2"/>
  <c r="E51" i="6" s="1"/>
  <c r="AC41" i="2"/>
  <c r="AB41" i="2"/>
  <c r="AA41" i="2"/>
  <c r="Z41" i="2"/>
  <c r="Y41" i="2"/>
  <c r="X41" i="2"/>
  <c r="W41" i="2"/>
  <c r="V41" i="2"/>
  <c r="U41" i="2"/>
  <c r="T41" i="2"/>
  <c r="S41" i="2"/>
  <c r="R41" i="2"/>
  <c r="Q41" i="2"/>
  <c r="P41" i="2"/>
  <c r="O41" i="2"/>
  <c r="N41" i="2"/>
  <c r="M41" i="2"/>
  <c r="L41" i="2"/>
  <c r="E49" i="4" s="1"/>
  <c r="K41" i="2"/>
  <c r="J41" i="2"/>
  <c r="I41" i="2"/>
  <c r="H41" i="2"/>
  <c r="G41" i="2"/>
  <c r="F41" i="2"/>
  <c r="E41" i="2"/>
  <c r="D41" i="2"/>
  <c r="C41" i="2"/>
  <c r="B41" i="2"/>
  <c r="A41" i="2"/>
  <c r="AR40" i="2"/>
  <c r="AQ40" i="2"/>
  <c r="AP40" i="2"/>
  <c r="AO40" i="2"/>
  <c r="AN40" i="2"/>
  <c r="AM40" i="2"/>
  <c r="AL40" i="2"/>
  <c r="AK40" i="2"/>
  <c r="AJ40" i="2"/>
  <c r="AI40" i="2"/>
  <c r="AH40" i="2"/>
  <c r="E50" i="5" s="1"/>
  <c r="AG40" i="2"/>
  <c r="AF40" i="2"/>
  <c r="AE40" i="2"/>
  <c r="AD40" i="2"/>
  <c r="E50" i="6" s="1"/>
  <c r="AC40" i="2"/>
  <c r="AB40" i="2"/>
  <c r="AA40" i="2"/>
  <c r="Z40" i="2"/>
  <c r="Y40" i="2"/>
  <c r="X40" i="2"/>
  <c r="W40" i="2"/>
  <c r="V40" i="2"/>
  <c r="U40" i="2"/>
  <c r="T40" i="2"/>
  <c r="S40" i="2"/>
  <c r="R40" i="2"/>
  <c r="Q40" i="2"/>
  <c r="P40" i="2"/>
  <c r="O40" i="2"/>
  <c r="N40" i="2"/>
  <c r="M40" i="2"/>
  <c r="L40" i="2"/>
  <c r="E48" i="4" s="1"/>
  <c r="K40" i="2"/>
  <c r="J40" i="2"/>
  <c r="I40" i="2"/>
  <c r="H40" i="2"/>
  <c r="G40" i="2"/>
  <c r="F40" i="2"/>
  <c r="E40" i="2"/>
  <c r="D40" i="2"/>
  <c r="C40" i="2"/>
  <c r="B40" i="2"/>
  <c r="A40" i="2"/>
  <c r="AR39" i="2"/>
  <c r="AQ39" i="2"/>
  <c r="AP39" i="2"/>
  <c r="AO39" i="2"/>
  <c r="AN39" i="2"/>
  <c r="AM39" i="2"/>
  <c r="AL39" i="2"/>
  <c r="AK39" i="2"/>
  <c r="AJ39" i="2"/>
  <c r="AI39" i="2"/>
  <c r="AH39" i="2"/>
  <c r="E49" i="5" s="1"/>
  <c r="AG39" i="2"/>
  <c r="AF39" i="2"/>
  <c r="AE39" i="2"/>
  <c r="AD39" i="2"/>
  <c r="E49" i="6" s="1"/>
  <c r="AC39" i="2"/>
  <c r="AB39" i="2"/>
  <c r="AA39" i="2"/>
  <c r="Z39" i="2"/>
  <c r="Y39" i="2"/>
  <c r="X39" i="2"/>
  <c r="W39" i="2"/>
  <c r="V39" i="2"/>
  <c r="U39" i="2"/>
  <c r="T39" i="2"/>
  <c r="S39" i="2"/>
  <c r="R39" i="2"/>
  <c r="Q39" i="2"/>
  <c r="P39" i="2"/>
  <c r="O39" i="2"/>
  <c r="N39" i="2"/>
  <c r="M39" i="2"/>
  <c r="L39" i="2"/>
  <c r="E47" i="4" s="1"/>
  <c r="K39" i="2"/>
  <c r="J39" i="2"/>
  <c r="I39" i="2"/>
  <c r="H39" i="2"/>
  <c r="G39" i="2"/>
  <c r="F39" i="2"/>
  <c r="E39" i="2"/>
  <c r="D39" i="2"/>
  <c r="C39" i="2"/>
  <c r="B39" i="2"/>
  <c r="A39" i="2"/>
  <c r="AR38" i="2"/>
  <c r="AQ38" i="2"/>
  <c r="AP38" i="2"/>
  <c r="AO38" i="2"/>
  <c r="AN38" i="2"/>
  <c r="AM38" i="2"/>
  <c r="AL38" i="2"/>
  <c r="AK38" i="2"/>
  <c r="AJ38" i="2"/>
  <c r="AI38" i="2"/>
  <c r="AH38" i="2"/>
  <c r="E48" i="5" s="1"/>
  <c r="AG38" i="2"/>
  <c r="AF38" i="2"/>
  <c r="AE38" i="2"/>
  <c r="AD38" i="2"/>
  <c r="E48" i="6" s="1"/>
  <c r="AC38" i="2"/>
  <c r="AB38" i="2"/>
  <c r="AA38" i="2"/>
  <c r="Z38" i="2"/>
  <c r="Y38" i="2"/>
  <c r="X38" i="2"/>
  <c r="W38" i="2"/>
  <c r="V38" i="2"/>
  <c r="U38" i="2"/>
  <c r="T38" i="2"/>
  <c r="S38" i="2"/>
  <c r="R38" i="2"/>
  <c r="Q38" i="2"/>
  <c r="P38" i="2"/>
  <c r="O38" i="2"/>
  <c r="N38" i="2"/>
  <c r="M38" i="2"/>
  <c r="L38" i="2"/>
  <c r="E46" i="4" s="1"/>
  <c r="K38" i="2"/>
  <c r="J38" i="2"/>
  <c r="I38" i="2"/>
  <c r="H38" i="2"/>
  <c r="G38" i="2"/>
  <c r="F38" i="2"/>
  <c r="E38" i="2"/>
  <c r="D38" i="2"/>
  <c r="C38" i="2"/>
  <c r="B38" i="2"/>
  <c r="A38" i="2"/>
  <c r="AR37" i="2"/>
  <c r="AQ37" i="2"/>
  <c r="AP37" i="2"/>
  <c r="AO37" i="2"/>
  <c r="AN37" i="2"/>
  <c r="AM37" i="2"/>
  <c r="AL37" i="2"/>
  <c r="AK37" i="2"/>
  <c r="AJ37" i="2"/>
  <c r="AI37" i="2"/>
  <c r="AH37" i="2"/>
  <c r="E47" i="5" s="1"/>
  <c r="AG37" i="2"/>
  <c r="AF37" i="2"/>
  <c r="AE37" i="2"/>
  <c r="AD37" i="2"/>
  <c r="E47" i="6" s="1"/>
  <c r="AC37" i="2"/>
  <c r="AB37" i="2"/>
  <c r="AA37" i="2"/>
  <c r="Z37" i="2"/>
  <c r="Y37" i="2"/>
  <c r="X37" i="2"/>
  <c r="W37" i="2"/>
  <c r="V37" i="2"/>
  <c r="U37" i="2"/>
  <c r="T37" i="2"/>
  <c r="S37" i="2"/>
  <c r="R37" i="2"/>
  <c r="Q37" i="2"/>
  <c r="P37" i="2"/>
  <c r="O37" i="2"/>
  <c r="N37" i="2"/>
  <c r="M37" i="2"/>
  <c r="L37" i="2"/>
  <c r="E45" i="4" s="1"/>
  <c r="K37" i="2"/>
  <c r="J37" i="2"/>
  <c r="I37" i="2"/>
  <c r="H37" i="2"/>
  <c r="G37" i="2"/>
  <c r="F37" i="2"/>
  <c r="E37" i="2"/>
  <c r="D37" i="2"/>
  <c r="C37" i="2"/>
  <c r="B37" i="2"/>
  <c r="A37" i="2"/>
  <c r="AR36" i="2"/>
  <c r="AQ36" i="2"/>
  <c r="AP36" i="2"/>
  <c r="AO36" i="2"/>
  <c r="AN36" i="2"/>
  <c r="AM36" i="2"/>
  <c r="AL36" i="2"/>
  <c r="AK36" i="2"/>
  <c r="AJ36" i="2"/>
  <c r="AI36" i="2"/>
  <c r="AH36" i="2"/>
  <c r="E46" i="5" s="1"/>
  <c r="AG36" i="2"/>
  <c r="AF36" i="2"/>
  <c r="AE36" i="2"/>
  <c r="AD36" i="2"/>
  <c r="E46" i="6" s="1"/>
  <c r="AC36" i="2"/>
  <c r="AB36" i="2"/>
  <c r="AA36" i="2"/>
  <c r="Z36" i="2"/>
  <c r="Y36" i="2"/>
  <c r="X36" i="2"/>
  <c r="W36" i="2"/>
  <c r="V36" i="2"/>
  <c r="U36" i="2"/>
  <c r="T36" i="2"/>
  <c r="S36" i="2"/>
  <c r="R36" i="2"/>
  <c r="Q36" i="2"/>
  <c r="P36" i="2"/>
  <c r="O36" i="2"/>
  <c r="N36" i="2"/>
  <c r="M36" i="2"/>
  <c r="L36" i="2"/>
  <c r="E44" i="4" s="1"/>
  <c r="K36" i="2"/>
  <c r="J36" i="2"/>
  <c r="I36" i="2"/>
  <c r="H36" i="2"/>
  <c r="G36" i="2"/>
  <c r="F36" i="2"/>
  <c r="E36" i="2"/>
  <c r="D36" i="2"/>
  <c r="C36" i="2"/>
  <c r="B36" i="2"/>
  <c r="A36" i="2"/>
  <c r="AR35" i="2"/>
  <c r="AQ35" i="2"/>
  <c r="AP35" i="2"/>
  <c r="AO35" i="2"/>
  <c r="AN35" i="2"/>
  <c r="AM35" i="2"/>
  <c r="AL35" i="2"/>
  <c r="AK35" i="2"/>
  <c r="AJ35" i="2"/>
  <c r="AI35" i="2"/>
  <c r="AH35" i="2"/>
  <c r="E45" i="5" s="1"/>
  <c r="AG35" i="2"/>
  <c r="AF35" i="2"/>
  <c r="AE35" i="2"/>
  <c r="AD35" i="2"/>
  <c r="E45" i="6" s="1"/>
  <c r="AC35" i="2"/>
  <c r="AB35" i="2"/>
  <c r="AA35" i="2"/>
  <c r="Z35" i="2"/>
  <c r="Y35" i="2"/>
  <c r="X35" i="2"/>
  <c r="W35" i="2"/>
  <c r="V35" i="2"/>
  <c r="U35" i="2"/>
  <c r="T35" i="2"/>
  <c r="S35" i="2"/>
  <c r="R35" i="2"/>
  <c r="Q35" i="2"/>
  <c r="P35" i="2"/>
  <c r="O35" i="2"/>
  <c r="N35" i="2"/>
  <c r="M35" i="2"/>
  <c r="L35" i="2"/>
  <c r="E43" i="4" s="1"/>
  <c r="K35" i="2"/>
  <c r="J35" i="2"/>
  <c r="I35" i="2"/>
  <c r="H35" i="2"/>
  <c r="G35" i="2"/>
  <c r="F35" i="2"/>
  <c r="E35" i="2"/>
  <c r="D35" i="2"/>
  <c r="C35" i="2"/>
  <c r="B35" i="2"/>
  <c r="A35" i="2"/>
  <c r="AR34" i="2"/>
  <c r="AQ34" i="2"/>
  <c r="AP34" i="2"/>
  <c r="AO34" i="2"/>
  <c r="AN34" i="2"/>
  <c r="AM34" i="2"/>
  <c r="AL34" i="2"/>
  <c r="AK34" i="2"/>
  <c r="AJ34" i="2"/>
  <c r="AI34" i="2"/>
  <c r="AH34" i="2"/>
  <c r="E44" i="5" s="1"/>
  <c r="AG34" i="2"/>
  <c r="AF34" i="2"/>
  <c r="AE34" i="2"/>
  <c r="AD34" i="2"/>
  <c r="E44" i="6" s="1"/>
  <c r="AC34" i="2"/>
  <c r="AB34" i="2"/>
  <c r="AA34" i="2"/>
  <c r="Z34" i="2"/>
  <c r="Y34" i="2"/>
  <c r="X34" i="2"/>
  <c r="W34" i="2"/>
  <c r="V34" i="2"/>
  <c r="U34" i="2"/>
  <c r="T34" i="2"/>
  <c r="S34" i="2"/>
  <c r="R34" i="2"/>
  <c r="Q34" i="2"/>
  <c r="P34" i="2"/>
  <c r="O34" i="2"/>
  <c r="N34" i="2"/>
  <c r="M34" i="2"/>
  <c r="L34" i="2"/>
  <c r="E42" i="4" s="1"/>
  <c r="K34" i="2"/>
  <c r="J34" i="2"/>
  <c r="I34" i="2"/>
  <c r="H34" i="2"/>
  <c r="G34" i="2"/>
  <c r="F34" i="2"/>
  <c r="E34" i="2"/>
  <c r="D34" i="2"/>
  <c r="C34" i="2"/>
  <c r="B34" i="2"/>
  <c r="A34" i="2"/>
  <c r="AR33" i="2"/>
  <c r="AQ33" i="2"/>
  <c r="AP33" i="2"/>
  <c r="AO33" i="2"/>
  <c r="AN33" i="2"/>
  <c r="AM33" i="2"/>
  <c r="AL33" i="2"/>
  <c r="AK33" i="2"/>
  <c r="AJ33" i="2"/>
  <c r="AI33" i="2"/>
  <c r="AH33" i="2"/>
  <c r="E43" i="5" s="1"/>
  <c r="AG33" i="2"/>
  <c r="AF33" i="2"/>
  <c r="AE33" i="2"/>
  <c r="AD33" i="2"/>
  <c r="E43" i="6" s="1"/>
  <c r="AC33" i="2"/>
  <c r="AB33" i="2"/>
  <c r="AA33" i="2"/>
  <c r="Z33" i="2"/>
  <c r="Y33" i="2"/>
  <c r="X33" i="2"/>
  <c r="W33" i="2"/>
  <c r="V33" i="2"/>
  <c r="U33" i="2"/>
  <c r="T33" i="2"/>
  <c r="S33" i="2"/>
  <c r="R33" i="2"/>
  <c r="Q33" i="2"/>
  <c r="P33" i="2"/>
  <c r="O33" i="2"/>
  <c r="N33" i="2"/>
  <c r="M33" i="2"/>
  <c r="L33" i="2"/>
  <c r="E41" i="4" s="1"/>
  <c r="K33" i="2"/>
  <c r="J33" i="2"/>
  <c r="I33" i="2"/>
  <c r="H33" i="2"/>
  <c r="G33" i="2"/>
  <c r="F33" i="2"/>
  <c r="E33" i="2"/>
  <c r="D33" i="2"/>
  <c r="C33" i="2"/>
  <c r="B33" i="2"/>
  <c r="A33" i="2"/>
  <c r="AR32" i="2"/>
  <c r="AQ32" i="2"/>
  <c r="AP32" i="2"/>
  <c r="AO32" i="2"/>
  <c r="AN32" i="2"/>
  <c r="AM32" i="2"/>
  <c r="AL32" i="2"/>
  <c r="AK32" i="2"/>
  <c r="AJ32" i="2"/>
  <c r="AI32" i="2"/>
  <c r="AH32" i="2"/>
  <c r="E42" i="5" s="1"/>
  <c r="AG32" i="2"/>
  <c r="AF32" i="2"/>
  <c r="AE32" i="2"/>
  <c r="AD32" i="2"/>
  <c r="E42" i="6" s="1"/>
  <c r="AC32" i="2"/>
  <c r="AB32" i="2"/>
  <c r="AA32" i="2"/>
  <c r="Z32" i="2"/>
  <c r="Y32" i="2"/>
  <c r="X32" i="2"/>
  <c r="W32" i="2"/>
  <c r="V32" i="2"/>
  <c r="U32" i="2"/>
  <c r="T32" i="2"/>
  <c r="S32" i="2"/>
  <c r="R32" i="2"/>
  <c r="Q32" i="2"/>
  <c r="P32" i="2"/>
  <c r="O32" i="2"/>
  <c r="N32" i="2"/>
  <c r="M32" i="2"/>
  <c r="L32" i="2"/>
  <c r="E40" i="4" s="1"/>
  <c r="K32" i="2"/>
  <c r="J32" i="2"/>
  <c r="I32" i="2"/>
  <c r="H32" i="2"/>
  <c r="G32" i="2"/>
  <c r="F32" i="2"/>
  <c r="E32" i="2"/>
  <c r="D32" i="2"/>
  <c r="C32" i="2"/>
  <c r="B32" i="2"/>
  <c r="A32" i="2"/>
  <c r="AR31" i="2"/>
  <c r="AQ31" i="2"/>
  <c r="AP31" i="2"/>
  <c r="AO31" i="2"/>
  <c r="AN31" i="2"/>
  <c r="AM31" i="2"/>
  <c r="AL31" i="2"/>
  <c r="AK31" i="2"/>
  <c r="AJ31" i="2"/>
  <c r="AI31" i="2"/>
  <c r="AH31" i="2"/>
  <c r="E41" i="5" s="1"/>
  <c r="AG31" i="2"/>
  <c r="AF31" i="2"/>
  <c r="AE31" i="2"/>
  <c r="AD31" i="2"/>
  <c r="E41" i="6" s="1"/>
  <c r="AC31" i="2"/>
  <c r="AB31" i="2"/>
  <c r="AA31" i="2"/>
  <c r="Z31" i="2"/>
  <c r="Y31" i="2"/>
  <c r="X31" i="2"/>
  <c r="W31" i="2"/>
  <c r="V31" i="2"/>
  <c r="U31" i="2"/>
  <c r="T31" i="2"/>
  <c r="S31" i="2"/>
  <c r="R31" i="2"/>
  <c r="Q31" i="2"/>
  <c r="P31" i="2"/>
  <c r="O31" i="2"/>
  <c r="N31" i="2"/>
  <c r="M31" i="2"/>
  <c r="L31" i="2"/>
  <c r="E39" i="4" s="1"/>
  <c r="K31" i="2"/>
  <c r="J31" i="2"/>
  <c r="I31" i="2"/>
  <c r="H31" i="2"/>
  <c r="G31" i="2"/>
  <c r="F31" i="2"/>
  <c r="E31" i="2"/>
  <c r="D31" i="2"/>
  <c r="C31" i="2"/>
  <c r="B31" i="2"/>
  <c r="A31" i="2"/>
  <c r="AR30" i="2"/>
  <c r="AQ30" i="2"/>
  <c r="AP30" i="2"/>
  <c r="AO30" i="2"/>
  <c r="AN30" i="2"/>
  <c r="AM30" i="2"/>
  <c r="AL30" i="2"/>
  <c r="AK30" i="2"/>
  <c r="AJ30" i="2"/>
  <c r="AI30" i="2"/>
  <c r="AH30" i="2"/>
  <c r="E40" i="5" s="1"/>
  <c r="AG30" i="2"/>
  <c r="AF30" i="2"/>
  <c r="AE30" i="2"/>
  <c r="AD30" i="2"/>
  <c r="E40" i="6" s="1"/>
  <c r="AC30" i="2"/>
  <c r="AB30" i="2"/>
  <c r="AA30" i="2"/>
  <c r="Z30" i="2"/>
  <c r="Y30" i="2"/>
  <c r="X30" i="2"/>
  <c r="W30" i="2"/>
  <c r="V30" i="2"/>
  <c r="U30" i="2"/>
  <c r="T30" i="2"/>
  <c r="S30" i="2"/>
  <c r="R30" i="2"/>
  <c r="Q30" i="2"/>
  <c r="P30" i="2"/>
  <c r="O30" i="2"/>
  <c r="N30" i="2"/>
  <c r="M30" i="2"/>
  <c r="L30" i="2"/>
  <c r="E38" i="4" s="1"/>
  <c r="K30" i="2"/>
  <c r="J30" i="2"/>
  <c r="I30" i="2"/>
  <c r="H30" i="2"/>
  <c r="G30" i="2"/>
  <c r="F30" i="2"/>
  <c r="E30" i="2"/>
  <c r="D30" i="2"/>
  <c r="C30" i="2"/>
  <c r="B30" i="2"/>
  <c r="A30" i="2"/>
  <c r="AR29" i="2"/>
  <c r="AQ29" i="2"/>
  <c r="AP29" i="2"/>
  <c r="AO29" i="2"/>
  <c r="AN29" i="2"/>
  <c r="AM29" i="2"/>
  <c r="AL29" i="2"/>
  <c r="AK29" i="2"/>
  <c r="AJ29" i="2"/>
  <c r="AI29" i="2"/>
  <c r="AH29" i="2"/>
  <c r="E39" i="5" s="1"/>
  <c r="AG29" i="2"/>
  <c r="AF29" i="2"/>
  <c r="AE29" i="2"/>
  <c r="AD29" i="2"/>
  <c r="E39" i="6" s="1"/>
  <c r="AC29" i="2"/>
  <c r="AB29" i="2"/>
  <c r="AA29" i="2"/>
  <c r="Z29" i="2"/>
  <c r="Y29" i="2"/>
  <c r="X29" i="2"/>
  <c r="W29" i="2"/>
  <c r="V29" i="2"/>
  <c r="U29" i="2"/>
  <c r="T29" i="2"/>
  <c r="S29" i="2"/>
  <c r="R29" i="2"/>
  <c r="Q29" i="2"/>
  <c r="P29" i="2"/>
  <c r="O29" i="2"/>
  <c r="N29" i="2"/>
  <c r="M29" i="2"/>
  <c r="L29" i="2"/>
  <c r="E37" i="4" s="1"/>
  <c r="K29" i="2"/>
  <c r="J29" i="2"/>
  <c r="I29" i="2"/>
  <c r="H29" i="2"/>
  <c r="G29" i="2"/>
  <c r="F29" i="2"/>
  <c r="E29" i="2"/>
  <c r="D29" i="2"/>
  <c r="C29" i="2"/>
  <c r="B29" i="2"/>
  <c r="A29" i="2"/>
  <c r="AR28" i="2"/>
  <c r="AQ28" i="2"/>
  <c r="AP28" i="2"/>
  <c r="AO28" i="2"/>
  <c r="AN28" i="2"/>
  <c r="AM28" i="2"/>
  <c r="AL28" i="2"/>
  <c r="AK28" i="2"/>
  <c r="AJ28" i="2"/>
  <c r="AI28" i="2"/>
  <c r="AH28" i="2"/>
  <c r="E38" i="5" s="1"/>
  <c r="AG28" i="2"/>
  <c r="AF28" i="2"/>
  <c r="AE28" i="2"/>
  <c r="AD28" i="2"/>
  <c r="E38" i="6" s="1"/>
  <c r="AC28" i="2"/>
  <c r="AB28" i="2"/>
  <c r="AA28" i="2"/>
  <c r="Z28" i="2"/>
  <c r="Y28" i="2"/>
  <c r="X28" i="2"/>
  <c r="W28" i="2"/>
  <c r="V28" i="2"/>
  <c r="U28" i="2"/>
  <c r="T28" i="2"/>
  <c r="S28" i="2"/>
  <c r="R28" i="2"/>
  <c r="Q28" i="2"/>
  <c r="P28" i="2"/>
  <c r="O28" i="2"/>
  <c r="N28" i="2"/>
  <c r="M28" i="2"/>
  <c r="L28" i="2"/>
  <c r="E36" i="4" s="1"/>
  <c r="K28" i="2"/>
  <c r="J28" i="2"/>
  <c r="I28" i="2"/>
  <c r="H28" i="2"/>
  <c r="G28" i="2"/>
  <c r="F28" i="2"/>
  <c r="E28" i="2"/>
  <c r="D28" i="2"/>
  <c r="C28" i="2"/>
  <c r="B28" i="2"/>
  <c r="A28" i="2"/>
  <c r="AR27" i="2"/>
  <c r="AQ27" i="2"/>
  <c r="AP27" i="2"/>
  <c r="AO27" i="2"/>
  <c r="AN27" i="2"/>
  <c r="AM27" i="2"/>
  <c r="AL27" i="2"/>
  <c r="AK27" i="2"/>
  <c r="AJ27" i="2"/>
  <c r="AI27" i="2"/>
  <c r="AH27" i="2"/>
  <c r="E37" i="5" s="1"/>
  <c r="AG27" i="2"/>
  <c r="AF27" i="2"/>
  <c r="AE27" i="2"/>
  <c r="AD27" i="2"/>
  <c r="E37" i="6" s="1"/>
  <c r="AC27" i="2"/>
  <c r="AB27" i="2"/>
  <c r="AA27" i="2"/>
  <c r="Z27" i="2"/>
  <c r="Y27" i="2"/>
  <c r="X27" i="2"/>
  <c r="W27" i="2"/>
  <c r="V27" i="2"/>
  <c r="U27" i="2"/>
  <c r="T27" i="2"/>
  <c r="S27" i="2"/>
  <c r="R27" i="2"/>
  <c r="Q27" i="2"/>
  <c r="P27" i="2"/>
  <c r="O27" i="2"/>
  <c r="N27" i="2"/>
  <c r="M27" i="2"/>
  <c r="L27" i="2"/>
  <c r="E35" i="4" s="1"/>
  <c r="K27" i="2"/>
  <c r="J27" i="2"/>
  <c r="I27" i="2"/>
  <c r="H27" i="2"/>
  <c r="G27" i="2"/>
  <c r="F27" i="2"/>
  <c r="E27" i="2"/>
  <c r="D27" i="2"/>
  <c r="C27" i="2"/>
  <c r="B27" i="2"/>
  <c r="A27" i="2"/>
  <c r="AR26" i="2"/>
  <c r="AQ26" i="2"/>
  <c r="AP26" i="2"/>
  <c r="AO26" i="2"/>
  <c r="AN26" i="2"/>
  <c r="AM26" i="2"/>
  <c r="AL26" i="2"/>
  <c r="AK26" i="2"/>
  <c r="AJ26" i="2"/>
  <c r="AI26" i="2"/>
  <c r="AH26" i="2"/>
  <c r="E36" i="5" s="1"/>
  <c r="AG26" i="2"/>
  <c r="AF26" i="2"/>
  <c r="AE26" i="2"/>
  <c r="AD26" i="2"/>
  <c r="E36" i="6" s="1"/>
  <c r="AC26" i="2"/>
  <c r="AB26" i="2"/>
  <c r="AA26" i="2"/>
  <c r="Z26" i="2"/>
  <c r="Y26" i="2"/>
  <c r="X26" i="2"/>
  <c r="W26" i="2"/>
  <c r="V26" i="2"/>
  <c r="U26" i="2"/>
  <c r="T26" i="2"/>
  <c r="S26" i="2"/>
  <c r="R26" i="2"/>
  <c r="Q26" i="2"/>
  <c r="P26" i="2"/>
  <c r="O26" i="2"/>
  <c r="N26" i="2"/>
  <c r="M26" i="2"/>
  <c r="L26" i="2"/>
  <c r="E34" i="4" s="1"/>
  <c r="K26" i="2"/>
  <c r="J26" i="2"/>
  <c r="I26" i="2"/>
  <c r="H26" i="2"/>
  <c r="G26" i="2"/>
  <c r="F26" i="2"/>
  <c r="E26" i="2"/>
  <c r="D26" i="2"/>
  <c r="C26" i="2"/>
  <c r="B26" i="2"/>
  <c r="A26" i="2"/>
  <c r="AR25" i="2"/>
  <c r="AQ25" i="2"/>
  <c r="AP25" i="2"/>
  <c r="AO25" i="2"/>
  <c r="AN25" i="2"/>
  <c r="AM25" i="2"/>
  <c r="AL25" i="2"/>
  <c r="AK25" i="2"/>
  <c r="AJ25" i="2"/>
  <c r="AI25" i="2"/>
  <c r="AH25" i="2"/>
  <c r="E35" i="5" s="1"/>
  <c r="AG25" i="2"/>
  <c r="AF25" i="2"/>
  <c r="AE25" i="2"/>
  <c r="AD25" i="2"/>
  <c r="E35" i="6" s="1"/>
  <c r="AC25" i="2"/>
  <c r="AB25" i="2"/>
  <c r="AA25" i="2"/>
  <c r="Z25" i="2"/>
  <c r="Y25" i="2"/>
  <c r="X25" i="2"/>
  <c r="W25" i="2"/>
  <c r="V25" i="2"/>
  <c r="U25" i="2"/>
  <c r="T25" i="2"/>
  <c r="S25" i="2"/>
  <c r="R25" i="2"/>
  <c r="Q25" i="2"/>
  <c r="P25" i="2"/>
  <c r="O25" i="2"/>
  <c r="N25" i="2"/>
  <c r="M25" i="2"/>
  <c r="L25" i="2"/>
  <c r="E33" i="4" s="1"/>
  <c r="K25" i="2"/>
  <c r="J25" i="2"/>
  <c r="I25" i="2"/>
  <c r="H25" i="2"/>
  <c r="G25" i="2"/>
  <c r="F25" i="2"/>
  <c r="E25" i="2"/>
  <c r="D25" i="2"/>
  <c r="C25" i="2"/>
  <c r="B25" i="2"/>
  <c r="A25" i="2"/>
  <c r="AR24" i="2"/>
  <c r="AQ24" i="2"/>
  <c r="AP24" i="2"/>
  <c r="AO24" i="2"/>
  <c r="AN24" i="2"/>
  <c r="AM24" i="2"/>
  <c r="AL24" i="2"/>
  <c r="AK24" i="2"/>
  <c r="AJ24" i="2"/>
  <c r="AI24" i="2"/>
  <c r="AH24" i="2"/>
  <c r="E34" i="5" s="1"/>
  <c r="AG24" i="2"/>
  <c r="AF24" i="2"/>
  <c r="AE24" i="2"/>
  <c r="AD24" i="2"/>
  <c r="E34" i="6" s="1"/>
  <c r="AC24" i="2"/>
  <c r="AB24" i="2"/>
  <c r="AA24" i="2"/>
  <c r="Z24" i="2"/>
  <c r="Y24" i="2"/>
  <c r="X24" i="2"/>
  <c r="W24" i="2"/>
  <c r="V24" i="2"/>
  <c r="U24" i="2"/>
  <c r="T24" i="2"/>
  <c r="S24" i="2"/>
  <c r="R24" i="2"/>
  <c r="Q24" i="2"/>
  <c r="P24" i="2"/>
  <c r="O24" i="2"/>
  <c r="N24" i="2"/>
  <c r="M24" i="2"/>
  <c r="L24" i="2"/>
  <c r="E32" i="4" s="1"/>
  <c r="K24" i="2"/>
  <c r="J24" i="2"/>
  <c r="I24" i="2"/>
  <c r="H24" i="2"/>
  <c r="G24" i="2"/>
  <c r="F24" i="2"/>
  <c r="E24" i="2"/>
  <c r="D24" i="2"/>
  <c r="C24" i="2"/>
  <c r="B24" i="2"/>
  <c r="A24" i="2"/>
  <c r="AR23" i="2"/>
  <c r="AQ23" i="2"/>
  <c r="AP23" i="2"/>
  <c r="AO23" i="2"/>
  <c r="AN23" i="2"/>
  <c r="AM23" i="2"/>
  <c r="AL23" i="2"/>
  <c r="AK23" i="2"/>
  <c r="AJ23" i="2"/>
  <c r="AI23" i="2"/>
  <c r="AH23" i="2"/>
  <c r="E33" i="5" s="1"/>
  <c r="AG23" i="2"/>
  <c r="AF23" i="2"/>
  <c r="AE23" i="2"/>
  <c r="AD23" i="2"/>
  <c r="E33" i="6" s="1"/>
  <c r="AC23" i="2"/>
  <c r="AB23" i="2"/>
  <c r="AA23" i="2"/>
  <c r="Z23" i="2"/>
  <c r="Y23" i="2"/>
  <c r="X23" i="2"/>
  <c r="W23" i="2"/>
  <c r="V23" i="2"/>
  <c r="U23" i="2"/>
  <c r="T23" i="2"/>
  <c r="S23" i="2"/>
  <c r="R23" i="2"/>
  <c r="Q23" i="2"/>
  <c r="P23" i="2"/>
  <c r="O23" i="2"/>
  <c r="N23" i="2"/>
  <c r="M23" i="2"/>
  <c r="L23" i="2"/>
  <c r="E31" i="4" s="1"/>
  <c r="K23" i="2"/>
  <c r="J23" i="2"/>
  <c r="I23" i="2"/>
  <c r="H23" i="2"/>
  <c r="G23" i="2"/>
  <c r="F23" i="2"/>
  <c r="E23" i="2"/>
  <c r="D23" i="2"/>
  <c r="C23" i="2"/>
  <c r="B23" i="2"/>
  <c r="A23" i="2"/>
  <c r="AR22" i="2"/>
  <c r="AQ22" i="2"/>
  <c r="AP22" i="2"/>
  <c r="AO22" i="2"/>
  <c r="AN22" i="2"/>
  <c r="AM22" i="2"/>
  <c r="AL22" i="2"/>
  <c r="AK22" i="2"/>
  <c r="AJ22" i="2"/>
  <c r="AI22" i="2"/>
  <c r="AH22" i="2"/>
  <c r="E32" i="5" s="1"/>
  <c r="AG22" i="2"/>
  <c r="AF22" i="2"/>
  <c r="AE22" i="2"/>
  <c r="AD22" i="2"/>
  <c r="E32" i="6" s="1"/>
  <c r="AC22" i="2"/>
  <c r="AB22" i="2"/>
  <c r="AA22" i="2"/>
  <c r="Z22" i="2"/>
  <c r="Y22" i="2"/>
  <c r="X22" i="2"/>
  <c r="W22" i="2"/>
  <c r="V22" i="2"/>
  <c r="U22" i="2"/>
  <c r="T22" i="2"/>
  <c r="S22" i="2"/>
  <c r="R22" i="2"/>
  <c r="Q22" i="2"/>
  <c r="P22" i="2"/>
  <c r="O22" i="2"/>
  <c r="N22" i="2"/>
  <c r="M22" i="2"/>
  <c r="L22" i="2"/>
  <c r="E30" i="4" s="1"/>
  <c r="K22" i="2"/>
  <c r="J22" i="2"/>
  <c r="I22" i="2"/>
  <c r="H22" i="2"/>
  <c r="G22" i="2"/>
  <c r="F22" i="2"/>
  <c r="E22" i="2"/>
  <c r="D22" i="2"/>
  <c r="C22" i="2"/>
  <c r="B22" i="2"/>
  <c r="A22" i="2"/>
  <c r="AR21" i="2"/>
  <c r="AQ21" i="2"/>
  <c r="AP21" i="2"/>
  <c r="AO21" i="2"/>
  <c r="AN21" i="2"/>
  <c r="AM21" i="2"/>
  <c r="AL21" i="2"/>
  <c r="AK21" i="2"/>
  <c r="AJ21" i="2"/>
  <c r="AI21" i="2"/>
  <c r="AH21" i="2"/>
  <c r="E31" i="5" s="1"/>
  <c r="AG21" i="2"/>
  <c r="AF21" i="2"/>
  <c r="AE21" i="2"/>
  <c r="AD21" i="2"/>
  <c r="E31" i="6" s="1"/>
  <c r="AC21" i="2"/>
  <c r="AB21" i="2"/>
  <c r="AA21" i="2"/>
  <c r="Z21" i="2"/>
  <c r="Y21" i="2"/>
  <c r="X21" i="2"/>
  <c r="W21" i="2"/>
  <c r="V21" i="2"/>
  <c r="U21" i="2"/>
  <c r="T21" i="2"/>
  <c r="S21" i="2"/>
  <c r="R21" i="2"/>
  <c r="Q21" i="2"/>
  <c r="P21" i="2"/>
  <c r="O21" i="2"/>
  <c r="N21" i="2"/>
  <c r="M21" i="2"/>
  <c r="L21" i="2"/>
  <c r="E29" i="4" s="1"/>
  <c r="K21" i="2"/>
  <c r="J21" i="2"/>
  <c r="I21" i="2"/>
  <c r="H21" i="2"/>
  <c r="G21" i="2"/>
  <c r="F21" i="2"/>
  <c r="E21" i="2"/>
  <c r="D21" i="2"/>
  <c r="C21" i="2"/>
  <c r="B21" i="2"/>
  <c r="A21" i="2"/>
  <c r="AR20" i="2"/>
  <c r="AQ20" i="2"/>
  <c r="AP20" i="2"/>
  <c r="AO20" i="2"/>
  <c r="AN20" i="2"/>
  <c r="AM20" i="2"/>
  <c r="AL20" i="2"/>
  <c r="AK20" i="2"/>
  <c r="AJ20" i="2"/>
  <c r="AI20" i="2"/>
  <c r="AH20" i="2"/>
  <c r="E30" i="5" s="1"/>
  <c r="AG20" i="2"/>
  <c r="AF20" i="2"/>
  <c r="AE20" i="2"/>
  <c r="AD20" i="2"/>
  <c r="E30" i="6" s="1"/>
  <c r="AC20" i="2"/>
  <c r="AB20" i="2"/>
  <c r="AA20" i="2"/>
  <c r="Z20" i="2"/>
  <c r="Y20" i="2"/>
  <c r="X20" i="2"/>
  <c r="W20" i="2"/>
  <c r="V20" i="2"/>
  <c r="U20" i="2"/>
  <c r="T20" i="2"/>
  <c r="S20" i="2"/>
  <c r="R20" i="2"/>
  <c r="Q20" i="2"/>
  <c r="P20" i="2"/>
  <c r="O20" i="2"/>
  <c r="N20" i="2"/>
  <c r="M20" i="2"/>
  <c r="L20" i="2"/>
  <c r="E28" i="4" s="1"/>
  <c r="K20" i="2"/>
  <c r="J20" i="2"/>
  <c r="I20" i="2"/>
  <c r="H20" i="2"/>
  <c r="G20" i="2"/>
  <c r="F20" i="2"/>
  <c r="E20" i="2"/>
  <c r="D20" i="2"/>
  <c r="C20" i="2"/>
  <c r="B20" i="2"/>
  <c r="A20" i="2"/>
  <c r="AR19" i="2"/>
  <c r="AQ19" i="2"/>
  <c r="AP19" i="2"/>
  <c r="AO19" i="2"/>
  <c r="AN19" i="2"/>
  <c r="AM19" i="2"/>
  <c r="AL19" i="2"/>
  <c r="AK19" i="2"/>
  <c r="AJ19" i="2"/>
  <c r="AI19" i="2"/>
  <c r="AH19" i="2"/>
  <c r="E29" i="5" s="1"/>
  <c r="AG19" i="2"/>
  <c r="AF19" i="2"/>
  <c r="AE19" i="2"/>
  <c r="AD19" i="2"/>
  <c r="E29" i="6" s="1"/>
  <c r="AC19" i="2"/>
  <c r="AB19" i="2"/>
  <c r="AA19" i="2"/>
  <c r="Z19" i="2"/>
  <c r="Y19" i="2"/>
  <c r="X19" i="2"/>
  <c r="W19" i="2"/>
  <c r="V19" i="2"/>
  <c r="U19" i="2"/>
  <c r="T19" i="2"/>
  <c r="S19" i="2"/>
  <c r="R19" i="2"/>
  <c r="Q19" i="2"/>
  <c r="P19" i="2"/>
  <c r="O19" i="2"/>
  <c r="N19" i="2"/>
  <c r="M19" i="2"/>
  <c r="L19" i="2"/>
  <c r="E27" i="4" s="1"/>
  <c r="K19" i="2"/>
  <c r="J19" i="2"/>
  <c r="I19" i="2"/>
  <c r="H19" i="2"/>
  <c r="G19" i="2"/>
  <c r="F19" i="2"/>
  <c r="E19" i="2"/>
  <c r="D19" i="2"/>
  <c r="C19" i="2"/>
  <c r="B19" i="2"/>
  <c r="A19" i="2"/>
  <c r="AR18" i="2"/>
  <c r="AQ18" i="2"/>
  <c r="AP18" i="2"/>
  <c r="AO18" i="2"/>
  <c r="AN18" i="2"/>
  <c r="AM18" i="2"/>
  <c r="AL18" i="2"/>
  <c r="AK18" i="2"/>
  <c r="AJ18" i="2"/>
  <c r="AI18" i="2"/>
  <c r="AH18" i="2"/>
  <c r="E28" i="5" s="1"/>
  <c r="AG18" i="2"/>
  <c r="AF18" i="2"/>
  <c r="AE18" i="2"/>
  <c r="AD18" i="2"/>
  <c r="E28" i="6" s="1"/>
  <c r="AC18" i="2"/>
  <c r="AB18" i="2"/>
  <c r="AA18" i="2"/>
  <c r="Z18" i="2"/>
  <c r="Y18" i="2"/>
  <c r="X18" i="2"/>
  <c r="W18" i="2"/>
  <c r="V18" i="2"/>
  <c r="U18" i="2"/>
  <c r="T18" i="2"/>
  <c r="S18" i="2"/>
  <c r="R18" i="2"/>
  <c r="Q18" i="2"/>
  <c r="P18" i="2"/>
  <c r="O18" i="2"/>
  <c r="N18" i="2"/>
  <c r="M18" i="2"/>
  <c r="L18" i="2"/>
  <c r="E26" i="4" s="1"/>
  <c r="K18" i="2"/>
  <c r="J18" i="2"/>
  <c r="I18" i="2"/>
  <c r="H18" i="2"/>
  <c r="G18" i="2"/>
  <c r="F18" i="2"/>
  <c r="E18" i="2"/>
  <c r="D18" i="2"/>
  <c r="C18" i="2"/>
  <c r="B18" i="2"/>
  <c r="A18" i="2"/>
  <c r="AR17" i="2"/>
  <c r="AQ17" i="2"/>
  <c r="AP17" i="2"/>
  <c r="AO17" i="2"/>
  <c r="AN17" i="2"/>
  <c r="AM17" i="2"/>
  <c r="AL17" i="2"/>
  <c r="AK17" i="2"/>
  <c r="AJ17" i="2"/>
  <c r="AI17" i="2"/>
  <c r="AH17" i="2"/>
  <c r="E27" i="5" s="1"/>
  <c r="AG17" i="2"/>
  <c r="AF17" i="2"/>
  <c r="AE17" i="2"/>
  <c r="AD17" i="2"/>
  <c r="E27" i="6" s="1"/>
  <c r="AC17" i="2"/>
  <c r="AB17" i="2"/>
  <c r="AA17" i="2"/>
  <c r="Z17" i="2"/>
  <c r="Y17" i="2"/>
  <c r="X17" i="2"/>
  <c r="W17" i="2"/>
  <c r="V17" i="2"/>
  <c r="U17" i="2"/>
  <c r="T17" i="2"/>
  <c r="S17" i="2"/>
  <c r="R17" i="2"/>
  <c r="Q17" i="2"/>
  <c r="P17" i="2"/>
  <c r="O17" i="2"/>
  <c r="N17" i="2"/>
  <c r="M17" i="2"/>
  <c r="L17" i="2"/>
  <c r="E25" i="4" s="1"/>
  <c r="K17" i="2"/>
  <c r="J17" i="2"/>
  <c r="I17" i="2"/>
  <c r="H17" i="2"/>
  <c r="G17" i="2"/>
  <c r="F17" i="2"/>
  <c r="E17" i="2"/>
  <c r="D17" i="2"/>
  <c r="C17" i="2"/>
  <c r="B17" i="2"/>
  <c r="A17" i="2"/>
  <c r="AR16" i="2"/>
  <c r="AQ16" i="2"/>
  <c r="AP16" i="2"/>
  <c r="AO16" i="2"/>
  <c r="AN16" i="2"/>
  <c r="AM16" i="2"/>
  <c r="AL16" i="2"/>
  <c r="AK16" i="2"/>
  <c r="AJ16" i="2"/>
  <c r="AI16" i="2"/>
  <c r="AH16" i="2"/>
  <c r="E26" i="5" s="1"/>
  <c r="AG16" i="2"/>
  <c r="AF16" i="2"/>
  <c r="AE16" i="2"/>
  <c r="AD16" i="2"/>
  <c r="E26" i="6" s="1"/>
  <c r="AC16" i="2"/>
  <c r="AB16" i="2"/>
  <c r="AA16" i="2"/>
  <c r="Z16" i="2"/>
  <c r="Y16" i="2"/>
  <c r="X16" i="2"/>
  <c r="W16" i="2"/>
  <c r="V16" i="2"/>
  <c r="U16" i="2"/>
  <c r="T16" i="2"/>
  <c r="S16" i="2"/>
  <c r="R16" i="2"/>
  <c r="Q16" i="2"/>
  <c r="P16" i="2"/>
  <c r="O16" i="2"/>
  <c r="N16" i="2"/>
  <c r="M16" i="2"/>
  <c r="L16" i="2"/>
  <c r="E24" i="4" s="1"/>
  <c r="K16" i="2"/>
  <c r="J16" i="2"/>
  <c r="I16" i="2"/>
  <c r="H16" i="2"/>
  <c r="G16" i="2"/>
  <c r="F16" i="2"/>
  <c r="E16" i="2"/>
  <c r="D16" i="2"/>
  <c r="C16" i="2"/>
  <c r="B16" i="2"/>
  <c r="A16" i="2"/>
  <c r="AR15" i="2"/>
  <c r="AQ15" i="2"/>
  <c r="AP15" i="2"/>
  <c r="AO15" i="2"/>
  <c r="AN15" i="2"/>
  <c r="AM15" i="2"/>
  <c r="AL15" i="2"/>
  <c r="AK15" i="2"/>
  <c r="AJ15" i="2"/>
  <c r="AI15" i="2"/>
  <c r="AH15" i="2"/>
  <c r="E25" i="5" s="1"/>
  <c r="AG15" i="2"/>
  <c r="AF15" i="2"/>
  <c r="AE15" i="2"/>
  <c r="AD15" i="2"/>
  <c r="E25" i="6" s="1"/>
  <c r="AC15" i="2"/>
  <c r="AB15" i="2"/>
  <c r="AA15" i="2"/>
  <c r="Z15" i="2"/>
  <c r="Y15" i="2"/>
  <c r="X15" i="2"/>
  <c r="W15" i="2"/>
  <c r="V15" i="2"/>
  <c r="U15" i="2"/>
  <c r="T15" i="2"/>
  <c r="S15" i="2"/>
  <c r="R15" i="2"/>
  <c r="Q15" i="2"/>
  <c r="P15" i="2"/>
  <c r="O15" i="2"/>
  <c r="N15" i="2"/>
  <c r="M15" i="2"/>
  <c r="L15" i="2"/>
  <c r="E23" i="4" s="1"/>
  <c r="K15" i="2"/>
  <c r="J15" i="2"/>
  <c r="I15" i="2"/>
  <c r="H15" i="2"/>
  <c r="G15" i="2"/>
  <c r="F15" i="2"/>
  <c r="E15" i="2"/>
  <c r="D15" i="2"/>
  <c r="C15" i="2"/>
  <c r="B15" i="2"/>
  <c r="A15" i="2"/>
  <c r="AR14" i="2"/>
  <c r="AQ14" i="2"/>
  <c r="AP14" i="2"/>
  <c r="AO14" i="2"/>
  <c r="AN14" i="2"/>
  <c r="AM14" i="2"/>
  <c r="AL14" i="2"/>
  <c r="AK14" i="2"/>
  <c r="AJ14" i="2"/>
  <c r="AI14" i="2"/>
  <c r="AH14" i="2"/>
  <c r="E24" i="5" s="1"/>
  <c r="AG14" i="2"/>
  <c r="AF14" i="2"/>
  <c r="AE14" i="2"/>
  <c r="AD14" i="2"/>
  <c r="E24" i="6" s="1"/>
  <c r="AC14" i="2"/>
  <c r="AB14" i="2"/>
  <c r="AA14" i="2"/>
  <c r="Z14" i="2"/>
  <c r="Y14" i="2"/>
  <c r="X14" i="2"/>
  <c r="W14" i="2"/>
  <c r="V14" i="2"/>
  <c r="U14" i="2"/>
  <c r="T14" i="2"/>
  <c r="S14" i="2"/>
  <c r="R14" i="2"/>
  <c r="Q14" i="2"/>
  <c r="P14" i="2"/>
  <c r="O14" i="2"/>
  <c r="N14" i="2"/>
  <c r="M14" i="2"/>
  <c r="L14" i="2"/>
  <c r="E22" i="4" s="1"/>
  <c r="K14" i="2"/>
  <c r="J14" i="2"/>
  <c r="I14" i="2"/>
  <c r="H14" i="2"/>
  <c r="G14" i="2"/>
  <c r="F14" i="2"/>
  <c r="E14" i="2"/>
  <c r="D14" i="2"/>
  <c r="C14" i="2"/>
  <c r="B14" i="2"/>
  <c r="A14" i="2"/>
  <c r="AR13" i="2"/>
  <c r="AQ13" i="2"/>
  <c r="AP13" i="2"/>
  <c r="AO13" i="2"/>
  <c r="AN13" i="2"/>
  <c r="AM13" i="2"/>
  <c r="AL13" i="2"/>
  <c r="AK13" i="2"/>
  <c r="AJ13" i="2"/>
  <c r="AI13" i="2"/>
  <c r="AH13" i="2"/>
  <c r="E23" i="5" s="1"/>
  <c r="AG13" i="2"/>
  <c r="AF13" i="2"/>
  <c r="AE13" i="2"/>
  <c r="AD13" i="2"/>
  <c r="E23" i="6" s="1"/>
  <c r="AC13" i="2"/>
  <c r="AB13" i="2"/>
  <c r="AA13" i="2"/>
  <c r="Z13" i="2"/>
  <c r="Y13" i="2"/>
  <c r="X13" i="2"/>
  <c r="W13" i="2"/>
  <c r="V13" i="2"/>
  <c r="U13" i="2"/>
  <c r="T13" i="2"/>
  <c r="S13" i="2"/>
  <c r="R13" i="2"/>
  <c r="Q13" i="2"/>
  <c r="P13" i="2"/>
  <c r="O13" i="2"/>
  <c r="N13" i="2"/>
  <c r="M13" i="2"/>
  <c r="L13" i="2"/>
  <c r="E21" i="4" s="1"/>
  <c r="K13" i="2"/>
  <c r="J13" i="2"/>
  <c r="I13" i="2"/>
  <c r="H13" i="2"/>
  <c r="G13" i="2"/>
  <c r="F13" i="2"/>
  <c r="E13" i="2"/>
  <c r="D13" i="2"/>
  <c r="C13" i="2"/>
  <c r="B13" i="2"/>
  <c r="A13" i="2"/>
  <c r="AR12" i="2"/>
  <c r="AQ12" i="2"/>
  <c r="AP12" i="2"/>
  <c r="AO12" i="2"/>
  <c r="AN12" i="2"/>
  <c r="AM12" i="2"/>
  <c r="AL12" i="2"/>
  <c r="AK12" i="2"/>
  <c r="AJ12" i="2"/>
  <c r="AI12" i="2"/>
  <c r="AH12" i="2"/>
  <c r="E22" i="5" s="1"/>
  <c r="AG12" i="2"/>
  <c r="AF12" i="2"/>
  <c r="AE12" i="2"/>
  <c r="AD12" i="2"/>
  <c r="E22" i="6" s="1"/>
  <c r="AC12" i="2"/>
  <c r="AB12" i="2"/>
  <c r="AA12" i="2"/>
  <c r="Z12" i="2"/>
  <c r="Y12" i="2"/>
  <c r="X12" i="2"/>
  <c r="W12" i="2"/>
  <c r="V12" i="2"/>
  <c r="U12" i="2"/>
  <c r="T12" i="2"/>
  <c r="S12" i="2"/>
  <c r="R12" i="2"/>
  <c r="Q12" i="2"/>
  <c r="P12" i="2"/>
  <c r="O12" i="2"/>
  <c r="N12" i="2"/>
  <c r="M12" i="2"/>
  <c r="L12" i="2"/>
  <c r="E20" i="4" s="1"/>
  <c r="K12" i="2"/>
  <c r="J12" i="2"/>
  <c r="I12" i="2"/>
  <c r="H12" i="2"/>
  <c r="G12" i="2"/>
  <c r="F12" i="2"/>
  <c r="E12" i="2"/>
  <c r="D12" i="2"/>
  <c r="C12" i="2"/>
  <c r="B12" i="2"/>
  <c r="A12" i="2"/>
  <c r="AR11" i="2"/>
  <c r="AQ11" i="2"/>
  <c r="AP11" i="2"/>
  <c r="AO11" i="2"/>
  <c r="AN11" i="2"/>
  <c r="AM11" i="2"/>
  <c r="AL11" i="2"/>
  <c r="AK11" i="2"/>
  <c r="AJ11" i="2"/>
  <c r="AI11" i="2"/>
  <c r="AH11" i="2"/>
  <c r="E21" i="5" s="1"/>
  <c r="AG11" i="2"/>
  <c r="AF11" i="2"/>
  <c r="AE11" i="2"/>
  <c r="AD11" i="2"/>
  <c r="E21" i="6" s="1"/>
  <c r="AC11" i="2"/>
  <c r="AB11" i="2"/>
  <c r="AA11" i="2"/>
  <c r="Z11" i="2"/>
  <c r="Y11" i="2"/>
  <c r="X11" i="2"/>
  <c r="W11" i="2"/>
  <c r="V11" i="2"/>
  <c r="U11" i="2"/>
  <c r="T11" i="2"/>
  <c r="S11" i="2"/>
  <c r="R11" i="2"/>
  <c r="Q11" i="2"/>
  <c r="P11" i="2"/>
  <c r="O11" i="2"/>
  <c r="N11" i="2"/>
  <c r="M11" i="2"/>
  <c r="L11" i="2"/>
  <c r="E19" i="4" s="1"/>
  <c r="K11" i="2"/>
  <c r="J11" i="2"/>
  <c r="I11" i="2"/>
  <c r="H11" i="2"/>
  <c r="G11" i="2"/>
  <c r="F11" i="2"/>
  <c r="E11" i="2"/>
  <c r="D11" i="2"/>
  <c r="C11" i="2"/>
  <c r="B11" i="2"/>
  <c r="A11" i="2"/>
  <c r="AR10" i="2"/>
  <c r="AQ10" i="2"/>
  <c r="AP10" i="2"/>
  <c r="AO10" i="2"/>
  <c r="AN10" i="2"/>
  <c r="AM10" i="2"/>
  <c r="AL10" i="2"/>
  <c r="AK10" i="2"/>
  <c r="AJ10" i="2"/>
  <c r="AI10" i="2"/>
  <c r="AH10" i="2"/>
  <c r="E20" i="5" s="1"/>
  <c r="AG10" i="2"/>
  <c r="AF10" i="2"/>
  <c r="AE10" i="2"/>
  <c r="AD10" i="2"/>
  <c r="E20" i="6" s="1"/>
  <c r="AC10" i="2"/>
  <c r="AB10" i="2"/>
  <c r="AA10" i="2"/>
  <c r="Z10" i="2"/>
  <c r="Y10" i="2"/>
  <c r="X10" i="2"/>
  <c r="W10" i="2"/>
  <c r="V10" i="2"/>
  <c r="U10" i="2"/>
  <c r="T10" i="2"/>
  <c r="S10" i="2"/>
  <c r="R10" i="2"/>
  <c r="Q10" i="2"/>
  <c r="P10" i="2"/>
  <c r="O10" i="2"/>
  <c r="N10" i="2"/>
  <c r="M10" i="2"/>
  <c r="L10" i="2"/>
  <c r="E18" i="4" s="1"/>
  <c r="K10" i="2"/>
  <c r="J10" i="2"/>
  <c r="I10" i="2"/>
  <c r="H10" i="2"/>
  <c r="G10" i="2"/>
  <c r="F10" i="2"/>
  <c r="E10" i="2"/>
  <c r="D10" i="2"/>
  <c r="C10" i="2"/>
  <c r="B10" i="2"/>
  <c r="A10" i="2"/>
  <c r="AR9" i="2"/>
  <c r="AQ9" i="2"/>
  <c r="AP9" i="2"/>
  <c r="AO9" i="2"/>
  <c r="AN9" i="2"/>
  <c r="AM9" i="2"/>
  <c r="AL9" i="2"/>
  <c r="AK9" i="2"/>
  <c r="AJ9" i="2"/>
  <c r="AI9" i="2"/>
  <c r="AH9" i="2"/>
  <c r="E19" i="5" s="1"/>
  <c r="AG9" i="2"/>
  <c r="AF9" i="2"/>
  <c r="AE9" i="2"/>
  <c r="AD9" i="2"/>
  <c r="E19" i="6" s="1"/>
  <c r="AC9" i="2"/>
  <c r="AB9" i="2"/>
  <c r="AA9" i="2"/>
  <c r="Z9" i="2"/>
  <c r="Y9" i="2"/>
  <c r="X9" i="2"/>
  <c r="W9" i="2"/>
  <c r="V9" i="2"/>
  <c r="U9" i="2"/>
  <c r="T9" i="2"/>
  <c r="S9" i="2"/>
  <c r="R9" i="2"/>
  <c r="Q9" i="2"/>
  <c r="P9" i="2"/>
  <c r="O9" i="2"/>
  <c r="N9" i="2"/>
  <c r="M9" i="2"/>
  <c r="L9" i="2"/>
  <c r="E17" i="4" s="1"/>
  <c r="K9" i="2"/>
  <c r="J9" i="2"/>
  <c r="I9" i="2"/>
  <c r="H9" i="2"/>
  <c r="G9" i="2"/>
  <c r="F9" i="2"/>
  <c r="E9" i="2"/>
  <c r="D9" i="2"/>
  <c r="C9" i="2"/>
  <c r="B9" i="2"/>
  <c r="A9" i="2"/>
  <c r="AR8" i="2"/>
  <c r="AQ8" i="2"/>
  <c r="AP8" i="2"/>
  <c r="AO8" i="2"/>
  <c r="AN8" i="2"/>
  <c r="AM8" i="2"/>
  <c r="AL8" i="2"/>
  <c r="AK8" i="2"/>
  <c r="AJ8" i="2"/>
  <c r="AI8" i="2"/>
  <c r="AH8" i="2"/>
  <c r="E18" i="5" s="1"/>
  <c r="AG8" i="2"/>
  <c r="AF8" i="2"/>
  <c r="AE8" i="2"/>
  <c r="AD8" i="2"/>
  <c r="E18" i="6" s="1"/>
  <c r="AC8" i="2"/>
  <c r="AB8" i="2"/>
  <c r="AA8" i="2"/>
  <c r="Z8" i="2"/>
  <c r="Y8" i="2"/>
  <c r="X8" i="2"/>
  <c r="W8" i="2"/>
  <c r="V8" i="2"/>
  <c r="U8" i="2"/>
  <c r="T8" i="2"/>
  <c r="S8" i="2"/>
  <c r="R8" i="2"/>
  <c r="Q8" i="2"/>
  <c r="P8" i="2"/>
  <c r="O8" i="2"/>
  <c r="N8" i="2"/>
  <c r="M8" i="2"/>
  <c r="L8" i="2"/>
  <c r="E16" i="4" s="1"/>
  <c r="K8" i="2"/>
  <c r="J8" i="2"/>
  <c r="I8" i="2"/>
  <c r="H8" i="2"/>
  <c r="G8" i="2"/>
  <c r="F8" i="2"/>
  <c r="E8" i="2"/>
  <c r="D8" i="2"/>
  <c r="C8" i="2"/>
  <c r="B8" i="2"/>
  <c r="A8" i="2"/>
  <c r="AR7" i="2"/>
  <c r="AQ7" i="2"/>
  <c r="AP7" i="2"/>
  <c r="AO7" i="2"/>
  <c r="AN7" i="2"/>
  <c r="AM7" i="2"/>
  <c r="AL7" i="2"/>
  <c r="AK7" i="2"/>
  <c r="AJ7" i="2"/>
  <c r="AI7" i="2"/>
  <c r="AH7" i="2"/>
  <c r="E17" i="5" s="1"/>
  <c r="AG7" i="2"/>
  <c r="AF7" i="2"/>
  <c r="AE7" i="2"/>
  <c r="AD7" i="2"/>
  <c r="E17" i="6" s="1"/>
  <c r="AC7" i="2"/>
  <c r="AB7" i="2"/>
  <c r="AA7" i="2"/>
  <c r="Z7" i="2"/>
  <c r="Y7" i="2"/>
  <c r="X7" i="2"/>
  <c r="W7" i="2"/>
  <c r="V7" i="2"/>
  <c r="U7" i="2"/>
  <c r="T7" i="2"/>
  <c r="S7" i="2"/>
  <c r="R7" i="2"/>
  <c r="Q7" i="2"/>
  <c r="P7" i="2"/>
  <c r="O7" i="2"/>
  <c r="N7" i="2"/>
  <c r="M7" i="2"/>
  <c r="L7" i="2"/>
  <c r="E15" i="4" s="1"/>
  <c r="K7" i="2"/>
  <c r="J7" i="2"/>
  <c r="I7" i="2"/>
  <c r="H7" i="2"/>
  <c r="G7" i="2"/>
  <c r="F7" i="2"/>
  <c r="E7" i="2"/>
  <c r="D7" i="2"/>
  <c r="C7" i="2"/>
  <c r="B7" i="2"/>
  <c r="A7" i="2"/>
  <c r="AR6" i="2"/>
  <c r="AQ6" i="2"/>
  <c r="AP6" i="2"/>
  <c r="AO6" i="2"/>
  <c r="AN6" i="2"/>
  <c r="AM6" i="2"/>
  <c r="AL6" i="2"/>
  <c r="AK6" i="2"/>
  <c r="AJ6" i="2"/>
  <c r="AI6" i="2"/>
  <c r="AH6" i="2"/>
  <c r="E16" i="5" s="1"/>
  <c r="AG6" i="2"/>
  <c r="AF6" i="2"/>
  <c r="AE6" i="2"/>
  <c r="AD6" i="2"/>
  <c r="E16" i="6" s="1"/>
  <c r="AC6" i="2"/>
  <c r="AB6" i="2"/>
  <c r="AA6" i="2"/>
  <c r="Z6" i="2"/>
  <c r="Y6" i="2"/>
  <c r="X6" i="2"/>
  <c r="W6" i="2"/>
  <c r="V6" i="2"/>
  <c r="U6" i="2"/>
  <c r="T6" i="2"/>
  <c r="S6" i="2"/>
  <c r="R6" i="2"/>
  <c r="Q6" i="2"/>
  <c r="P6" i="2"/>
  <c r="O6" i="2"/>
  <c r="N6" i="2"/>
  <c r="M6" i="2"/>
  <c r="L6" i="2"/>
  <c r="E14" i="4" s="1"/>
  <c r="K6" i="2"/>
  <c r="J6" i="2"/>
  <c r="I6" i="2"/>
  <c r="H6" i="2"/>
  <c r="G6" i="2"/>
  <c r="F6" i="2"/>
  <c r="E6" i="2"/>
  <c r="D6" i="2"/>
  <c r="C6" i="2"/>
  <c r="B6" i="2"/>
  <c r="A6" i="2"/>
  <c r="AR5" i="2"/>
  <c r="AQ5" i="2"/>
  <c r="AP5" i="2"/>
  <c r="AO5" i="2"/>
  <c r="AN5" i="2"/>
  <c r="AM5" i="2"/>
  <c r="AL5" i="2"/>
  <c r="AK5" i="2"/>
  <c r="AJ5" i="2"/>
  <c r="AI5" i="2"/>
  <c r="AH5" i="2"/>
  <c r="E15" i="5" s="1"/>
  <c r="AG5" i="2"/>
  <c r="AF5" i="2"/>
  <c r="AE5" i="2"/>
  <c r="AD5" i="2"/>
  <c r="E15" i="6" s="1"/>
  <c r="AC5" i="2"/>
  <c r="AB5" i="2"/>
  <c r="AA5" i="2"/>
  <c r="Z5" i="2"/>
  <c r="Y5" i="2"/>
  <c r="X5" i="2"/>
  <c r="W5" i="2"/>
  <c r="V5" i="2"/>
  <c r="U5" i="2"/>
  <c r="T5" i="2"/>
  <c r="S5" i="2"/>
  <c r="R5" i="2"/>
  <c r="Q5" i="2"/>
  <c r="P5" i="2"/>
  <c r="O5" i="2"/>
  <c r="N5" i="2"/>
  <c r="M5" i="2"/>
  <c r="L5" i="2"/>
  <c r="E13" i="4" s="1"/>
  <c r="K5" i="2"/>
  <c r="J5" i="2"/>
  <c r="I5" i="2"/>
  <c r="H5" i="2"/>
  <c r="G5" i="2"/>
  <c r="F5" i="2"/>
  <c r="E5" i="2"/>
  <c r="D5" i="2"/>
  <c r="C5" i="2"/>
  <c r="B5" i="2"/>
  <c r="A5" i="2"/>
  <c r="AR4" i="2"/>
  <c r="AQ4" i="2"/>
  <c r="AP4" i="2"/>
  <c r="AO4" i="2"/>
  <c r="AN4" i="2"/>
  <c r="AM4" i="2"/>
  <c r="AL4" i="2"/>
  <c r="AK4" i="2"/>
  <c r="AJ4" i="2"/>
  <c r="AI4" i="2"/>
  <c r="AH4" i="2"/>
  <c r="E14" i="5" s="1"/>
  <c r="AG4" i="2"/>
  <c r="AF4" i="2"/>
  <c r="AE4" i="2"/>
  <c r="AD4" i="2"/>
  <c r="E14" i="6" s="1"/>
  <c r="AC4" i="2"/>
  <c r="AB4" i="2"/>
  <c r="AA4" i="2"/>
  <c r="Z4" i="2"/>
  <c r="Y4" i="2"/>
  <c r="X4" i="2"/>
  <c r="W4" i="2"/>
  <c r="V4" i="2"/>
  <c r="U4" i="2"/>
  <c r="T4" i="2"/>
  <c r="S4" i="2"/>
  <c r="R4" i="2"/>
  <c r="Q4" i="2"/>
  <c r="P4" i="2"/>
  <c r="O4" i="2"/>
  <c r="N4" i="2"/>
  <c r="M4" i="2"/>
  <c r="L4" i="2"/>
  <c r="E12" i="4" s="1"/>
  <c r="K4" i="2"/>
  <c r="J4" i="2"/>
  <c r="I4" i="2"/>
  <c r="H4" i="2"/>
  <c r="G4" i="2"/>
  <c r="F4" i="2"/>
  <c r="E4" i="2"/>
  <c r="D4" i="2"/>
  <c r="C4" i="2"/>
  <c r="B4" i="2"/>
  <c r="A4" i="2"/>
  <c r="AR3" i="2"/>
  <c r="AQ3" i="2"/>
  <c r="AP3" i="2"/>
  <c r="AO3" i="2"/>
  <c r="AN3" i="2"/>
  <c r="AM3" i="2"/>
  <c r="AL3" i="2"/>
  <c r="AK3" i="2"/>
  <c r="AJ3" i="2"/>
  <c r="AI3" i="2"/>
  <c r="AH3" i="2"/>
  <c r="E13" i="5" s="1"/>
  <c r="AG3" i="2"/>
  <c r="AF3" i="2"/>
  <c r="AE3" i="2"/>
  <c r="AD3" i="2"/>
  <c r="E13" i="6" s="1"/>
  <c r="AC3" i="2"/>
  <c r="AB3" i="2"/>
  <c r="AA3" i="2"/>
  <c r="Z3" i="2"/>
  <c r="Y3" i="2"/>
  <c r="X3" i="2"/>
  <c r="W3" i="2"/>
  <c r="V3" i="2"/>
  <c r="U3" i="2"/>
  <c r="T3" i="2"/>
  <c r="S3" i="2"/>
  <c r="R3" i="2"/>
  <c r="Q3" i="2"/>
  <c r="P3" i="2"/>
  <c r="O3" i="2"/>
  <c r="N3" i="2"/>
  <c r="M3" i="2"/>
  <c r="L3" i="2"/>
  <c r="E11" i="4" s="1"/>
  <c r="K3" i="2"/>
  <c r="J3" i="2"/>
  <c r="I3" i="2"/>
  <c r="H3" i="2"/>
  <c r="G3" i="2"/>
  <c r="F3" i="2"/>
  <c r="E3" i="2"/>
  <c r="D3" i="2"/>
  <c r="C3" i="2"/>
  <c r="B3" i="2"/>
  <c r="A3" i="2"/>
  <c r="AR2" i="2"/>
  <c r="AQ2" i="2"/>
  <c r="AP2" i="2"/>
  <c r="AO2" i="2"/>
  <c r="F44" i="3" s="1" a="1"/>
  <c r="AN2" i="2"/>
  <c r="F43" i="3" s="1" a="1"/>
  <c r="AM2" i="2"/>
  <c r="F42" i="3" s="1" a="1"/>
  <c r="AL2" i="2"/>
  <c r="F41" i="3" s="1" a="1"/>
  <c r="AK2" i="2"/>
  <c r="F40" i="3" s="1" a="1"/>
  <c r="AJ2" i="2"/>
  <c r="F39" i="3" s="1" a="1"/>
  <c r="AI2" i="2"/>
  <c r="F38" i="3" s="1" a="1"/>
  <c r="AH2" i="2"/>
  <c r="AG2" i="2"/>
  <c r="F36" i="3" s="1" a="1"/>
  <c r="AF2" i="2"/>
  <c r="F35" i="3" s="1" a="1"/>
  <c r="AE2" i="2"/>
  <c r="F34" i="3" s="1" a="1"/>
  <c r="AD2" i="2"/>
  <c r="AC2" i="2"/>
  <c r="F32" i="3" s="1" a="1"/>
  <c r="AB2" i="2"/>
  <c r="F31" i="3" s="1" a="1"/>
  <c r="AA2" i="2"/>
  <c r="F30" i="3" s="1" a="1"/>
  <c r="Z2" i="2"/>
  <c r="F29" i="3" s="1" a="1"/>
  <c r="Y2" i="2"/>
  <c r="F28" i="3" s="1" a="1"/>
  <c r="X2" i="2"/>
  <c r="F27" i="3" s="1" a="1"/>
  <c r="NQ27" i="3" s="1"/>
  <c r="W2" i="2"/>
  <c r="F26" i="3" s="1" a="1"/>
  <c r="V2" i="2"/>
  <c r="F25" i="3" s="1" a="1"/>
  <c r="U2" i="2"/>
  <c r="F24" i="3" s="1" a="1"/>
  <c r="T2" i="2"/>
  <c r="F23" i="3" s="1" a="1"/>
  <c r="AKO23" i="3" s="1"/>
  <c r="S2" i="2"/>
  <c r="F22" i="3" s="1" a="1"/>
  <c r="R2" i="2"/>
  <c r="F21" i="3" s="1" a="1"/>
  <c r="Q2" i="2"/>
  <c r="F20" i="3" s="1" a="1"/>
  <c r="P2" i="2"/>
  <c r="F19" i="3" s="1" a="1"/>
  <c r="O2" i="2"/>
  <c r="F18" i="3" s="1" a="1"/>
  <c r="N2" i="2"/>
  <c r="F17" i="3" s="1" a="1"/>
  <c r="M2" i="2"/>
  <c r="F16" i="3" s="1" a="1"/>
  <c r="L2" i="2"/>
  <c r="K2" i="2"/>
  <c r="F8" i="3" s="1" a="1"/>
  <c r="J2" i="2"/>
  <c r="I2" i="2"/>
  <c r="H2" i="2"/>
  <c r="G2" i="2"/>
  <c r="F2" i="2"/>
  <c r="F3" i="3" s="1" a="1"/>
  <c r="E2" i="2"/>
  <c r="D2" i="2"/>
  <c r="C2" i="2"/>
  <c r="B2" i="2"/>
  <c r="A2" i="2"/>
  <c r="ALD16" i="3" l="1"/>
  <c r="ALL16" i="3"/>
  <c r="AIZ16" i="3"/>
  <c r="AGN16" i="3"/>
  <c r="AEB16" i="3"/>
  <c r="ABP16" i="3"/>
  <c r="ZD16" i="3"/>
  <c r="WR16" i="3"/>
  <c r="UF16" i="3"/>
  <c r="RT16" i="3"/>
  <c r="PH16" i="3"/>
  <c r="MV16" i="3"/>
  <c r="KJ16" i="3"/>
  <c r="HX16" i="3"/>
  <c r="DP16" i="3"/>
  <c r="AJP16" i="3"/>
  <c r="AFX16" i="3"/>
  <c r="ACV16" i="3"/>
  <c r="ZT16" i="3"/>
  <c r="WB16" i="3"/>
  <c r="SZ16" i="3"/>
  <c r="PX16" i="3"/>
  <c r="MF16" i="3"/>
  <c r="JD16" i="3"/>
  <c r="GB16" i="3"/>
  <c r="AKF16" i="3"/>
  <c r="AFH16" i="3"/>
  <c r="AAZ16" i="3"/>
  <c r="XH16" i="3"/>
  <c r="SJ16" i="3"/>
  <c r="OB16" i="3"/>
  <c r="JT16" i="3"/>
  <c r="BD16" i="3"/>
  <c r="AIJ16" i="3"/>
  <c r="AER16" i="3"/>
  <c r="AAJ16" i="3"/>
  <c r="VL16" i="3"/>
  <c r="RD16" i="3"/>
  <c r="NL16" i="3"/>
  <c r="IN16" i="3"/>
  <c r="AHT16" i="3"/>
  <c r="ADL16" i="3"/>
  <c r="YN16" i="3"/>
  <c r="UV16" i="3"/>
  <c r="QN16" i="3"/>
  <c r="LP16" i="3"/>
  <c r="HH16" i="3"/>
  <c r="AKV16" i="3"/>
  <c r="AHD16" i="3"/>
  <c r="ACF16" i="3"/>
  <c r="XX16" i="3"/>
  <c r="TP16" i="3"/>
  <c r="OR16" i="3"/>
  <c r="KZ16" i="3"/>
  <c r="GR16" i="3"/>
  <c r="AJP24" i="3"/>
  <c r="AHD24" i="3"/>
  <c r="AER24" i="3"/>
  <c r="ACF24" i="3"/>
  <c r="ZT24" i="3"/>
  <c r="XH24" i="3"/>
  <c r="UV24" i="3"/>
  <c r="SJ24" i="3"/>
  <c r="PX24" i="3"/>
  <c r="NL24" i="3"/>
  <c r="KZ24" i="3"/>
  <c r="IN24" i="3"/>
  <c r="GB24" i="3"/>
  <c r="AKV24" i="3"/>
  <c r="AIJ24" i="3"/>
  <c r="AFX24" i="3"/>
  <c r="ADL24" i="3"/>
  <c r="AAZ24" i="3"/>
  <c r="YN24" i="3"/>
  <c r="WB24" i="3"/>
  <c r="TP24" i="3"/>
  <c r="RD24" i="3"/>
  <c r="OR24" i="3"/>
  <c r="MF24" i="3"/>
  <c r="JT24" i="3"/>
  <c r="HH24" i="3"/>
  <c r="BT24" i="3"/>
  <c r="AKF24" i="3"/>
  <c r="AFH24" i="3"/>
  <c r="AAJ24" i="3"/>
  <c r="VL24" i="3"/>
  <c r="QN24" i="3"/>
  <c r="LP24" i="3"/>
  <c r="GR24" i="3"/>
  <c r="AHT24" i="3"/>
  <c r="ABP24" i="3"/>
  <c r="UF24" i="3"/>
  <c r="OB24" i="3"/>
  <c r="HX24" i="3"/>
  <c r="AGN24" i="3"/>
  <c r="ZD24" i="3"/>
  <c r="SZ24" i="3"/>
  <c r="MV24" i="3"/>
  <c r="EF24" i="3"/>
  <c r="ACV24" i="3"/>
  <c r="PH24" i="3"/>
  <c r="ALL24" i="3"/>
  <c r="XX24" i="3"/>
  <c r="KJ24" i="3"/>
  <c r="AIZ24" i="3"/>
  <c r="WR24" i="3"/>
  <c r="JD24" i="3"/>
  <c r="AEB24" i="3"/>
  <c r="RT24" i="3"/>
  <c r="H24" i="3"/>
  <c r="ALL21" i="3"/>
  <c r="AKZ21" i="3"/>
  <c r="AJT21" i="3"/>
  <c r="AIN21" i="3"/>
  <c r="AHH21" i="3"/>
  <c r="AGB21" i="3"/>
  <c r="AEV21" i="3"/>
  <c r="ADP21" i="3"/>
  <c r="ACJ21" i="3"/>
  <c r="ABD21" i="3"/>
  <c r="ZX21" i="3"/>
  <c r="YR21" i="3"/>
  <c r="XL21" i="3"/>
  <c r="WF21" i="3"/>
  <c r="UZ21" i="3"/>
  <c r="TT21" i="3"/>
  <c r="SN21" i="3"/>
  <c r="RH21" i="3"/>
  <c r="QB21" i="3"/>
  <c r="OV21" i="3"/>
  <c r="NP21" i="3"/>
  <c r="MJ21" i="3"/>
  <c r="LD21" i="3"/>
  <c r="JX21" i="3"/>
  <c r="IR21" i="3"/>
  <c r="HL21" i="3"/>
  <c r="GF21" i="3"/>
  <c r="ALP21" i="3"/>
  <c r="AKB21" i="3"/>
  <c r="AIF21" i="3"/>
  <c r="AGR21" i="3"/>
  <c r="AFD21" i="3"/>
  <c r="ADH21" i="3"/>
  <c r="ABT21" i="3"/>
  <c r="AAF21" i="3"/>
  <c r="YJ21" i="3"/>
  <c r="WV21" i="3"/>
  <c r="VH21" i="3"/>
  <c r="TL21" i="3"/>
  <c r="RX21" i="3"/>
  <c r="QJ21" i="3"/>
  <c r="ON21" i="3"/>
  <c r="MZ21" i="3"/>
  <c r="LL21" i="3"/>
  <c r="JP21" i="3"/>
  <c r="IB21" i="3"/>
  <c r="GN21" i="3"/>
  <c r="AKR21" i="3"/>
  <c r="AIV21" i="3"/>
  <c r="AGJ21" i="3"/>
  <c r="AEF21" i="3"/>
  <c r="ACB21" i="3"/>
  <c r="ZP21" i="3"/>
  <c r="XT21" i="3"/>
  <c r="VP21" i="3"/>
  <c r="TD21" i="3"/>
  <c r="QZ21" i="3"/>
  <c r="PD21" i="3"/>
  <c r="MR21" i="3"/>
  <c r="KN21" i="3"/>
  <c r="IJ21" i="3"/>
  <c r="FX21" i="3"/>
  <c r="AKJ21" i="3"/>
  <c r="AHX21" i="3"/>
  <c r="AFT21" i="3"/>
  <c r="ADX21" i="3"/>
  <c r="ABL21" i="3"/>
  <c r="ZH21" i="3"/>
  <c r="XD21" i="3"/>
  <c r="UR21" i="3"/>
  <c r="SV21" i="3"/>
  <c r="QR21" i="3"/>
  <c r="OF21" i="3"/>
  <c r="MB21" i="3"/>
  <c r="KF21" i="3"/>
  <c r="HT21" i="3"/>
  <c r="ALH21" i="3"/>
  <c r="AGZ21" i="3"/>
  <c r="ACR21" i="3"/>
  <c r="YB21" i="3"/>
  <c r="UB21" i="3"/>
  <c r="PL21" i="3"/>
  <c r="KV21" i="3"/>
  <c r="GV21" i="3"/>
  <c r="AJL21" i="3"/>
  <c r="AFL21" i="3"/>
  <c r="AAV21" i="3"/>
  <c r="WN21" i="3"/>
  <c r="SF21" i="3"/>
  <c r="NX21" i="3"/>
  <c r="JH21" i="3"/>
  <c r="AJD21" i="3"/>
  <c r="AEN21" i="3"/>
  <c r="AAN21" i="3"/>
  <c r="VX21" i="3"/>
  <c r="RP21" i="3"/>
  <c r="NH21" i="3"/>
  <c r="IZ21" i="3"/>
  <c r="AHP21" i="3"/>
  <c r="ACZ21" i="3"/>
  <c r="YZ21" i="3"/>
  <c r="UJ21" i="3"/>
  <c r="PT21" i="3"/>
  <c r="LT21" i="3"/>
  <c r="HD21" i="3"/>
  <c r="ALG25" i="3"/>
  <c r="AJW25" i="3"/>
  <c r="AHK25" i="3"/>
  <c r="AEY25" i="3"/>
  <c r="ACM25" i="3"/>
  <c r="AAA25" i="3"/>
  <c r="XO25" i="3"/>
  <c r="VC25" i="3"/>
  <c r="SQ25" i="3"/>
  <c r="QE25" i="3"/>
  <c r="NS25" i="3"/>
  <c r="LG25" i="3"/>
  <c r="IU25" i="3"/>
  <c r="GI25" i="3"/>
  <c r="ALC25" i="3"/>
  <c r="AIQ25" i="3"/>
  <c r="AGE25" i="3"/>
  <c r="ADS25" i="3"/>
  <c r="ABG25" i="3"/>
  <c r="YU25" i="3"/>
  <c r="WI25" i="3"/>
  <c r="TW25" i="3"/>
  <c r="RK25" i="3"/>
  <c r="OY25" i="3"/>
  <c r="MM25" i="3"/>
  <c r="KA25" i="3"/>
  <c r="HO25" i="3"/>
  <c r="AIA25" i="3"/>
  <c r="ADC25" i="3"/>
  <c r="YE25" i="3"/>
  <c r="TG25" i="3"/>
  <c r="OI25" i="3"/>
  <c r="JK25" i="3"/>
  <c r="AJG25" i="3"/>
  <c r="ABW25" i="3"/>
  <c r="VS25" i="3"/>
  <c r="PO25" i="3"/>
  <c r="IE25" i="3"/>
  <c r="AGU25" i="3"/>
  <c r="AAQ25" i="3"/>
  <c r="UM25" i="3"/>
  <c r="NC25" i="3"/>
  <c r="GY25" i="3"/>
  <c r="AKM25" i="3"/>
  <c r="WY25" i="3"/>
  <c r="KQ25" i="3"/>
  <c r="AFO25" i="3"/>
  <c r="SA25" i="3"/>
  <c r="AEI25" i="3"/>
  <c r="QU25" i="3"/>
  <c r="ZK25" i="3"/>
  <c r="LW25" i="3"/>
  <c r="AJQ29" i="3"/>
  <c r="AJA29" i="3"/>
  <c r="ZE29" i="3"/>
  <c r="PI29" i="3"/>
  <c r="AEC29" i="3"/>
  <c r="UG29" i="3"/>
  <c r="KK29" i="3"/>
  <c r="ABQ29" i="3"/>
  <c r="HY29" i="3"/>
  <c r="RU29" i="3"/>
  <c r="ALM29" i="3"/>
  <c r="MW29" i="3"/>
  <c r="WS29" i="3"/>
  <c r="AGO29" i="3"/>
  <c r="L21" i="3"/>
  <c r="O25" i="3"/>
  <c r="T21" i="3"/>
  <c r="AB21" i="3"/>
  <c r="AE25" i="3"/>
  <c r="AJ21" i="3"/>
  <c r="ALA20" i="3"/>
  <c r="AJU20" i="3"/>
  <c r="AIO20" i="3"/>
  <c r="AHI20" i="3"/>
  <c r="AGC20" i="3"/>
  <c r="AEW20" i="3"/>
  <c r="ADQ20" i="3"/>
  <c r="ACK20" i="3"/>
  <c r="ABE20" i="3"/>
  <c r="AKS20" i="3"/>
  <c r="AJE20" i="3"/>
  <c r="AHQ20" i="3"/>
  <c r="AFU20" i="3"/>
  <c r="AEG20" i="3"/>
  <c r="ACS20" i="3"/>
  <c r="AAW20" i="3"/>
  <c r="ZQ20" i="3"/>
  <c r="YK20" i="3"/>
  <c r="XE20" i="3"/>
  <c r="VY20" i="3"/>
  <c r="US20" i="3"/>
  <c r="TM20" i="3"/>
  <c r="SG20" i="3"/>
  <c r="RA20" i="3"/>
  <c r="PU20" i="3"/>
  <c r="OO20" i="3"/>
  <c r="NI20" i="3"/>
  <c r="MC20" i="3"/>
  <c r="KW20" i="3"/>
  <c r="JQ20" i="3"/>
  <c r="IK20" i="3"/>
  <c r="HE20" i="3"/>
  <c r="FY20" i="3"/>
  <c r="CO20" i="3"/>
  <c r="AKC20" i="3"/>
  <c r="AHY20" i="3"/>
  <c r="AFM20" i="3"/>
  <c r="ADI20" i="3"/>
  <c r="ABM20" i="3"/>
  <c r="ZI20" i="3"/>
  <c r="XU20" i="3"/>
  <c r="WG20" i="3"/>
  <c r="UK20" i="3"/>
  <c r="SW20" i="3"/>
  <c r="RI20" i="3"/>
  <c r="PM20" i="3"/>
  <c r="NY20" i="3"/>
  <c r="MK20" i="3"/>
  <c r="KO20" i="3"/>
  <c r="JA20" i="3"/>
  <c r="HM20" i="3"/>
  <c r="FI20" i="3"/>
  <c r="AC20" i="3"/>
  <c r="ALQ20" i="3"/>
  <c r="AJM20" i="3"/>
  <c r="AHA20" i="3"/>
  <c r="AFE20" i="3"/>
  <c r="ADA20" i="3"/>
  <c r="AAO20" i="3"/>
  <c r="ZA20" i="3"/>
  <c r="XM20" i="3"/>
  <c r="VQ20" i="3"/>
  <c r="UC20" i="3"/>
  <c r="SO20" i="3"/>
  <c r="QS20" i="3"/>
  <c r="PE20" i="3"/>
  <c r="NQ20" i="3"/>
  <c r="LU20" i="3"/>
  <c r="KG20" i="3"/>
  <c r="IS20" i="3"/>
  <c r="GW20" i="3"/>
  <c r="FA20" i="3"/>
  <c r="AIG20" i="3"/>
  <c r="ADY20" i="3"/>
  <c r="ZY20" i="3"/>
  <c r="WO20" i="3"/>
  <c r="TE20" i="3"/>
  <c r="QC20" i="3"/>
  <c r="MS20" i="3"/>
  <c r="JI20" i="3"/>
  <c r="GG20" i="3"/>
  <c r="ALI20" i="3"/>
  <c r="AGS20" i="3"/>
  <c r="ACC20" i="3"/>
  <c r="YS20" i="3"/>
  <c r="VI20" i="3"/>
  <c r="RY20" i="3"/>
  <c r="OW20" i="3"/>
  <c r="LM20" i="3"/>
  <c r="IC20" i="3"/>
  <c r="DU20" i="3"/>
  <c r="AKK20" i="3"/>
  <c r="AGK20" i="3"/>
  <c r="ABU20" i="3"/>
  <c r="YC20" i="3"/>
  <c r="VA20" i="3"/>
  <c r="RQ20" i="3"/>
  <c r="OG20" i="3"/>
  <c r="LE20" i="3"/>
  <c r="HU20" i="3"/>
  <c r="BI20" i="3"/>
  <c r="AIW20" i="3"/>
  <c r="AEO20" i="3"/>
  <c r="AAG20" i="3"/>
  <c r="WW20" i="3"/>
  <c r="TU20" i="3"/>
  <c r="QK20" i="3"/>
  <c r="NA20" i="3"/>
  <c r="JY20" i="3"/>
  <c r="GO20" i="3"/>
  <c r="ALF8" i="3"/>
  <c r="AKX8" i="3"/>
  <c r="AJR8" i="3"/>
  <c r="AIL8" i="3"/>
  <c r="AHF8" i="3"/>
  <c r="AFZ8" i="3"/>
  <c r="AET8" i="3"/>
  <c r="ADN8" i="3"/>
  <c r="ACH8" i="3"/>
  <c r="ABB8" i="3"/>
  <c r="ZV8" i="3"/>
  <c r="YP8" i="3"/>
  <c r="XJ8" i="3"/>
  <c r="WD8" i="3"/>
  <c r="UX8" i="3"/>
  <c r="TR8" i="3"/>
  <c r="SL8" i="3"/>
  <c r="RF8" i="3"/>
  <c r="PZ8" i="3"/>
  <c r="OT8" i="3"/>
  <c r="NN8" i="3"/>
  <c r="MH8" i="3"/>
  <c r="AKH8" i="3"/>
  <c r="AIP8" i="3"/>
  <c r="AGT8" i="3"/>
  <c r="AFJ8" i="3"/>
  <c r="ADR8" i="3"/>
  <c r="ABV8" i="3"/>
  <c r="AAL8" i="3"/>
  <c r="YT8" i="3"/>
  <c r="WX8" i="3"/>
  <c r="VN8" i="3"/>
  <c r="TV8" i="3"/>
  <c r="RZ8" i="3"/>
  <c r="QP8" i="3"/>
  <c r="OX8" i="3"/>
  <c r="NB8" i="3"/>
  <c r="LR8" i="3"/>
  <c r="KL8" i="3"/>
  <c r="JF8" i="3"/>
  <c r="HZ8" i="3"/>
  <c r="GT8" i="3"/>
  <c r="EH8" i="3"/>
  <c r="J8" i="3"/>
  <c r="ALN8" i="3"/>
  <c r="AJV8" i="3"/>
  <c r="AHZ8" i="3"/>
  <c r="AGP8" i="3"/>
  <c r="AEX8" i="3"/>
  <c r="ADB8" i="3"/>
  <c r="ABR8" i="3"/>
  <c r="ZZ8" i="3"/>
  <c r="YD8" i="3"/>
  <c r="WT8" i="3"/>
  <c r="VB8" i="3"/>
  <c r="TF8" i="3"/>
  <c r="RV8" i="3"/>
  <c r="QD8" i="3"/>
  <c r="OH8" i="3"/>
  <c r="MX8" i="3"/>
  <c r="LF8" i="3"/>
  <c r="JZ8" i="3"/>
  <c r="IT8" i="3"/>
  <c r="HN8" i="3"/>
  <c r="GH8" i="3"/>
  <c r="DB8" i="3"/>
  <c r="ALB8" i="3"/>
  <c r="AJF8" i="3"/>
  <c r="AHV8" i="3"/>
  <c r="AGD8" i="3"/>
  <c r="AEH8" i="3"/>
  <c r="ACX8" i="3"/>
  <c r="ABF8" i="3"/>
  <c r="ZJ8" i="3"/>
  <c r="XZ8" i="3"/>
  <c r="WH8" i="3"/>
  <c r="UL8" i="3"/>
  <c r="TB8" i="3"/>
  <c r="RJ8" i="3"/>
  <c r="PN8" i="3"/>
  <c r="OD8" i="3"/>
  <c r="ML8" i="3"/>
  <c r="LB8" i="3"/>
  <c r="JV8" i="3"/>
  <c r="IP8" i="3"/>
  <c r="HJ8" i="3"/>
  <c r="GD8" i="3"/>
  <c r="BV8" i="3"/>
  <c r="AKL8" i="3"/>
  <c r="AJB8" i="3"/>
  <c r="AHJ8" i="3"/>
  <c r="AFN8" i="3"/>
  <c r="AED8" i="3"/>
  <c r="ACL8" i="3"/>
  <c r="AAP8" i="3"/>
  <c r="ZF8" i="3"/>
  <c r="XN8" i="3"/>
  <c r="VR8" i="3"/>
  <c r="UH8" i="3"/>
  <c r="SP8" i="3"/>
  <c r="QT8" i="3"/>
  <c r="PJ8" i="3"/>
  <c r="NR8" i="3"/>
  <c r="LV8" i="3"/>
  <c r="KP8" i="3"/>
  <c r="JJ8" i="3"/>
  <c r="ID8" i="3"/>
  <c r="GX8" i="3"/>
  <c r="FN8" i="3"/>
  <c r="AP8" i="3"/>
  <c r="AJC22" i="3"/>
  <c r="AEE22" i="3"/>
  <c r="ZG22" i="3"/>
  <c r="UI22" i="3"/>
  <c r="PK22" i="3"/>
  <c r="KM22" i="3"/>
  <c r="EI22" i="3"/>
  <c r="AKI22" i="3"/>
  <c r="ACY22" i="3"/>
  <c r="WU22" i="3"/>
  <c r="QQ22" i="3"/>
  <c r="JG22" i="3"/>
  <c r="AHW22" i="3"/>
  <c r="AAM22" i="3"/>
  <c r="RW22" i="3"/>
  <c r="IA22" i="3"/>
  <c r="AGQ22" i="3"/>
  <c r="YA22" i="3"/>
  <c r="OE22" i="3"/>
  <c r="GU22" i="3"/>
  <c r="ALO22" i="3"/>
  <c r="TC22" i="3"/>
  <c r="AFK22" i="3"/>
  <c r="MY22" i="3"/>
  <c r="ABS22" i="3"/>
  <c r="LS22" i="3"/>
  <c r="VO22" i="3"/>
  <c r="K22" i="3"/>
  <c r="ALD30" i="3"/>
  <c r="ACN30" i="3"/>
  <c r="SR30" i="3"/>
  <c r="IV30" i="3"/>
  <c r="AHL30" i="3"/>
  <c r="XP30" i="3"/>
  <c r="NT30" i="3"/>
  <c r="DX30" i="3"/>
  <c r="AEZ30" i="3"/>
  <c r="LH30" i="3"/>
  <c r="AJX30" i="3"/>
  <c r="GJ30" i="3"/>
  <c r="AAB30" i="3"/>
  <c r="VD30" i="3"/>
  <c r="QF30" i="3"/>
  <c r="N8" i="3"/>
  <c r="Z8" i="3"/>
  <c r="AD8" i="3"/>
  <c r="AQ22" i="3"/>
  <c r="AT8" i="3"/>
  <c r="BF8" i="3"/>
  <c r="BJ8" i="3"/>
  <c r="BL30" i="3"/>
  <c r="BW22" i="3"/>
  <c r="BZ8" i="3"/>
  <c r="CL8" i="3"/>
  <c r="CP8" i="3"/>
  <c r="DC22" i="3"/>
  <c r="DF8" i="3"/>
  <c r="ALC28" i="3"/>
  <c r="AGE28" i="3"/>
  <c r="ABG28" i="3"/>
  <c r="WI28" i="3"/>
  <c r="RK28" i="3"/>
  <c r="MM28" i="3"/>
  <c r="JP28" i="3"/>
  <c r="HD28" i="3"/>
  <c r="AZ28" i="3"/>
  <c r="AIQ28" i="3"/>
  <c r="ADS28" i="3"/>
  <c r="YU28" i="3"/>
  <c r="TW28" i="3"/>
  <c r="OY28" i="3"/>
  <c r="KV28" i="3"/>
  <c r="IJ28" i="3"/>
  <c r="FX28" i="3"/>
  <c r="ACM28" i="3"/>
  <c r="SQ28" i="3"/>
  <c r="KF28" i="3"/>
  <c r="DL28" i="3"/>
  <c r="AEY28" i="3"/>
  <c r="QE28" i="3"/>
  <c r="HT28" i="3"/>
  <c r="AAA28" i="3"/>
  <c r="NS28" i="3"/>
  <c r="GN28" i="3"/>
  <c r="VC28" i="3"/>
  <c r="AJW28" i="3"/>
  <c r="LL28" i="3"/>
  <c r="AHK28" i="3"/>
  <c r="IZ28" i="3"/>
  <c r="XO28" i="3"/>
  <c r="H16" i="3"/>
  <c r="M20" i="3"/>
  <c r="T28" i="3"/>
  <c r="U20" i="3"/>
  <c r="X16" i="3"/>
  <c r="X24" i="3"/>
  <c r="AJ28" i="3"/>
  <c r="AK20" i="3"/>
  <c r="AN16" i="3"/>
  <c r="AN24" i="3"/>
  <c r="AS20" i="3"/>
  <c r="BA20" i="3"/>
  <c r="BD24" i="3"/>
  <c r="BP28" i="3"/>
  <c r="BQ20" i="3"/>
  <c r="BT16" i="3"/>
  <c r="BY20" i="3"/>
  <c r="CF28" i="3"/>
  <c r="CG20" i="3"/>
  <c r="CJ16" i="3"/>
  <c r="CJ24" i="3"/>
  <c r="CV28" i="3"/>
  <c r="CW20" i="3"/>
  <c r="CZ16" i="3"/>
  <c r="CZ24" i="3"/>
  <c r="DE20" i="3"/>
  <c r="DM20" i="3"/>
  <c r="DP24" i="3"/>
  <c r="DR8" i="3"/>
  <c r="DV8" i="3"/>
  <c r="EL8" i="3"/>
  <c r="EX8" i="3"/>
  <c r="FB8" i="3"/>
  <c r="FO22" i="3"/>
  <c r="FR8" i="3"/>
  <c r="EB28" i="3"/>
  <c r="EC20" i="3"/>
  <c r="EF16" i="3"/>
  <c r="EK20" i="3"/>
  <c r="ER28" i="3"/>
  <c r="ES20" i="3"/>
  <c r="EV16" i="3"/>
  <c r="EV24" i="3"/>
  <c r="FH28" i="3"/>
  <c r="FL16" i="3"/>
  <c r="FL24" i="3"/>
  <c r="FQ20" i="3"/>
  <c r="AO29" i="3"/>
  <c r="AR21" i="3"/>
  <c r="AU25" i="3"/>
  <c r="AZ21" i="3"/>
  <c r="BH21" i="3"/>
  <c r="BK25" i="3"/>
  <c r="BP21" i="3"/>
  <c r="BX21" i="3"/>
  <c r="CA25" i="3"/>
  <c r="CF21" i="3"/>
  <c r="CN21" i="3"/>
  <c r="CQ25" i="3"/>
  <c r="CV21" i="3"/>
  <c r="DA29" i="3"/>
  <c r="DD21" i="3"/>
  <c r="DG25" i="3"/>
  <c r="DL21" i="3"/>
  <c r="DT21" i="3"/>
  <c r="DW25" i="3"/>
  <c r="EB21" i="3"/>
  <c r="EJ21" i="3"/>
  <c r="EM25" i="3"/>
  <c r="ER21" i="3"/>
  <c r="EZ21" i="3"/>
  <c r="FC25" i="3"/>
  <c r="FH21" i="3"/>
  <c r="FM29" i="3"/>
  <c r="FP21" i="3"/>
  <c r="FS25" i="3"/>
  <c r="Q3" i="6"/>
  <c r="F20" i="3"/>
  <c r="U3" i="4"/>
  <c r="AK4" i="4"/>
  <c r="Q7" i="5"/>
  <c r="Q4" i="4"/>
  <c r="AG5" i="4"/>
  <c r="U6" i="5"/>
  <c r="AK2" i="5"/>
  <c r="Y6" i="5"/>
  <c r="AO2" i="5"/>
  <c r="U4" i="6"/>
  <c r="ALP19" i="3"/>
  <c r="ALL19" i="3"/>
  <c r="ALH19" i="3"/>
  <c r="ALD19" i="3"/>
  <c r="AKZ19" i="3"/>
  <c r="AKV19" i="3"/>
  <c r="AKR19" i="3"/>
  <c r="AKN19" i="3"/>
  <c r="AKJ19" i="3"/>
  <c r="AKF19" i="3"/>
  <c r="AKB19" i="3"/>
  <c r="AJX19" i="3"/>
  <c r="AJT19" i="3"/>
  <c r="AJP19" i="3"/>
  <c r="AJL19" i="3"/>
  <c r="AJH19" i="3"/>
  <c r="AJD19" i="3"/>
  <c r="AIZ19" i="3"/>
  <c r="AIV19" i="3"/>
  <c r="AIR19" i="3"/>
  <c r="AIN19" i="3"/>
  <c r="AIJ19" i="3"/>
  <c r="AIF19" i="3"/>
  <c r="AIB19" i="3"/>
  <c r="AHX19" i="3"/>
  <c r="AHT19" i="3"/>
  <c r="AHP19" i="3"/>
  <c r="AHL19" i="3"/>
  <c r="AHH19" i="3"/>
  <c r="AHD19" i="3"/>
  <c r="AGZ19" i="3"/>
  <c r="AGV19" i="3"/>
  <c r="AGR19" i="3"/>
  <c r="AGN19" i="3"/>
  <c r="AGJ19" i="3"/>
  <c r="AGF19" i="3"/>
  <c r="AGB19" i="3"/>
  <c r="AFX19" i="3"/>
  <c r="AFT19" i="3"/>
  <c r="AFP19" i="3"/>
  <c r="AFL19" i="3"/>
  <c r="AFH19" i="3"/>
  <c r="AFD19" i="3"/>
  <c r="AEZ19" i="3"/>
  <c r="AEV19" i="3"/>
  <c r="AER19" i="3"/>
  <c r="AEN19" i="3"/>
  <c r="AEJ19" i="3"/>
  <c r="AEF19" i="3"/>
  <c r="AEB19" i="3"/>
  <c r="ADX19" i="3"/>
  <c r="ADT19" i="3"/>
  <c r="ADP19" i="3"/>
  <c r="ADL19" i="3"/>
  <c r="ADH19" i="3"/>
  <c r="ADD19" i="3"/>
  <c r="ACZ19" i="3"/>
  <c r="ACV19" i="3"/>
  <c r="ACR19" i="3"/>
  <c r="ACN19" i="3"/>
  <c r="ACJ19" i="3"/>
  <c r="ACF19" i="3"/>
  <c r="ACB19" i="3"/>
  <c r="ABX19" i="3"/>
  <c r="ABT19" i="3"/>
  <c r="ABP19" i="3"/>
  <c r="ABL19" i="3"/>
  <c r="ABH19" i="3"/>
  <c r="ABD19" i="3"/>
  <c r="AAZ19" i="3"/>
  <c r="AAV19" i="3"/>
  <c r="AAR19" i="3"/>
  <c r="AAN19" i="3"/>
  <c r="AAJ19" i="3"/>
  <c r="AAF19" i="3"/>
  <c r="AAB19" i="3"/>
  <c r="ZX19" i="3"/>
  <c r="ZT19" i="3"/>
  <c r="ZP19" i="3"/>
  <c r="ZL19" i="3"/>
  <c r="ZH19" i="3"/>
  <c r="ZD19" i="3"/>
  <c r="YZ19" i="3"/>
  <c r="YV19" i="3"/>
  <c r="YR19" i="3"/>
  <c r="YN19" i="3"/>
  <c r="YJ19" i="3"/>
  <c r="YF19" i="3"/>
  <c r="YB19" i="3"/>
  <c r="XX19" i="3"/>
  <c r="XT19" i="3"/>
  <c r="XP19" i="3"/>
  <c r="XL19" i="3"/>
  <c r="XH19" i="3"/>
  <c r="XD19" i="3"/>
  <c r="WZ19" i="3"/>
  <c r="WV19" i="3"/>
  <c r="WR19" i="3"/>
  <c r="WN19" i="3"/>
  <c r="WJ19" i="3"/>
  <c r="WF19" i="3"/>
  <c r="WB19" i="3"/>
  <c r="VX19" i="3"/>
  <c r="VT19" i="3"/>
  <c r="VP19" i="3"/>
  <c r="VL19" i="3"/>
  <c r="VH19" i="3"/>
  <c r="VD19" i="3"/>
  <c r="UZ19" i="3"/>
  <c r="UV19" i="3"/>
  <c r="UR19" i="3"/>
  <c r="UN19" i="3"/>
  <c r="UJ19" i="3"/>
  <c r="UF19" i="3"/>
  <c r="UB19" i="3"/>
  <c r="TX19" i="3"/>
  <c r="TT19" i="3"/>
  <c r="TP19" i="3"/>
  <c r="TL19" i="3"/>
  <c r="TH19" i="3"/>
  <c r="TD19" i="3"/>
  <c r="SZ19" i="3"/>
  <c r="SV19" i="3"/>
  <c r="SR19" i="3"/>
  <c r="SN19" i="3"/>
  <c r="SJ19" i="3"/>
  <c r="SF19" i="3"/>
  <c r="SB19" i="3"/>
  <c r="RX19" i="3"/>
  <c r="RT19" i="3"/>
  <c r="RP19" i="3"/>
  <c r="RL19" i="3"/>
  <c r="RH19" i="3"/>
  <c r="RD19" i="3"/>
  <c r="QZ19" i="3"/>
  <c r="QV19" i="3"/>
  <c r="QR19" i="3"/>
  <c r="QN19" i="3"/>
  <c r="QJ19" i="3"/>
  <c r="QF19" i="3"/>
  <c r="QB19" i="3"/>
  <c r="PX19" i="3"/>
  <c r="PT19" i="3"/>
  <c r="PP19" i="3"/>
  <c r="PL19" i="3"/>
  <c r="PH19" i="3"/>
  <c r="PD19" i="3"/>
  <c r="OZ19" i="3"/>
  <c r="OV19" i="3"/>
  <c r="OR19" i="3"/>
  <c r="ON19" i="3"/>
  <c r="OJ19" i="3"/>
  <c r="OF19" i="3"/>
  <c r="OB19" i="3"/>
  <c r="NX19" i="3"/>
  <c r="NT19" i="3"/>
  <c r="NP19" i="3"/>
  <c r="NL19" i="3"/>
  <c r="NH19" i="3"/>
  <c r="ND19" i="3"/>
  <c r="MZ19" i="3"/>
  <c r="MV19" i="3"/>
  <c r="MR19" i="3"/>
  <c r="MN19" i="3"/>
  <c r="MJ19" i="3"/>
  <c r="MF19" i="3"/>
  <c r="MB19" i="3"/>
  <c r="LX19" i="3"/>
  <c r="LT19" i="3"/>
  <c r="LP19" i="3"/>
  <c r="LL19" i="3"/>
  <c r="LH19" i="3"/>
  <c r="LD19" i="3"/>
  <c r="KZ19" i="3"/>
  <c r="KV19" i="3"/>
  <c r="KR19" i="3"/>
  <c r="KN19" i="3"/>
  <c r="KJ19" i="3"/>
  <c r="KF19" i="3"/>
  <c r="KB19" i="3"/>
  <c r="JX19" i="3"/>
  <c r="JT19" i="3"/>
  <c r="JP19" i="3"/>
  <c r="JL19" i="3"/>
  <c r="JH19" i="3"/>
  <c r="JD19" i="3"/>
  <c r="IZ19" i="3"/>
  <c r="IV19" i="3"/>
  <c r="IR19" i="3"/>
  <c r="IN19" i="3"/>
  <c r="IJ19" i="3"/>
  <c r="IF19" i="3"/>
  <c r="IB19" i="3"/>
  <c r="HX19" i="3"/>
  <c r="HT19" i="3"/>
  <c r="HP19" i="3"/>
  <c r="HL19" i="3"/>
  <c r="HH19" i="3"/>
  <c r="HD19" i="3"/>
  <c r="GZ19" i="3"/>
  <c r="GV19" i="3"/>
  <c r="GR19" i="3"/>
  <c r="GN19" i="3"/>
  <c r="GJ19" i="3"/>
  <c r="GF19" i="3"/>
  <c r="GB19" i="3"/>
  <c r="FX19" i="3"/>
  <c r="FT19" i="3"/>
  <c r="FP19" i="3"/>
  <c r="FL19" i="3"/>
  <c r="FH19" i="3"/>
  <c r="FD19" i="3"/>
  <c r="EZ19" i="3"/>
  <c r="EV19" i="3"/>
  <c r="ER19" i="3"/>
  <c r="EN19" i="3"/>
  <c r="EJ19" i="3"/>
  <c r="EF19" i="3"/>
  <c r="EB19" i="3"/>
  <c r="DX19" i="3"/>
  <c r="DT19" i="3"/>
  <c r="DP19" i="3"/>
  <c r="DL19" i="3"/>
  <c r="DH19" i="3"/>
  <c r="DD19" i="3"/>
  <c r="CZ19" i="3"/>
  <c r="CV19" i="3"/>
  <c r="CR19" i="3"/>
  <c r="CN19" i="3"/>
  <c r="CJ19" i="3"/>
  <c r="CF19" i="3"/>
  <c r="CB19" i="3"/>
  <c r="BX19" i="3"/>
  <c r="BT19" i="3"/>
  <c r="BP19" i="3"/>
  <c r="BL19" i="3"/>
  <c r="BH19" i="3"/>
  <c r="BD19" i="3"/>
  <c r="AZ19" i="3"/>
  <c r="AV19" i="3"/>
  <c r="AR19" i="3"/>
  <c r="AN19" i="3"/>
  <c r="AJ19" i="3"/>
  <c r="AF19" i="3"/>
  <c r="AB19" i="3"/>
  <c r="X19" i="3"/>
  <c r="T19" i="3"/>
  <c r="P19" i="3"/>
  <c r="L19" i="3"/>
  <c r="H19" i="3"/>
  <c r="ALO19" i="3"/>
  <c r="ALK19" i="3"/>
  <c r="ALG19" i="3"/>
  <c r="ALC19" i="3"/>
  <c r="AKY19" i="3"/>
  <c r="AKU19" i="3"/>
  <c r="AKQ19" i="3"/>
  <c r="AKM19" i="3"/>
  <c r="AKI19" i="3"/>
  <c r="AKE19" i="3"/>
  <c r="AKA19" i="3"/>
  <c r="AJW19" i="3"/>
  <c r="AJS19" i="3"/>
  <c r="AJO19" i="3"/>
  <c r="AJK19" i="3"/>
  <c r="AJG19" i="3"/>
  <c r="AJC19" i="3"/>
  <c r="AIY19" i="3"/>
  <c r="AIU19" i="3"/>
  <c r="AIQ19" i="3"/>
  <c r="AIM19" i="3"/>
  <c r="AII19" i="3"/>
  <c r="AIE19" i="3"/>
  <c r="AIA19" i="3"/>
  <c r="AHW19" i="3"/>
  <c r="AHS19" i="3"/>
  <c r="AHO19" i="3"/>
  <c r="AHK19" i="3"/>
  <c r="AHG19" i="3"/>
  <c r="AHC19" i="3"/>
  <c r="AGY19" i="3"/>
  <c r="AGU19" i="3"/>
  <c r="AGQ19" i="3"/>
  <c r="AGM19" i="3"/>
  <c r="AGI19" i="3"/>
  <c r="AGE19" i="3"/>
  <c r="AGA19" i="3"/>
  <c r="AFW19" i="3"/>
  <c r="AFS19" i="3"/>
  <c r="AFO19" i="3"/>
  <c r="AFK19" i="3"/>
  <c r="AFG19" i="3"/>
  <c r="AFC19" i="3"/>
  <c r="AEY19" i="3"/>
  <c r="AEU19" i="3"/>
  <c r="AEQ19" i="3"/>
  <c r="AEM19" i="3"/>
  <c r="AEI19" i="3"/>
  <c r="AEE19" i="3"/>
  <c r="AEA19" i="3"/>
  <c r="ADW19" i="3"/>
  <c r="ADS19" i="3"/>
  <c r="ADO19" i="3"/>
  <c r="ADK19" i="3"/>
  <c r="ADG19" i="3"/>
  <c r="ADC19" i="3"/>
  <c r="ACY19" i="3"/>
  <c r="ACU19" i="3"/>
  <c r="ACQ19" i="3"/>
  <c r="ACM19" i="3"/>
  <c r="ACI19" i="3"/>
  <c r="ACE19" i="3"/>
  <c r="ACA19" i="3"/>
  <c r="ABW19" i="3"/>
  <c r="ABS19" i="3"/>
  <c r="ABO19" i="3"/>
  <c r="ABK19" i="3"/>
  <c r="ABG19" i="3"/>
  <c r="ABC19" i="3"/>
  <c r="AAY19" i="3"/>
  <c r="AAU19" i="3"/>
  <c r="AAQ19" i="3"/>
  <c r="AAM19" i="3"/>
  <c r="AAI19" i="3"/>
  <c r="AAE19" i="3"/>
  <c r="AAA19" i="3"/>
  <c r="ZW19" i="3"/>
  <c r="ZS19" i="3"/>
  <c r="ZO19" i="3"/>
  <c r="ZK19" i="3"/>
  <c r="ZG19" i="3"/>
  <c r="ZC19" i="3"/>
  <c r="YY19" i="3"/>
  <c r="YU19" i="3"/>
  <c r="YQ19" i="3"/>
  <c r="YM19" i="3"/>
  <c r="YI19" i="3"/>
  <c r="YE19" i="3"/>
  <c r="YA19" i="3"/>
  <c r="XW19" i="3"/>
  <c r="XS19" i="3"/>
  <c r="XO19" i="3"/>
  <c r="XK19" i="3"/>
  <c r="XG19" i="3"/>
  <c r="XC19" i="3"/>
  <c r="WY19" i="3"/>
  <c r="WU19" i="3"/>
  <c r="WQ19" i="3"/>
  <c r="WM19" i="3"/>
  <c r="WI19" i="3"/>
  <c r="WE19" i="3"/>
  <c r="WA19" i="3"/>
  <c r="VW19" i="3"/>
  <c r="VS19" i="3"/>
  <c r="VO19" i="3"/>
  <c r="VK19" i="3"/>
  <c r="VG19" i="3"/>
  <c r="VC19" i="3"/>
  <c r="UY19" i="3"/>
  <c r="UU19" i="3"/>
  <c r="UQ19" i="3"/>
  <c r="UM19" i="3"/>
  <c r="UI19" i="3"/>
  <c r="UE19" i="3"/>
  <c r="UA19" i="3"/>
  <c r="TW19" i="3"/>
  <c r="TS19" i="3"/>
  <c r="TO19" i="3"/>
  <c r="TK19" i="3"/>
  <c r="TG19" i="3"/>
  <c r="TC19" i="3"/>
  <c r="SY19" i="3"/>
  <c r="SU19" i="3"/>
  <c r="SQ19" i="3"/>
  <c r="SM19" i="3"/>
  <c r="SI19" i="3"/>
  <c r="SE19" i="3"/>
  <c r="SA19" i="3"/>
  <c r="RW19" i="3"/>
  <c r="RS19" i="3"/>
  <c r="RO19" i="3"/>
  <c r="RK19" i="3"/>
  <c r="RG19" i="3"/>
  <c r="RC19" i="3"/>
  <c r="QY19" i="3"/>
  <c r="QU19" i="3"/>
  <c r="QQ19" i="3"/>
  <c r="QM19" i="3"/>
  <c r="QI19" i="3"/>
  <c r="QE19" i="3"/>
  <c r="QA19" i="3"/>
  <c r="PW19" i="3"/>
  <c r="PS19" i="3"/>
  <c r="PO19" i="3"/>
  <c r="PK19" i="3"/>
  <c r="PG19" i="3"/>
  <c r="PC19" i="3"/>
  <c r="OY19" i="3"/>
  <c r="OU19" i="3"/>
  <c r="OQ19" i="3"/>
  <c r="OM19" i="3"/>
  <c r="OI19" i="3"/>
  <c r="OE19" i="3"/>
  <c r="OA19" i="3"/>
  <c r="NW19" i="3"/>
  <c r="NS19" i="3"/>
  <c r="NO19" i="3"/>
  <c r="NK19" i="3"/>
  <c r="NG19" i="3"/>
  <c r="NC19" i="3"/>
  <c r="MY19" i="3"/>
  <c r="MU19" i="3"/>
  <c r="MQ19" i="3"/>
  <c r="MM19" i="3"/>
  <c r="MI19" i="3"/>
  <c r="ME19" i="3"/>
  <c r="MA19" i="3"/>
  <c r="LW19" i="3"/>
  <c r="LS19" i="3"/>
  <c r="LO19" i="3"/>
  <c r="LK19" i="3"/>
  <c r="LG19" i="3"/>
  <c r="LC19" i="3"/>
  <c r="KY19" i="3"/>
  <c r="KU19" i="3"/>
  <c r="KQ19" i="3"/>
  <c r="KM19" i="3"/>
  <c r="KI19" i="3"/>
  <c r="KE19" i="3"/>
  <c r="KA19" i="3"/>
  <c r="JW19" i="3"/>
  <c r="JS19" i="3"/>
  <c r="JO19" i="3"/>
  <c r="JK19" i="3"/>
  <c r="JG19" i="3"/>
  <c r="JC19" i="3"/>
  <c r="IY19" i="3"/>
  <c r="IU19" i="3"/>
  <c r="IQ19" i="3"/>
  <c r="IM19" i="3"/>
  <c r="II19" i="3"/>
  <c r="IE19" i="3"/>
  <c r="IA19" i="3"/>
  <c r="HW19" i="3"/>
  <c r="HS19" i="3"/>
  <c r="HO19" i="3"/>
  <c r="HK19" i="3"/>
  <c r="HG19" i="3"/>
  <c r="HC19" i="3"/>
  <c r="GY19" i="3"/>
  <c r="GU19" i="3"/>
  <c r="GQ19" i="3"/>
  <c r="GM19" i="3"/>
  <c r="GI19" i="3"/>
  <c r="GE19" i="3"/>
  <c r="GA19" i="3"/>
  <c r="FW19" i="3"/>
  <c r="FS19" i="3"/>
  <c r="FO19" i="3"/>
  <c r="FK19" i="3"/>
  <c r="FG19" i="3"/>
  <c r="FC19" i="3"/>
  <c r="EY19" i="3"/>
  <c r="EU19" i="3"/>
  <c r="EQ19" i="3"/>
  <c r="EM19" i="3"/>
  <c r="EI19" i="3"/>
  <c r="EE19" i="3"/>
  <c r="EA19" i="3"/>
  <c r="DW19" i="3"/>
  <c r="DS19" i="3"/>
  <c r="DO19" i="3"/>
  <c r="DK19" i="3"/>
  <c r="DG19" i="3"/>
  <c r="DC19" i="3"/>
  <c r="CY19" i="3"/>
  <c r="CU19" i="3"/>
  <c r="CQ19" i="3"/>
  <c r="CM19" i="3"/>
  <c r="CI19" i="3"/>
  <c r="ALQ19" i="3"/>
  <c r="ALI19" i="3"/>
  <c r="ALA19" i="3"/>
  <c r="AKS19" i="3"/>
  <c r="AKK19" i="3"/>
  <c r="AKC19" i="3"/>
  <c r="AJU19" i="3"/>
  <c r="AJM19" i="3"/>
  <c r="AJE19" i="3"/>
  <c r="AIW19" i="3"/>
  <c r="AIO19" i="3"/>
  <c r="AIG19" i="3"/>
  <c r="AHY19" i="3"/>
  <c r="AHQ19" i="3"/>
  <c r="AHI19" i="3"/>
  <c r="AHA19" i="3"/>
  <c r="AGS19" i="3"/>
  <c r="AGK19" i="3"/>
  <c r="AGC19" i="3"/>
  <c r="AFU19" i="3"/>
  <c r="AFM19" i="3"/>
  <c r="AFE19" i="3"/>
  <c r="AEW19" i="3"/>
  <c r="AEO19" i="3"/>
  <c r="AEG19" i="3"/>
  <c r="ADY19" i="3"/>
  <c r="ADQ19" i="3"/>
  <c r="ADI19" i="3"/>
  <c r="ADA19" i="3"/>
  <c r="ACS19" i="3"/>
  <c r="ACK19" i="3"/>
  <c r="ACC19" i="3"/>
  <c r="ABU19" i="3"/>
  <c r="ABM19" i="3"/>
  <c r="ABE19" i="3"/>
  <c r="AAW19" i="3"/>
  <c r="AAO19" i="3"/>
  <c r="AAG19" i="3"/>
  <c r="ZY19" i="3"/>
  <c r="ZQ19" i="3"/>
  <c r="ZI19" i="3"/>
  <c r="ZA19" i="3"/>
  <c r="YS19" i="3"/>
  <c r="YK19" i="3"/>
  <c r="YC19" i="3"/>
  <c r="XU19" i="3"/>
  <c r="XM19" i="3"/>
  <c r="XE19" i="3"/>
  <c r="WW19" i="3"/>
  <c r="WO19" i="3"/>
  <c r="WG19" i="3"/>
  <c r="VY19" i="3"/>
  <c r="VQ19" i="3"/>
  <c r="VI19" i="3"/>
  <c r="VA19" i="3"/>
  <c r="US19" i="3"/>
  <c r="UK19" i="3"/>
  <c r="UC19" i="3"/>
  <c r="TU19" i="3"/>
  <c r="TM19" i="3"/>
  <c r="TE19" i="3"/>
  <c r="SW19" i="3"/>
  <c r="SO19" i="3"/>
  <c r="SG19" i="3"/>
  <c r="RY19" i="3"/>
  <c r="RQ19" i="3"/>
  <c r="RI19" i="3"/>
  <c r="RA19" i="3"/>
  <c r="QS19" i="3"/>
  <c r="QK19" i="3"/>
  <c r="QC19" i="3"/>
  <c r="PU19" i="3"/>
  <c r="PM19" i="3"/>
  <c r="PE19" i="3"/>
  <c r="OW19" i="3"/>
  <c r="OO19" i="3"/>
  <c r="OG19" i="3"/>
  <c r="NY19" i="3"/>
  <c r="NQ19" i="3"/>
  <c r="NI19" i="3"/>
  <c r="NA19" i="3"/>
  <c r="MS19" i="3"/>
  <c r="MK19" i="3"/>
  <c r="MC19" i="3"/>
  <c r="LU19" i="3"/>
  <c r="LM19" i="3"/>
  <c r="LE19" i="3"/>
  <c r="KW19" i="3"/>
  <c r="KO19" i="3"/>
  <c r="KG19" i="3"/>
  <c r="JY19" i="3"/>
  <c r="JQ19" i="3"/>
  <c r="JI19" i="3"/>
  <c r="JA19" i="3"/>
  <c r="IS19" i="3"/>
  <c r="IK19" i="3"/>
  <c r="IC19" i="3"/>
  <c r="HU19" i="3"/>
  <c r="HM19" i="3"/>
  <c r="HE19" i="3"/>
  <c r="GW19" i="3"/>
  <c r="GO19" i="3"/>
  <c r="GG19" i="3"/>
  <c r="FY19" i="3"/>
  <c r="FQ19" i="3"/>
  <c r="FI19" i="3"/>
  <c r="FA19" i="3"/>
  <c r="ES19" i="3"/>
  <c r="EK19" i="3"/>
  <c r="EC19" i="3"/>
  <c r="DU19" i="3"/>
  <c r="DM19" i="3"/>
  <c r="DE19" i="3"/>
  <c r="CW19" i="3"/>
  <c r="CO19" i="3"/>
  <c r="CG19" i="3"/>
  <c r="CA19" i="3"/>
  <c r="BV19" i="3"/>
  <c r="BQ19" i="3"/>
  <c r="BK19" i="3"/>
  <c r="BF19" i="3"/>
  <c r="BA19" i="3"/>
  <c r="AU19" i="3"/>
  <c r="AP19" i="3"/>
  <c r="AK19" i="3"/>
  <c r="AE19" i="3"/>
  <c r="Z19" i="3"/>
  <c r="U19" i="3"/>
  <c r="O19" i="3"/>
  <c r="J19" i="3"/>
  <c r="F19" i="3"/>
  <c r="ALN19" i="3"/>
  <c r="ALF19" i="3"/>
  <c r="AKX19" i="3"/>
  <c r="AKP19" i="3"/>
  <c r="AKH19" i="3"/>
  <c r="AJZ19" i="3"/>
  <c r="AJR19" i="3"/>
  <c r="AJJ19" i="3"/>
  <c r="AJB19" i="3"/>
  <c r="AIT19" i="3"/>
  <c r="AIL19" i="3"/>
  <c r="AID19" i="3"/>
  <c r="AHV19" i="3"/>
  <c r="AHN19" i="3"/>
  <c r="AHF19" i="3"/>
  <c r="AGX19" i="3"/>
  <c r="AGP19" i="3"/>
  <c r="AGH19" i="3"/>
  <c r="AFZ19" i="3"/>
  <c r="AFR19" i="3"/>
  <c r="AFJ19" i="3"/>
  <c r="AFB19" i="3"/>
  <c r="AET19" i="3"/>
  <c r="AEL19" i="3"/>
  <c r="AED19" i="3"/>
  <c r="ADV19" i="3"/>
  <c r="ADN19" i="3"/>
  <c r="ADF19" i="3"/>
  <c r="ACX19" i="3"/>
  <c r="ACP19" i="3"/>
  <c r="ACH19" i="3"/>
  <c r="ABZ19" i="3"/>
  <c r="ABR19" i="3"/>
  <c r="ABJ19" i="3"/>
  <c r="ABB19" i="3"/>
  <c r="AAT19" i="3"/>
  <c r="AAL19" i="3"/>
  <c r="AAD19" i="3"/>
  <c r="ZV19" i="3"/>
  <c r="ZN19" i="3"/>
  <c r="ZF19" i="3"/>
  <c r="YX19" i="3"/>
  <c r="YP19" i="3"/>
  <c r="YH19" i="3"/>
  <c r="XZ19" i="3"/>
  <c r="XR19" i="3"/>
  <c r="XJ19" i="3"/>
  <c r="XB19" i="3"/>
  <c r="WT19" i="3"/>
  <c r="WL19" i="3"/>
  <c r="WD19" i="3"/>
  <c r="VV19" i="3"/>
  <c r="VN19" i="3"/>
  <c r="VF19" i="3"/>
  <c r="UX19" i="3"/>
  <c r="UP19" i="3"/>
  <c r="UH19" i="3"/>
  <c r="TZ19" i="3"/>
  <c r="TR19" i="3"/>
  <c r="TJ19" i="3"/>
  <c r="TB19" i="3"/>
  <c r="ST19" i="3"/>
  <c r="SL19" i="3"/>
  <c r="SD19" i="3"/>
  <c r="RV19" i="3"/>
  <c r="RN19" i="3"/>
  <c r="RF19" i="3"/>
  <c r="QX19" i="3"/>
  <c r="QP19" i="3"/>
  <c r="QH19" i="3"/>
  <c r="PZ19" i="3"/>
  <c r="PR19" i="3"/>
  <c r="PJ19" i="3"/>
  <c r="PB19" i="3"/>
  <c r="OT19" i="3"/>
  <c r="OL19" i="3"/>
  <c r="OD19" i="3"/>
  <c r="NV19" i="3"/>
  <c r="NN19" i="3"/>
  <c r="NF19" i="3"/>
  <c r="MX19" i="3"/>
  <c r="MP19" i="3"/>
  <c r="MH19" i="3"/>
  <c r="LZ19" i="3"/>
  <c r="LR19" i="3"/>
  <c r="LJ19" i="3"/>
  <c r="LB19" i="3"/>
  <c r="KT19" i="3"/>
  <c r="KL19" i="3"/>
  <c r="KD19" i="3"/>
  <c r="JV19" i="3"/>
  <c r="JN19" i="3"/>
  <c r="JF19" i="3"/>
  <c r="IX19" i="3"/>
  <c r="IP19" i="3"/>
  <c r="IH19" i="3"/>
  <c r="HZ19" i="3"/>
  <c r="HR19" i="3"/>
  <c r="HJ19" i="3"/>
  <c r="HB19" i="3"/>
  <c r="GT19" i="3"/>
  <c r="GL19" i="3"/>
  <c r="GD19" i="3"/>
  <c r="FV19" i="3"/>
  <c r="FN19" i="3"/>
  <c r="FF19" i="3"/>
  <c r="EX19" i="3"/>
  <c r="EP19" i="3"/>
  <c r="EH19" i="3"/>
  <c r="DZ19" i="3"/>
  <c r="DR19" i="3"/>
  <c r="DJ19" i="3"/>
  <c r="DB19" i="3"/>
  <c r="CT19" i="3"/>
  <c r="CL19" i="3"/>
  <c r="CE19" i="3"/>
  <c r="BZ19" i="3"/>
  <c r="BU19" i="3"/>
  <c r="BO19" i="3"/>
  <c r="BJ19" i="3"/>
  <c r="BE19" i="3"/>
  <c r="AY19" i="3"/>
  <c r="AT19" i="3"/>
  <c r="AO19" i="3"/>
  <c r="AI19" i="3"/>
  <c r="AD19" i="3"/>
  <c r="Y19" i="3"/>
  <c r="S19" i="3"/>
  <c r="N19" i="3"/>
  <c r="I19" i="3"/>
  <c r="ALM19" i="3"/>
  <c r="ALE19" i="3"/>
  <c r="AKW19" i="3"/>
  <c r="AKO19" i="3"/>
  <c r="AKG19" i="3"/>
  <c r="AJY19" i="3"/>
  <c r="AJQ19" i="3"/>
  <c r="AJI19" i="3"/>
  <c r="AJA19" i="3"/>
  <c r="AIS19" i="3"/>
  <c r="AIK19" i="3"/>
  <c r="AIC19" i="3"/>
  <c r="AHU19" i="3"/>
  <c r="AHM19" i="3"/>
  <c r="AHE19" i="3"/>
  <c r="AGW19" i="3"/>
  <c r="AGO19" i="3"/>
  <c r="AGG19" i="3"/>
  <c r="AFY19" i="3"/>
  <c r="AFQ19" i="3"/>
  <c r="AFI19" i="3"/>
  <c r="AFA19" i="3"/>
  <c r="AES19" i="3"/>
  <c r="AEK19" i="3"/>
  <c r="AEC19" i="3"/>
  <c r="ADU19" i="3"/>
  <c r="ADM19" i="3"/>
  <c r="ADE19" i="3"/>
  <c r="ACW19" i="3"/>
  <c r="ACO19" i="3"/>
  <c r="ACG19" i="3"/>
  <c r="ABY19" i="3"/>
  <c r="ABQ19" i="3"/>
  <c r="ABI19" i="3"/>
  <c r="ABA19" i="3"/>
  <c r="AAS19" i="3"/>
  <c r="AAK19" i="3"/>
  <c r="AAC19" i="3"/>
  <c r="ZU19" i="3"/>
  <c r="ZM19" i="3"/>
  <c r="ZE19" i="3"/>
  <c r="YW19" i="3"/>
  <c r="YO19" i="3"/>
  <c r="YG19" i="3"/>
  <c r="XY19" i="3"/>
  <c r="XQ19" i="3"/>
  <c r="XI19" i="3"/>
  <c r="XA19" i="3"/>
  <c r="WS19" i="3"/>
  <c r="WK19" i="3"/>
  <c r="WC19" i="3"/>
  <c r="VU19" i="3"/>
  <c r="VM19" i="3"/>
  <c r="VE19" i="3"/>
  <c r="UW19" i="3"/>
  <c r="UO19" i="3"/>
  <c r="UG19" i="3"/>
  <c r="TY19" i="3"/>
  <c r="TQ19" i="3"/>
  <c r="TI19" i="3"/>
  <c r="TA19" i="3"/>
  <c r="SS19" i="3"/>
  <c r="SK19" i="3"/>
  <c r="SC19" i="3"/>
  <c r="RU19" i="3"/>
  <c r="RM19" i="3"/>
  <c r="RE19" i="3"/>
  <c r="QW19" i="3"/>
  <c r="QO19" i="3"/>
  <c r="QG19" i="3"/>
  <c r="PY19" i="3"/>
  <c r="PQ19" i="3"/>
  <c r="PI19" i="3"/>
  <c r="PA19" i="3"/>
  <c r="OS19" i="3"/>
  <c r="OK19" i="3"/>
  <c r="OC19" i="3"/>
  <c r="NU19" i="3"/>
  <c r="NM19" i="3"/>
  <c r="NE19" i="3"/>
  <c r="MW19" i="3"/>
  <c r="MO19" i="3"/>
  <c r="MG19" i="3"/>
  <c r="LY19" i="3"/>
  <c r="LQ19" i="3"/>
  <c r="LI19" i="3"/>
  <c r="LA19" i="3"/>
  <c r="KS19" i="3"/>
  <c r="KK19" i="3"/>
  <c r="KC19" i="3"/>
  <c r="JU19" i="3"/>
  <c r="JM19" i="3"/>
  <c r="JE19" i="3"/>
  <c r="IW19" i="3"/>
  <c r="IO19" i="3"/>
  <c r="IG19" i="3"/>
  <c r="HY19" i="3"/>
  <c r="HQ19" i="3"/>
  <c r="HI19" i="3"/>
  <c r="HA19" i="3"/>
  <c r="GS19" i="3"/>
  <c r="GK19" i="3"/>
  <c r="GC19" i="3"/>
  <c r="FU19" i="3"/>
  <c r="FM19" i="3"/>
  <c r="FE19" i="3"/>
  <c r="EW19" i="3"/>
  <c r="EO19" i="3"/>
  <c r="EG19" i="3"/>
  <c r="DY19" i="3"/>
  <c r="DQ19" i="3"/>
  <c r="DI19" i="3"/>
  <c r="DA19" i="3"/>
  <c r="CS19" i="3"/>
  <c r="CK19" i="3"/>
  <c r="CD19" i="3"/>
  <c r="BY19" i="3"/>
  <c r="BS19" i="3"/>
  <c r="BN19" i="3"/>
  <c r="BI19" i="3"/>
  <c r="BC19" i="3"/>
  <c r="AX19" i="3"/>
  <c r="AS19" i="3"/>
  <c r="AM19" i="3"/>
  <c r="AH19" i="3"/>
  <c r="AC19" i="3"/>
  <c r="W19" i="3"/>
  <c r="R19" i="3"/>
  <c r="M19" i="3"/>
  <c r="G19" i="3"/>
  <c r="ALB19" i="3"/>
  <c r="AJV19" i="3"/>
  <c r="AIP19" i="3"/>
  <c r="AHJ19" i="3"/>
  <c r="AGD19" i="3"/>
  <c r="AEX19" i="3"/>
  <c r="ADR19" i="3"/>
  <c r="ACL19" i="3"/>
  <c r="ABF19" i="3"/>
  <c r="ZZ19" i="3"/>
  <c r="YT19" i="3"/>
  <c r="XN19" i="3"/>
  <c r="WH19" i="3"/>
  <c r="VB19" i="3"/>
  <c r="TV19" i="3"/>
  <c r="SP19" i="3"/>
  <c r="RJ19" i="3"/>
  <c r="QD19" i="3"/>
  <c r="OX19" i="3"/>
  <c r="NR19" i="3"/>
  <c r="ML19" i="3"/>
  <c r="LF19" i="3"/>
  <c r="JZ19" i="3"/>
  <c r="IT19" i="3"/>
  <c r="HN19" i="3"/>
  <c r="GH19" i="3"/>
  <c r="FB19" i="3"/>
  <c r="DV19" i="3"/>
  <c r="CP19" i="3"/>
  <c r="BR19" i="3"/>
  <c r="AW19" i="3"/>
  <c r="AA19" i="3"/>
  <c r="AKT19" i="3"/>
  <c r="AJN19" i="3"/>
  <c r="AIH19" i="3"/>
  <c r="AHB19" i="3"/>
  <c r="AFV19" i="3"/>
  <c r="AEP19" i="3"/>
  <c r="ADJ19" i="3"/>
  <c r="ACD19" i="3"/>
  <c r="AAX19" i="3"/>
  <c r="ZR19" i="3"/>
  <c r="YL19" i="3"/>
  <c r="XF19" i="3"/>
  <c r="VZ19" i="3"/>
  <c r="UT19" i="3"/>
  <c r="TN19" i="3"/>
  <c r="SH19" i="3"/>
  <c r="RB19" i="3"/>
  <c r="PV19" i="3"/>
  <c r="OP19" i="3"/>
  <c r="NJ19" i="3"/>
  <c r="MD19" i="3"/>
  <c r="KX19" i="3"/>
  <c r="JR19" i="3"/>
  <c r="IL19" i="3"/>
  <c r="HF19" i="3"/>
  <c r="FZ19" i="3"/>
  <c r="ET19" i="3"/>
  <c r="DN19" i="3"/>
  <c r="CH19" i="3"/>
  <c r="BM19" i="3"/>
  <c r="AQ19" i="3"/>
  <c r="V19" i="3"/>
  <c r="AKL19" i="3"/>
  <c r="AJF19" i="3"/>
  <c r="AHZ19" i="3"/>
  <c r="AGT19" i="3"/>
  <c r="AFN19" i="3"/>
  <c r="AEH19" i="3"/>
  <c r="ADB19" i="3"/>
  <c r="ABV19" i="3"/>
  <c r="AAP19" i="3"/>
  <c r="ZJ19" i="3"/>
  <c r="YD19" i="3"/>
  <c r="WX19" i="3"/>
  <c r="VR19" i="3"/>
  <c r="UL19" i="3"/>
  <c r="TF19" i="3"/>
  <c r="RZ19" i="3"/>
  <c r="QT19" i="3"/>
  <c r="PN19" i="3"/>
  <c r="OH19" i="3"/>
  <c r="NB19" i="3"/>
  <c r="LV19" i="3"/>
  <c r="KP19" i="3"/>
  <c r="JJ19" i="3"/>
  <c r="ID19" i="3"/>
  <c r="GX19" i="3"/>
  <c r="FR19" i="3"/>
  <c r="EL19" i="3"/>
  <c r="DF19" i="3"/>
  <c r="CC19" i="3"/>
  <c r="BG19" i="3"/>
  <c r="AL19" i="3"/>
  <c r="Q19" i="3"/>
  <c r="ALJ19" i="3"/>
  <c r="AKD19" i="3"/>
  <c r="AIX19" i="3"/>
  <c r="AHR19" i="3"/>
  <c r="AGL19" i="3"/>
  <c r="AFF19" i="3"/>
  <c r="ADZ19" i="3"/>
  <c r="ACT19" i="3"/>
  <c r="ABN19" i="3"/>
  <c r="AAH19" i="3"/>
  <c r="ZB19" i="3"/>
  <c r="XV19" i="3"/>
  <c r="WP19" i="3"/>
  <c r="VJ19" i="3"/>
  <c r="UD19" i="3"/>
  <c r="SX19" i="3"/>
  <c r="RR19" i="3"/>
  <c r="QL19" i="3"/>
  <c r="PF19" i="3"/>
  <c r="NZ19" i="3"/>
  <c r="MT19" i="3"/>
  <c r="LN19" i="3"/>
  <c r="KH19" i="3"/>
  <c r="JB19" i="3"/>
  <c r="HV19" i="3"/>
  <c r="GP19" i="3"/>
  <c r="FJ19" i="3"/>
  <c r="ED19" i="3"/>
  <c r="CX19" i="3"/>
  <c r="BW19" i="3"/>
  <c r="BB19" i="3"/>
  <c r="AG19" i="3"/>
  <c r="K19" i="3"/>
  <c r="ALN31" i="3"/>
  <c r="ALJ31" i="3"/>
  <c r="ALF31" i="3"/>
  <c r="ALB31" i="3"/>
  <c r="AKX31" i="3"/>
  <c r="AKT31" i="3"/>
  <c r="AKP31" i="3"/>
  <c r="AKL31" i="3"/>
  <c r="AKH31" i="3"/>
  <c r="AKD31" i="3"/>
  <c r="AJZ31" i="3"/>
  <c r="AJV31" i="3"/>
  <c r="AJR31" i="3"/>
  <c r="AJN31" i="3"/>
  <c r="AJJ31" i="3"/>
  <c r="AJF31" i="3"/>
  <c r="AJB31" i="3"/>
  <c r="AIX31" i="3"/>
  <c r="AIT31" i="3"/>
  <c r="AIP31" i="3"/>
  <c r="AIL31" i="3"/>
  <c r="AIH31" i="3"/>
  <c r="AID31" i="3"/>
  <c r="AHZ31" i="3"/>
  <c r="AHV31" i="3"/>
  <c r="AHR31" i="3"/>
  <c r="AHN31" i="3"/>
  <c r="AHJ31" i="3"/>
  <c r="AHF31" i="3"/>
  <c r="AHB31" i="3"/>
  <c r="AGX31" i="3"/>
  <c r="AGT31" i="3"/>
  <c r="AGP31" i="3"/>
  <c r="AGL31" i="3"/>
  <c r="AGH31" i="3"/>
  <c r="AGD31" i="3"/>
  <c r="AFZ31" i="3"/>
  <c r="AFV31" i="3"/>
  <c r="AFR31" i="3"/>
  <c r="AFN31" i="3"/>
  <c r="AFJ31" i="3"/>
  <c r="AFF31" i="3"/>
  <c r="AFB31" i="3"/>
  <c r="AEX31" i="3"/>
  <c r="AET31" i="3"/>
  <c r="AEP31" i="3"/>
  <c r="AEL31" i="3"/>
  <c r="AEH31" i="3"/>
  <c r="AED31" i="3"/>
  <c r="ADZ31" i="3"/>
  <c r="ADV31" i="3"/>
  <c r="ADR31" i="3"/>
  <c r="ADN31" i="3"/>
  <c r="ADJ31" i="3"/>
  <c r="ADF31" i="3"/>
  <c r="ADB31" i="3"/>
  <c r="ACX31" i="3"/>
  <c r="ACT31" i="3"/>
  <c r="ACP31" i="3"/>
  <c r="ACL31" i="3"/>
  <c r="ACH31" i="3"/>
  <c r="ACD31" i="3"/>
  <c r="ABZ31" i="3"/>
  <c r="ABV31" i="3"/>
  <c r="ABR31" i="3"/>
  <c r="ABN31" i="3"/>
  <c r="ABJ31" i="3"/>
  <c r="ABF31" i="3"/>
  <c r="ABB31" i="3"/>
  <c r="AAX31" i="3"/>
  <c r="AAT31" i="3"/>
  <c r="AAP31" i="3"/>
  <c r="AAL31" i="3"/>
  <c r="AAH31" i="3"/>
  <c r="AAD31" i="3"/>
  <c r="ZZ31" i="3"/>
  <c r="ZV31" i="3"/>
  <c r="ZR31" i="3"/>
  <c r="ZN31" i="3"/>
  <c r="ZJ31" i="3"/>
  <c r="ZF31" i="3"/>
  <c r="ZB31" i="3"/>
  <c r="YX31" i="3"/>
  <c r="YT31" i="3"/>
  <c r="YP31" i="3"/>
  <c r="YL31" i="3"/>
  <c r="YH31" i="3"/>
  <c r="YD31" i="3"/>
  <c r="XZ31" i="3"/>
  <c r="XV31" i="3"/>
  <c r="XR31" i="3"/>
  <c r="XN31" i="3"/>
  <c r="XJ31" i="3"/>
  <c r="XF31" i="3"/>
  <c r="XB31" i="3"/>
  <c r="WX31" i="3"/>
  <c r="WT31" i="3"/>
  <c r="WP31" i="3"/>
  <c r="WL31" i="3"/>
  <c r="WH31" i="3"/>
  <c r="WD31" i="3"/>
  <c r="VZ31" i="3"/>
  <c r="VV31" i="3"/>
  <c r="VR31" i="3"/>
  <c r="VN31" i="3"/>
  <c r="VJ31" i="3"/>
  <c r="VF31" i="3"/>
  <c r="VB31" i="3"/>
  <c r="UX31" i="3"/>
  <c r="UT31" i="3"/>
  <c r="UP31" i="3"/>
  <c r="UL31" i="3"/>
  <c r="UH31" i="3"/>
  <c r="UD31" i="3"/>
  <c r="TZ31" i="3"/>
  <c r="TV31" i="3"/>
  <c r="TR31" i="3"/>
  <c r="TN31" i="3"/>
  <c r="TJ31" i="3"/>
  <c r="TF31" i="3"/>
  <c r="TB31" i="3"/>
  <c r="SX31" i="3"/>
  <c r="ST31" i="3"/>
  <c r="SP31" i="3"/>
  <c r="SL31" i="3"/>
  <c r="SH31" i="3"/>
  <c r="SD31" i="3"/>
  <c r="RZ31" i="3"/>
  <c r="RV31" i="3"/>
  <c r="RR31" i="3"/>
  <c r="RN31" i="3"/>
  <c r="RJ31" i="3"/>
  <c r="RF31" i="3"/>
  <c r="RB31" i="3"/>
  <c r="QX31" i="3"/>
  <c r="QT31" i="3"/>
  <c r="QP31" i="3"/>
  <c r="QL31" i="3"/>
  <c r="QH31" i="3"/>
  <c r="QD31" i="3"/>
  <c r="PZ31" i="3"/>
  <c r="PV31" i="3"/>
  <c r="PR31" i="3"/>
  <c r="PN31" i="3"/>
  <c r="PJ31" i="3"/>
  <c r="PF31" i="3"/>
  <c r="PB31" i="3"/>
  <c r="OX31" i="3"/>
  <c r="OT31" i="3"/>
  <c r="OP31" i="3"/>
  <c r="OL31" i="3"/>
  <c r="OH31" i="3"/>
  <c r="OD31" i="3"/>
  <c r="NZ31" i="3"/>
  <c r="NV31" i="3"/>
  <c r="NR31" i="3"/>
  <c r="NN31" i="3"/>
  <c r="NJ31" i="3"/>
  <c r="NF31" i="3"/>
  <c r="NB31" i="3"/>
  <c r="MX31" i="3"/>
  <c r="MT31" i="3"/>
  <c r="MP31" i="3"/>
  <c r="ML31" i="3"/>
  <c r="MH31" i="3"/>
  <c r="MD31" i="3"/>
  <c r="LZ31" i="3"/>
  <c r="LV31" i="3"/>
  <c r="LR31" i="3"/>
  <c r="LN31" i="3"/>
  <c r="LJ31" i="3"/>
  <c r="LF31" i="3"/>
  <c r="LB31" i="3"/>
  <c r="KX31" i="3"/>
  <c r="KT31" i="3"/>
  <c r="KP31" i="3"/>
  <c r="KL31" i="3"/>
  <c r="KH31" i="3"/>
  <c r="KD31" i="3"/>
  <c r="JZ31" i="3"/>
  <c r="JV31" i="3"/>
  <c r="JR31" i="3"/>
  <c r="JN31" i="3"/>
  <c r="JJ31" i="3"/>
  <c r="JF31" i="3"/>
  <c r="JB31" i="3"/>
  <c r="IX31" i="3"/>
  <c r="IT31" i="3"/>
  <c r="IP31" i="3"/>
  <c r="IL31" i="3"/>
  <c r="IH31" i="3"/>
  <c r="ID31" i="3"/>
  <c r="HZ31" i="3"/>
  <c r="HV31" i="3"/>
  <c r="HR31" i="3"/>
  <c r="HN31" i="3"/>
  <c r="HJ31" i="3"/>
  <c r="HF31" i="3"/>
  <c r="HB31" i="3"/>
  <c r="GX31" i="3"/>
  <c r="GT31" i="3"/>
  <c r="GP31" i="3"/>
  <c r="GL31" i="3"/>
  <c r="GH31" i="3"/>
  <c r="GD31" i="3"/>
  <c r="FZ31" i="3"/>
  <c r="FV31" i="3"/>
  <c r="FR31" i="3"/>
  <c r="FN31" i="3"/>
  <c r="FJ31" i="3"/>
  <c r="FF31" i="3"/>
  <c r="FB31" i="3"/>
  <c r="EX31" i="3"/>
  <c r="ET31" i="3"/>
  <c r="EP31" i="3"/>
  <c r="EL31" i="3"/>
  <c r="EH31" i="3"/>
  <c r="ED31" i="3"/>
  <c r="DZ31" i="3"/>
  <c r="DV31" i="3"/>
  <c r="DR31" i="3"/>
  <c r="DN31" i="3"/>
  <c r="DJ31" i="3"/>
  <c r="DF31" i="3"/>
  <c r="DB31" i="3"/>
  <c r="CX31" i="3"/>
  <c r="CT31" i="3"/>
  <c r="CP31" i="3"/>
  <c r="CL31" i="3"/>
  <c r="CH31" i="3"/>
  <c r="CD31" i="3"/>
  <c r="BZ31" i="3"/>
  <c r="BV31" i="3"/>
  <c r="BR31" i="3"/>
  <c r="BN31" i="3"/>
  <c r="BJ31" i="3"/>
  <c r="BF31" i="3"/>
  <c r="BB31" i="3"/>
  <c r="AX31" i="3"/>
  <c r="AT31" i="3"/>
  <c r="AP31" i="3"/>
  <c r="AL31" i="3"/>
  <c r="AH31" i="3"/>
  <c r="AD31" i="3"/>
  <c r="Z31" i="3"/>
  <c r="V31" i="3"/>
  <c r="R31" i="3"/>
  <c r="N31" i="3"/>
  <c r="J31" i="3"/>
  <c r="ALQ31" i="3"/>
  <c r="ALM31" i="3"/>
  <c r="ALI31" i="3"/>
  <c r="ALE31" i="3"/>
  <c r="ALA31" i="3"/>
  <c r="AKW31" i="3"/>
  <c r="AKS31" i="3"/>
  <c r="AKO31" i="3"/>
  <c r="AKK31" i="3"/>
  <c r="AKG31" i="3"/>
  <c r="AKC31" i="3"/>
  <c r="AJY31" i="3"/>
  <c r="AJU31" i="3"/>
  <c r="AJQ31" i="3"/>
  <c r="AJM31" i="3"/>
  <c r="AJI31" i="3"/>
  <c r="AJE31" i="3"/>
  <c r="AJA31" i="3"/>
  <c r="AIW31" i="3"/>
  <c r="AIS31" i="3"/>
  <c r="AIO31" i="3"/>
  <c r="AIK31" i="3"/>
  <c r="AIG31" i="3"/>
  <c r="AIC31" i="3"/>
  <c r="AHY31" i="3"/>
  <c r="AHU31" i="3"/>
  <c r="AHQ31" i="3"/>
  <c r="AHM31" i="3"/>
  <c r="AHI31" i="3"/>
  <c r="AHE31" i="3"/>
  <c r="AHA31" i="3"/>
  <c r="AGW31" i="3"/>
  <c r="AGS31" i="3"/>
  <c r="AGO31" i="3"/>
  <c r="AGK31" i="3"/>
  <c r="AGG31" i="3"/>
  <c r="AGC31" i="3"/>
  <c r="AFY31" i="3"/>
  <c r="AFU31" i="3"/>
  <c r="AFQ31" i="3"/>
  <c r="AFM31" i="3"/>
  <c r="AFI31" i="3"/>
  <c r="AFE31" i="3"/>
  <c r="AFA31" i="3"/>
  <c r="AEW31" i="3"/>
  <c r="AES31" i="3"/>
  <c r="AEO31" i="3"/>
  <c r="AEK31" i="3"/>
  <c r="AEG31" i="3"/>
  <c r="AEC31" i="3"/>
  <c r="ADY31" i="3"/>
  <c r="ADU31" i="3"/>
  <c r="ADQ31" i="3"/>
  <c r="ADM31" i="3"/>
  <c r="ADI31" i="3"/>
  <c r="ADE31" i="3"/>
  <c r="ADA31" i="3"/>
  <c r="ACW31" i="3"/>
  <c r="ACS31" i="3"/>
  <c r="ACO31" i="3"/>
  <c r="ACK31" i="3"/>
  <c r="ACG31" i="3"/>
  <c r="ACC31" i="3"/>
  <c r="ABY31" i="3"/>
  <c r="ABU31" i="3"/>
  <c r="ABQ31" i="3"/>
  <c r="ABM31" i="3"/>
  <c r="ABI31" i="3"/>
  <c r="ABE31" i="3"/>
  <c r="ABA31" i="3"/>
  <c r="AAW31" i="3"/>
  <c r="AAS31" i="3"/>
  <c r="AAO31" i="3"/>
  <c r="AAK31" i="3"/>
  <c r="AAG31" i="3"/>
  <c r="AAC31" i="3"/>
  <c r="ZY31" i="3"/>
  <c r="ZU31" i="3"/>
  <c r="ZQ31" i="3"/>
  <c r="ZM31" i="3"/>
  <c r="ZI31" i="3"/>
  <c r="ZE31" i="3"/>
  <c r="ZA31" i="3"/>
  <c r="YW31" i="3"/>
  <c r="YS31" i="3"/>
  <c r="YO31" i="3"/>
  <c r="YK31" i="3"/>
  <c r="YG31" i="3"/>
  <c r="YC31" i="3"/>
  <c r="XY31" i="3"/>
  <c r="XU31" i="3"/>
  <c r="XQ31" i="3"/>
  <c r="XM31" i="3"/>
  <c r="XI31" i="3"/>
  <c r="XE31" i="3"/>
  <c r="XA31" i="3"/>
  <c r="WW31" i="3"/>
  <c r="WS31" i="3"/>
  <c r="WO31" i="3"/>
  <c r="WK31" i="3"/>
  <c r="WG31" i="3"/>
  <c r="WC31" i="3"/>
  <c r="VY31" i="3"/>
  <c r="VU31" i="3"/>
  <c r="VQ31" i="3"/>
  <c r="VM31" i="3"/>
  <c r="VI31" i="3"/>
  <c r="VE31" i="3"/>
  <c r="VA31" i="3"/>
  <c r="UW31" i="3"/>
  <c r="US31" i="3"/>
  <c r="UO31" i="3"/>
  <c r="UK31" i="3"/>
  <c r="UG31" i="3"/>
  <c r="UC31" i="3"/>
  <c r="TY31" i="3"/>
  <c r="TU31" i="3"/>
  <c r="TQ31" i="3"/>
  <c r="TM31" i="3"/>
  <c r="TI31" i="3"/>
  <c r="TE31" i="3"/>
  <c r="TA31" i="3"/>
  <c r="SW31" i="3"/>
  <c r="SS31" i="3"/>
  <c r="SO31" i="3"/>
  <c r="SK31" i="3"/>
  <c r="SG31" i="3"/>
  <c r="SC31" i="3"/>
  <c r="RY31" i="3"/>
  <c r="RU31" i="3"/>
  <c r="RQ31" i="3"/>
  <c r="RM31" i="3"/>
  <c r="RI31" i="3"/>
  <c r="RE31" i="3"/>
  <c r="RA31" i="3"/>
  <c r="QW31" i="3"/>
  <c r="QS31" i="3"/>
  <c r="QO31" i="3"/>
  <c r="QK31" i="3"/>
  <c r="QG31" i="3"/>
  <c r="QC31" i="3"/>
  <c r="PY31" i="3"/>
  <c r="PU31" i="3"/>
  <c r="PQ31" i="3"/>
  <c r="PM31" i="3"/>
  <c r="PI31" i="3"/>
  <c r="PE31" i="3"/>
  <c r="PA31" i="3"/>
  <c r="OW31" i="3"/>
  <c r="OS31" i="3"/>
  <c r="OO31" i="3"/>
  <c r="OK31" i="3"/>
  <c r="OG31" i="3"/>
  <c r="OC31" i="3"/>
  <c r="NY31" i="3"/>
  <c r="NU31" i="3"/>
  <c r="NQ31" i="3"/>
  <c r="NM31" i="3"/>
  <c r="NI31" i="3"/>
  <c r="NE31" i="3"/>
  <c r="NA31" i="3"/>
  <c r="MW31" i="3"/>
  <c r="MS31" i="3"/>
  <c r="MO31" i="3"/>
  <c r="MK31" i="3"/>
  <c r="MG31" i="3"/>
  <c r="MC31" i="3"/>
  <c r="LY31" i="3"/>
  <c r="LU31" i="3"/>
  <c r="LQ31" i="3"/>
  <c r="LM31" i="3"/>
  <c r="LI31" i="3"/>
  <c r="LE31" i="3"/>
  <c r="LA31" i="3"/>
  <c r="KW31" i="3"/>
  <c r="KS31" i="3"/>
  <c r="KO31" i="3"/>
  <c r="KK31" i="3"/>
  <c r="KG31" i="3"/>
  <c r="KC31" i="3"/>
  <c r="JY31" i="3"/>
  <c r="JU31" i="3"/>
  <c r="JQ31" i="3"/>
  <c r="JM31" i="3"/>
  <c r="JI31" i="3"/>
  <c r="JE31" i="3"/>
  <c r="JA31" i="3"/>
  <c r="IW31" i="3"/>
  <c r="IS31" i="3"/>
  <c r="IO31" i="3"/>
  <c r="IK31" i="3"/>
  <c r="IG31" i="3"/>
  <c r="IC31" i="3"/>
  <c r="HY31" i="3"/>
  <c r="HU31" i="3"/>
  <c r="HQ31" i="3"/>
  <c r="HM31" i="3"/>
  <c r="HI31" i="3"/>
  <c r="HE31" i="3"/>
  <c r="HA31" i="3"/>
  <c r="GW31" i="3"/>
  <c r="GS31" i="3"/>
  <c r="GO31" i="3"/>
  <c r="GK31" i="3"/>
  <c r="GG31" i="3"/>
  <c r="GC31" i="3"/>
  <c r="FY31" i="3"/>
  <c r="FU31" i="3"/>
  <c r="FQ31" i="3"/>
  <c r="FM31" i="3"/>
  <c r="FI31" i="3"/>
  <c r="FE31" i="3"/>
  <c r="FA31" i="3"/>
  <c r="EW31" i="3"/>
  <c r="ES31" i="3"/>
  <c r="EO31" i="3"/>
  <c r="EK31" i="3"/>
  <c r="EG31" i="3"/>
  <c r="EC31" i="3"/>
  <c r="DY31" i="3"/>
  <c r="DU31" i="3"/>
  <c r="DQ31" i="3"/>
  <c r="DM31" i="3"/>
  <c r="DI31" i="3"/>
  <c r="DE31" i="3"/>
  <c r="DA31" i="3"/>
  <c r="CW31" i="3"/>
  <c r="CS31" i="3"/>
  <c r="CO31" i="3"/>
  <c r="CK31" i="3"/>
  <c r="CG31" i="3"/>
  <c r="CC31" i="3"/>
  <c r="BY31" i="3"/>
  <c r="BU31" i="3"/>
  <c r="BQ31" i="3"/>
  <c r="BM31" i="3"/>
  <c r="BI31" i="3"/>
  <c r="BE31" i="3"/>
  <c r="BA31" i="3"/>
  <c r="AW31" i="3"/>
  <c r="AS31" i="3"/>
  <c r="AO31" i="3"/>
  <c r="AK31" i="3"/>
  <c r="AG31" i="3"/>
  <c r="AC31" i="3"/>
  <c r="Y31" i="3"/>
  <c r="U31" i="3"/>
  <c r="Q31" i="3"/>
  <c r="M31" i="3"/>
  <c r="I31" i="3"/>
  <c r="F31" i="3"/>
  <c r="ALP31" i="3"/>
  <c r="ALL31" i="3"/>
  <c r="ALH31" i="3"/>
  <c r="ALD31" i="3"/>
  <c r="AKZ31" i="3"/>
  <c r="AKV31" i="3"/>
  <c r="AKR31" i="3"/>
  <c r="AKN31" i="3"/>
  <c r="AKJ31" i="3"/>
  <c r="AKF31" i="3"/>
  <c r="AKB31" i="3"/>
  <c r="AJX31" i="3"/>
  <c r="AJT31" i="3"/>
  <c r="AJP31" i="3"/>
  <c r="AJL31" i="3"/>
  <c r="AJH31" i="3"/>
  <c r="AJD31" i="3"/>
  <c r="AIZ31" i="3"/>
  <c r="AIV31" i="3"/>
  <c r="AIR31" i="3"/>
  <c r="AIN31" i="3"/>
  <c r="AIJ31" i="3"/>
  <c r="AIF31" i="3"/>
  <c r="AIB31" i="3"/>
  <c r="AHX31" i="3"/>
  <c r="AHT31" i="3"/>
  <c r="AHP31" i="3"/>
  <c r="AHL31" i="3"/>
  <c r="AHH31" i="3"/>
  <c r="AHD31" i="3"/>
  <c r="AGZ31" i="3"/>
  <c r="AGV31" i="3"/>
  <c r="AGR31" i="3"/>
  <c r="AGN31" i="3"/>
  <c r="AGJ31" i="3"/>
  <c r="AGF31" i="3"/>
  <c r="AGB31" i="3"/>
  <c r="AFX31" i="3"/>
  <c r="AFT31" i="3"/>
  <c r="AFP31" i="3"/>
  <c r="AFL31" i="3"/>
  <c r="AFH31" i="3"/>
  <c r="AFD31" i="3"/>
  <c r="AEZ31" i="3"/>
  <c r="AEV31" i="3"/>
  <c r="AER31" i="3"/>
  <c r="AEN31" i="3"/>
  <c r="AEJ31" i="3"/>
  <c r="AEF31" i="3"/>
  <c r="AEB31" i="3"/>
  <c r="ADX31" i="3"/>
  <c r="ADT31" i="3"/>
  <c r="ADP31" i="3"/>
  <c r="ADL31" i="3"/>
  <c r="ADH31" i="3"/>
  <c r="ADD31" i="3"/>
  <c r="ACZ31" i="3"/>
  <c r="ACV31" i="3"/>
  <c r="ACR31" i="3"/>
  <c r="ACN31" i="3"/>
  <c r="ACJ31" i="3"/>
  <c r="ACF31" i="3"/>
  <c r="ACB31" i="3"/>
  <c r="ABX31" i="3"/>
  <c r="ABT31" i="3"/>
  <c r="ABP31" i="3"/>
  <c r="ABL31" i="3"/>
  <c r="ABH31" i="3"/>
  <c r="ABD31" i="3"/>
  <c r="AAZ31" i="3"/>
  <c r="AAV31" i="3"/>
  <c r="AAR31" i="3"/>
  <c r="AAN31" i="3"/>
  <c r="AAJ31" i="3"/>
  <c r="AAF31" i="3"/>
  <c r="AAB31" i="3"/>
  <c r="ZX31" i="3"/>
  <c r="ZT31" i="3"/>
  <c r="ZP31" i="3"/>
  <c r="ZL31" i="3"/>
  <c r="ZH31" i="3"/>
  <c r="ZD31" i="3"/>
  <c r="YZ31" i="3"/>
  <c r="YV31" i="3"/>
  <c r="YR31" i="3"/>
  <c r="YN31" i="3"/>
  <c r="YJ31" i="3"/>
  <c r="YF31" i="3"/>
  <c r="YB31" i="3"/>
  <c r="XX31" i="3"/>
  <c r="XT31" i="3"/>
  <c r="XP31" i="3"/>
  <c r="XL31" i="3"/>
  <c r="XH31" i="3"/>
  <c r="XD31" i="3"/>
  <c r="WZ31" i="3"/>
  <c r="WV31" i="3"/>
  <c r="WR31" i="3"/>
  <c r="WN31" i="3"/>
  <c r="WJ31" i="3"/>
  <c r="WF31" i="3"/>
  <c r="WB31" i="3"/>
  <c r="VX31" i="3"/>
  <c r="VT31" i="3"/>
  <c r="VP31" i="3"/>
  <c r="VL31" i="3"/>
  <c r="VH31" i="3"/>
  <c r="VD31" i="3"/>
  <c r="UZ31" i="3"/>
  <c r="UV31" i="3"/>
  <c r="UR31" i="3"/>
  <c r="UN31" i="3"/>
  <c r="UJ31" i="3"/>
  <c r="UF31" i="3"/>
  <c r="UB31" i="3"/>
  <c r="TX31" i="3"/>
  <c r="TT31" i="3"/>
  <c r="TP31" i="3"/>
  <c r="TL31" i="3"/>
  <c r="TH31" i="3"/>
  <c r="TD31" i="3"/>
  <c r="SZ31" i="3"/>
  <c r="SV31" i="3"/>
  <c r="SR31" i="3"/>
  <c r="SN31" i="3"/>
  <c r="SJ31" i="3"/>
  <c r="SF31" i="3"/>
  <c r="SB31" i="3"/>
  <c r="RX31" i="3"/>
  <c r="RT31" i="3"/>
  <c r="RP31" i="3"/>
  <c r="RL31" i="3"/>
  <c r="RH31" i="3"/>
  <c r="RD31" i="3"/>
  <c r="QZ31" i="3"/>
  <c r="QV31" i="3"/>
  <c r="QR31" i="3"/>
  <c r="QN31" i="3"/>
  <c r="QJ31" i="3"/>
  <c r="QF31" i="3"/>
  <c r="QB31" i="3"/>
  <c r="PX31" i="3"/>
  <c r="PT31" i="3"/>
  <c r="PP31" i="3"/>
  <c r="PL31" i="3"/>
  <c r="PH31" i="3"/>
  <c r="PD31" i="3"/>
  <c r="OZ31" i="3"/>
  <c r="OV31" i="3"/>
  <c r="OR31" i="3"/>
  <c r="ON31" i="3"/>
  <c r="OJ31" i="3"/>
  <c r="OF31" i="3"/>
  <c r="OB31" i="3"/>
  <c r="NX31" i="3"/>
  <c r="NT31" i="3"/>
  <c r="NP31" i="3"/>
  <c r="NL31" i="3"/>
  <c r="NH31" i="3"/>
  <c r="ND31" i="3"/>
  <c r="MZ31" i="3"/>
  <c r="MV31" i="3"/>
  <c r="MR31" i="3"/>
  <c r="MN31" i="3"/>
  <c r="MJ31" i="3"/>
  <c r="MF31" i="3"/>
  <c r="MB31" i="3"/>
  <c r="LX31" i="3"/>
  <c r="LT31" i="3"/>
  <c r="LP31" i="3"/>
  <c r="LL31" i="3"/>
  <c r="LH31" i="3"/>
  <c r="LD31" i="3"/>
  <c r="KZ31" i="3"/>
  <c r="KV31" i="3"/>
  <c r="KR31" i="3"/>
  <c r="KN31" i="3"/>
  <c r="KJ31" i="3"/>
  <c r="KF31" i="3"/>
  <c r="KB31" i="3"/>
  <c r="JX31" i="3"/>
  <c r="JT31" i="3"/>
  <c r="JP31" i="3"/>
  <c r="JL31" i="3"/>
  <c r="JH31" i="3"/>
  <c r="JD31" i="3"/>
  <c r="IZ31" i="3"/>
  <c r="IV31" i="3"/>
  <c r="IR31" i="3"/>
  <c r="IN31" i="3"/>
  <c r="IJ31" i="3"/>
  <c r="IF31" i="3"/>
  <c r="IB31" i="3"/>
  <c r="HX31" i="3"/>
  <c r="HT31" i="3"/>
  <c r="HP31" i="3"/>
  <c r="HL31" i="3"/>
  <c r="HH31" i="3"/>
  <c r="HD31" i="3"/>
  <c r="GZ31" i="3"/>
  <c r="GV31" i="3"/>
  <c r="GR31" i="3"/>
  <c r="GN31" i="3"/>
  <c r="GJ31" i="3"/>
  <c r="GF31" i="3"/>
  <c r="GB31" i="3"/>
  <c r="FX31" i="3"/>
  <c r="FT31" i="3"/>
  <c r="FP31" i="3"/>
  <c r="FL31" i="3"/>
  <c r="FH31" i="3"/>
  <c r="FD31" i="3"/>
  <c r="EZ31" i="3"/>
  <c r="EV31" i="3"/>
  <c r="ER31" i="3"/>
  <c r="EN31" i="3"/>
  <c r="EJ31" i="3"/>
  <c r="EF31" i="3"/>
  <c r="EB31" i="3"/>
  <c r="DX31" i="3"/>
  <c r="DT31" i="3"/>
  <c r="DP31" i="3"/>
  <c r="DL31" i="3"/>
  <c r="DH31" i="3"/>
  <c r="DD31" i="3"/>
  <c r="CZ31" i="3"/>
  <c r="CV31" i="3"/>
  <c r="CR31" i="3"/>
  <c r="CN31" i="3"/>
  <c r="CJ31" i="3"/>
  <c r="CF31" i="3"/>
  <c r="CB31" i="3"/>
  <c r="BX31" i="3"/>
  <c r="BT31" i="3"/>
  <c r="BP31" i="3"/>
  <c r="BL31" i="3"/>
  <c r="BH31" i="3"/>
  <c r="BD31" i="3"/>
  <c r="AZ31" i="3"/>
  <c r="AV31" i="3"/>
  <c r="AR31" i="3"/>
  <c r="AN31" i="3"/>
  <c r="AJ31" i="3"/>
  <c r="AF31" i="3"/>
  <c r="AB31" i="3"/>
  <c r="X31" i="3"/>
  <c r="T31" i="3"/>
  <c r="P31" i="3"/>
  <c r="L31" i="3"/>
  <c r="H31" i="3"/>
  <c r="ALG31" i="3"/>
  <c r="AKQ31" i="3"/>
  <c r="AKA31" i="3"/>
  <c r="AJK31" i="3"/>
  <c r="AIU31" i="3"/>
  <c r="AIE31" i="3"/>
  <c r="AHO31" i="3"/>
  <c r="AGY31" i="3"/>
  <c r="AGI31" i="3"/>
  <c r="AFS31" i="3"/>
  <c r="AFC31" i="3"/>
  <c r="AEM31" i="3"/>
  <c r="ADW31" i="3"/>
  <c r="ADG31" i="3"/>
  <c r="ACQ31" i="3"/>
  <c r="ACA31" i="3"/>
  <c r="ABK31" i="3"/>
  <c r="AAU31" i="3"/>
  <c r="AAE31" i="3"/>
  <c r="ZO31" i="3"/>
  <c r="YY31" i="3"/>
  <c r="YI31" i="3"/>
  <c r="XS31" i="3"/>
  <c r="XC31" i="3"/>
  <c r="WM31" i="3"/>
  <c r="VW31" i="3"/>
  <c r="VG31" i="3"/>
  <c r="UQ31" i="3"/>
  <c r="UA31" i="3"/>
  <c r="TK31" i="3"/>
  <c r="SU31" i="3"/>
  <c r="SE31" i="3"/>
  <c r="RO31" i="3"/>
  <c r="QY31" i="3"/>
  <c r="QI31" i="3"/>
  <c r="PS31" i="3"/>
  <c r="PC31" i="3"/>
  <c r="OM31" i="3"/>
  <c r="NW31" i="3"/>
  <c r="NG31" i="3"/>
  <c r="MQ31" i="3"/>
  <c r="MA31" i="3"/>
  <c r="LK31" i="3"/>
  <c r="KU31" i="3"/>
  <c r="KE31" i="3"/>
  <c r="JO31" i="3"/>
  <c r="IY31" i="3"/>
  <c r="II31" i="3"/>
  <c r="HS31" i="3"/>
  <c r="HC31" i="3"/>
  <c r="GM31" i="3"/>
  <c r="FW31" i="3"/>
  <c r="FG31" i="3"/>
  <c r="EQ31" i="3"/>
  <c r="EA31" i="3"/>
  <c r="DK31" i="3"/>
  <c r="CU31" i="3"/>
  <c r="CE31" i="3"/>
  <c r="BO31" i="3"/>
  <c r="AY31" i="3"/>
  <c r="AI31" i="3"/>
  <c r="S31" i="3"/>
  <c r="ALC31" i="3"/>
  <c r="AKM31" i="3"/>
  <c r="AJW31" i="3"/>
  <c r="AJG31" i="3"/>
  <c r="AIQ31" i="3"/>
  <c r="AIA31" i="3"/>
  <c r="AHK31" i="3"/>
  <c r="AGU31" i="3"/>
  <c r="AGE31" i="3"/>
  <c r="AFO31" i="3"/>
  <c r="AEY31" i="3"/>
  <c r="AEI31" i="3"/>
  <c r="ADS31" i="3"/>
  <c r="ADC31" i="3"/>
  <c r="ACM31" i="3"/>
  <c r="ABW31" i="3"/>
  <c r="ABG31" i="3"/>
  <c r="AAQ31" i="3"/>
  <c r="AAA31" i="3"/>
  <c r="ZK31" i="3"/>
  <c r="YU31" i="3"/>
  <c r="YE31" i="3"/>
  <c r="XO31" i="3"/>
  <c r="WY31" i="3"/>
  <c r="WI31" i="3"/>
  <c r="VS31" i="3"/>
  <c r="VC31" i="3"/>
  <c r="UM31" i="3"/>
  <c r="TW31" i="3"/>
  <c r="TG31" i="3"/>
  <c r="SQ31" i="3"/>
  <c r="SA31" i="3"/>
  <c r="RK31" i="3"/>
  <c r="QU31" i="3"/>
  <c r="QE31" i="3"/>
  <c r="PO31" i="3"/>
  <c r="OY31" i="3"/>
  <c r="OI31" i="3"/>
  <c r="NS31" i="3"/>
  <c r="NC31" i="3"/>
  <c r="MM31" i="3"/>
  <c r="LW31" i="3"/>
  <c r="LG31" i="3"/>
  <c r="KQ31" i="3"/>
  <c r="KA31" i="3"/>
  <c r="JK31" i="3"/>
  <c r="IU31" i="3"/>
  <c r="IE31" i="3"/>
  <c r="HO31" i="3"/>
  <c r="GY31" i="3"/>
  <c r="GI31" i="3"/>
  <c r="FS31" i="3"/>
  <c r="FC31" i="3"/>
  <c r="EM31" i="3"/>
  <c r="DW31" i="3"/>
  <c r="DG31" i="3"/>
  <c r="CQ31" i="3"/>
  <c r="CA31" i="3"/>
  <c r="BK31" i="3"/>
  <c r="AU31" i="3"/>
  <c r="AE31" i="3"/>
  <c r="O31" i="3"/>
  <c r="ALO31" i="3"/>
  <c r="AKY31" i="3"/>
  <c r="AKI31" i="3"/>
  <c r="AJS31" i="3"/>
  <c r="AJC31" i="3"/>
  <c r="AIM31" i="3"/>
  <c r="AHW31" i="3"/>
  <c r="AHG31" i="3"/>
  <c r="AGQ31" i="3"/>
  <c r="AGA31" i="3"/>
  <c r="AFK31" i="3"/>
  <c r="AEU31" i="3"/>
  <c r="AEE31" i="3"/>
  <c r="ADO31" i="3"/>
  <c r="ACY31" i="3"/>
  <c r="ACI31" i="3"/>
  <c r="ABS31" i="3"/>
  <c r="ABC31" i="3"/>
  <c r="AAM31" i="3"/>
  <c r="ZW31" i="3"/>
  <c r="ZG31" i="3"/>
  <c r="YQ31" i="3"/>
  <c r="YA31" i="3"/>
  <c r="XK31" i="3"/>
  <c r="WU31" i="3"/>
  <c r="WE31" i="3"/>
  <c r="VO31" i="3"/>
  <c r="UY31" i="3"/>
  <c r="UI31" i="3"/>
  <c r="TS31" i="3"/>
  <c r="TC31" i="3"/>
  <c r="SM31" i="3"/>
  <c r="RW31" i="3"/>
  <c r="RG31" i="3"/>
  <c r="QQ31" i="3"/>
  <c r="QA31" i="3"/>
  <c r="PK31" i="3"/>
  <c r="OU31" i="3"/>
  <c r="OE31" i="3"/>
  <c r="NO31" i="3"/>
  <c r="MY31" i="3"/>
  <c r="MI31" i="3"/>
  <c r="LS31" i="3"/>
  <c r="LC31" i="3"/>
  <c r="KM31" i="3"/>
  <c r="JW31" i="3"/>
  <c r="JG31" i="3"/>
  <c r="IQ31" i="3"/>
  <c r="IA31" i="3"/>
  <c r="HK31" i="3"/>
  <c r="GU31" i="3"/>
  <c r="GE31" i="3"/>
  <c r="FO31" i="3"/>
  <c r="EY31" i="3"/>
  <c r="EI31" i="3"/>
  <c r="DS31" i="3"/>
  <c r="DC31" i="3"/>
  <c r="CM31" i="3"/>
  <c r="BW31" i="3"/>
  <c r="BG31" i="3"/>
  <c r="AQ31" i="3"/>
  <c r="AA31" i="3"/>
  <c r="K31" i="3"/>
  <c r="AKE31" i="3"/>
  <c r="AHS31" i="3"/>
  <c r="AFG31" i="3"/>
  <c r="ACU31" i="3"/>
  <c r="AAI31" i="3"/>
  <c r="XW31" i="3"/>
  <c r="VK31" i="3"/>
  <c r="SY31" i="3"/>
  <c r="QM31" i="3"/>
  <c r="OA31" i="3"/>
  <c r="LO31" i="3"/>
  <c r="JC31" i="3"/>
  <c r="GQ31" i="3"/>
  <c r="EE31" i="3"/>
  <c r="BS31" i="3"/>
  <c r="G31" i="3"/>
  <c r="AJO31" i="3"/>
  <c r="AHC31" i="3"/>
  <c r="AEQ31" i="3"/>
  <c r="ACE31" i="3"/>
  <c r="ZS31" i="3"/>
  <c r="XG31" i="3"/>
  <c r="UU31" i="3"/>
  <c r="SI31" i="3"/>
  <c r="PW31" i="3"/>
  <c r="NK31" i="3"/>
  <c r="KY31" i="3"/>
  <c r="IM31" i="3"/>
  <c r="GA31" i="3"/>
  <c r="DO31" i="3"/>
  <c r="BC31" i="3"/>
  <c r="AKU31" i="3"/>
  <c r="AII31" i="3"/>
  <c r="AFW31" i="3"/>
  <c r="ADK31" i="3"/>
  <c r="AAY31" i="3"/>
  <c r="YM31" i="3"/>
  <c r="WA31" i="3"/>
  <c r="TO31" i="3"/>
  <c r="RC31" i="3"/>
  <c r="OQ31" i="3"/>
  <c r="ME31" i="3"/>
  <c r="JS31" i="3"/>
  <c r="HG31" i="3"/>
  <c r="EU31" i="3"/>
  <c r="CI31" i="3"/>
  <c r="W31" i="3"/>
  <c r="ALK31" i="3"/>
  <c r="AIY31" i="3"/>
  <c r="AGM31" i="3"/>
  <c r="AEA31" i="3"/>
  <c r="ABO31" i="3"/>
  <c r="ZC31" i="3"/>
  <c r="WQ31" i="3"/>
  <c r="UE31" i="3"/>
  <c r="RS31" i="3"/>
  <c r="PG31" i="3"/>
  <c r="MU31" i="3"/>
  <c r="KI31" i="3"/>
  <c r="HW31" i="3"/>
  <c r="FK31" i="3"/>
  <c r="CY31" i="3"/>
  <c r="AM31" i="3"/>
  <c r="ALP43" i="3"/>
  <c r="ALL43" i="3"/>
  <c r="ALH43" i="3"/>
  <c r="ALD43" i="3"/>
  <c r="AKZ43" i="3"/>
  <c r="AKV43" i="3"/>
  <c r="AKR43" i="3"/>
  <c r="AKN43" i="3"/>
  <c r="AKJ43" i="3"/>
  <c r="AKF43" i="3"/>
  <c r="AKB43" i="3"/>
  <c r="AJX43" i="3"/>
  <c r="AJT43" i="3"/>
  <c r="AJP43" i="3"/>
  <c r="AJL43" i="3"/>
  <c r="AJH43" i="3"/>
  <c r="AJD43" i="3"/>
  <c r="AIZ43" i="3"/>
  <c r="AIV43" i="3"/>
  <c r="AIR43" i="3"/>
  <c r="AIN43" i="3"/>
  <c r="AIJ43" i="3"/>
  <c r="AIF43" i="3"/>
  <c r="AIB43" i="3"/>
  <c r="AHX43" i="3"/>
  <c r="AHT43" i="3"/>
  <c r="AHP43" i="3"/>
  <c r="AHL43" i="3"/>
  <c r="AHH43" i="3"/>
  <c r="AHD43" i="3"/>
  <c r="AGZ43" i="3"/>
  <c r="AGV43" i="3"/>
  <c r="AGR43" i="3"/>
  <c r="AGN43" i="3"/>
  <c r="AGJ43" i="3"/>
  <c r="AGF43" i="3"/>
  <c r="AGB43" i="3"/>
  <c r="AFX43" i="3"/>
  <c r="AFT43" i="3"/>
  <c r="AFP43" i="3"/>
  <c r="AFL43" i="3"/>
  <c r="AFH43" i="3"/>
  <c r="AFD43" i="3"/>
  <c r="AEZ43" i="3"/>
  <c r="AEV43" i="3"/>
  <c r="AER43" i="3"/>
  <c r="AEN43" i="3"/>
  <c r="AEJ43" i="3"/>
  <c r="AEF43" i="3"/>
  <c r="AEB43" i="3"/>
  <c r="ADX43" i="3"/>
  <c r="ADT43" i="3"/>
  <c r="ADP43" i="3"/>
  <c r="ADL43" i="3"/>
  <c r="ADH43" i="3"/>
  <c r="ADD43" i="3"/>
  <c r="ACZ43" i="3"/>
  <c r="ACV43" i="3"/>
  <c r="ACR43" i="3"/>
  <c r="ACN43" i="3"/>
  <c r="ACJ43" i="3"/>
  <c r="ACF43" i="3"/>
  <c r="ACB43" i="3"/>
  <c r="ABX43" i="3"/>
  <c r="ABT43" i="3"/>
  <c r="ABP43" i="3"/>
  <c r="ABL43" i="3"/>
  <c r="ABH43" i="3"/>
  <c r="ABD43" i="3"/>
  <c r="AAZ43" i="3"/>
  <c r="AAV43" i="3"/>
  <c r="AAR43" i="3"/>
  <c r="AAN43" i="3"/>
  <c r="AAJ43" i="3"/>
  <c r="AAF43" i="3"/>
  <c r="AAB43" i="3"/>
  <c r="ZX43" i="3"/>
  <c r="ZT43" i="3"/>
  <c r="ZP43" i="3"/>
  <c r="ZL43" i="3"/>
  <c r="ZH43" i="3"/>
  <c r="ZD43" i="3"/>
  <c r="YZ43" i="3"/>
  <c r="YV43" i="3"/>
  <c r="YR43" i="3"/>
  <c r="YN43" i="3"/>
  <c r="YJ43" i="3"/>
  <c r="YF43" i="3"/>
  <c r="YB43" i="3"/>
  <c r="XX43" i="3"/>
  <c r="XT43" i="3"/>
  <c r="XP43" i="3"/>
  <c r="XL43" i="3"/>
  <c r="XH43" i="3"/>
  <c r="XD43" i="3"/>
  <c r="WZ43" i="3"/>
  <c r="WV43" i="3"/>
  <c r="WR43" i="3"/>
  <c r="WN43" i="3"/>
  <c r="WJ43" i="3"/>
  <c r="WF43" i="3"/>
  <c r="WB43" i="3"/>
  <c r="VX43" i="3"/>
  <c r="VT43" i="3"/>
  <c r="VP43" i="3"/>
  <c r="VL43" i="3"/>
  <c r="VH43" i="3"/>
  <c r="VD43" i="3"/>
  <c r="UZ43" i="3"/>
  <c r="UV43" i="3"/>
  <c r="UR43" i="3"/>
  <c r="UN43" i="3"/>
  <c r="UJ43" i="3"/>
  <c r="UF43" i="3"/>
  <c r="UB43" i="3"/>
  <c r="TX43" i="3"/>
  <c r="TT43" i="3"/>
  <c r="TP43" i="3"/>
  <c r="TL43" i="3"/>
  <c r="TH43" i="3"/>
  <c r="TD43" i="3"/>
  <c r="SZ43" i="3"/>
  <c r="SV43" i="3"/>
  <c r="SR43" i="3"/>
  <c r="SN43" i="3"/>
  <c r="SJ43" i="3"/>
  <c r="SF43" i="3"/>
  <c r="SB43" i="3"/>
  <c r="RX43" i="3"/>
  <c r="RT43" i="3"/>
  <c r="RP43" i="3"/>
  <c r="RL43" i="3"/>
  <c r="RH43" i="3"/>
  <c r="RD43" i="3"/>
  <c r="QZ43" i="3"/>
  <c r="QV43" i="3"/>
  <c r="QR43" i="3"/>
  <c r="QN43" i="3"/>
  <c r="QJ43" i="3"/>
  <c r="QF43" i="3"/>
  <c r="QB43" i="3"/>
  <c r="PX43" i="3"/>
  <c r="PT43" i="3"/>
  <c r="PP43" i="3"/>
  <c r="PL43" i="3"/>
  <c r="PH43" i="3"/>
  <c r="PD43" i="3"/>
  <c r="OZ43" i="3"/>
  <c r="OV43" i="3"/>
  <c r="OR43" i="3"/>
  <c r="ON43" i="3"/>
  <c r="OJ43" i="3"/>
  <c r="OF43" i="3"/>
  <c r="OB43" i="3"/>
  <c r="NX43" i="3"/>
  <c r="NT43" i="3"/>
  <c r="NP43" i="3"/>
  <c r="NL43" i="3"/>
  <c r="NH43" i="3"/>
  <c r="ND43" i="3"/>
  <c r="MZ43" i="3"/>
  <c r="MV43" i="3"/>
  <c r="MR43" i="3"/>
  <c r="MN43" i="3"/>
  <c r="MJ43" i="3"/>
  <c r="MF43" i="3"/>
  <c r="MB43" i="3"/>
  <c r="LX43" i="3"/>
  <c r="LT43" i="3"/>
  <c r="LP43" i="3"/>
  <c r="LL43" i="3"/>
  <c r="LH43" i="3"/>
  <c r="LD43" i="3"/>
  <c r="KZ43" i="3"/>
  <c r="KV43" i="3"/>
  <c r="KR43" i="3"/>
  <c r="KN43" i="3"/>
  <c r="KJ43" i="3"/>
  <c r="KF43" i="3"/>
  <c r="KB43" i="3"/>
  <c r="JX43" i="3"/>
  <c r="JT43" i="3"/>
  <c r="JP43" i="3"/>
  <c r="JL43" i="3"/>
  <c r="JH43" i="3"/>
  <c r="JD43" i="3"/>
  <c r="IZ43" i="3"/>
  <c r="IV43" i="3"/>
  <c r="IR43" i="3"/>
  <c r="IN43" i="3"/>
  <c r="IJ43" i="3"/>
  <c r="IF43" i="3"/>
  <c r="IB43" i="3"/>
  <c r="HX43" i="3"/>
  <c r="HT43" i="3"/>
  <c r="HP43" i="3"/>
  <c r="HL43" i="3"/>
  <c r="HH43" i="3"/>
  <c r="HD43" i="3"/>
  <c r="GZ43" i="3"/>
  <c r="GV43" i="3"/>
  <c r="GR43" i="3"/>
  <c r="GN43" i="3"/>
  <c r="GJ43" i="3"/>
  <c r="GF43" i="3"/>
  <c r="GB43" i="3"/>
  <c r="FX43" i="3"/>
  <c r="FT43" i="3"/>
  <c r="FP43" i="3"/>
  <c r="FL43" i="3"/>
  <c r="FH43" i="3"/>
  <c r="FD43" i="3"/>
  <c r="EZ43" i="3"/>
  <c r="EV43" i="3"/>
  <c r="ER43" i="3"/>
  <c r="EN43" i="3"/>
  <c r="EJ43" i="3"/>
  <c r="EF43" i="3"/>
  <c r="EB43" i="3"/>
  <c r="DX43" i="3"/>
  <c r="DT43" i="3"/>
  <c r="DP43" i="3"/>
  <c r="DL43" i="3"/>
  <c r="DH43" i="3"/>
  <c r="DD43" i="3"/>
  <c r="CZ43" i="3"/>
  <c r="CV43" i="3"/>
  <c r="CR43" i="3"/>
  <c r="CN43" i="3"/>
  <c r="CJ43" i="3"/>
  <c r="CF43" i="3"/>
  <c r="CB43" i="3"/>
  <c r="BX43" i="3"/>
  <c r="BT43" i="3"/>
  <c r="BP43" i="3"/>
  <c r="BL43" i="3"/>
  <c r="BH43" i="3"/>
  <c r="BD43" i="3"/>
  <c r="AZ43" i="3"/>
  <c r="AV43" i="3"/>
  <c r="AR43" i="3"/>
  <c r="AN43" i="3"/>
  <c r="AJ43" i="3"/>
  <c r="AF43" i="3"/>
  <c r="AB43" i="3"/>
  <c r="X43" i="3"/>
  <c r="T43" i="3"/>
  <c r="P43" i="3"/>
  <c r="L43" i="3"/>
  <c r="H43" i="3"/>
  <c r="ALQ43" i="3"/>
  <c r="ALK43" i="3"/>
  <c r="ALF43" i="3"/>
  <c r="ALA43" i="3"/>
  <c r="AKU43" i="3"/>
  <c r="AKP43" i="3"/>
  <c r="AKK43" i="3"/>
  <c r="AKE43" i="3"/>
  <c r="AJZ43" i="3"/>
  <c r="AJU43" i="3"/>
  <c r="AJO43" i="3"/>
  <c r="AJJ43" i="3"/>
  <c r="AJE43" i="3"/>
  <c r="AIY43" i="3"/>
  <c r="AIT43" i="3"/>
  <c r="AIO43" i="3"/>
  <c r="AII43" i="3"/>
  <c r="AID43" i="3"/>
  <c r="AHY43" i="3"/>
  <c r="AHS43" i="3"/>
  <c r="AHN43" i="3"/>
  <c r="AHI43" i="3"/>
  <c r="AHC43" i="3"/>
  <c r="AGX43" i="3"/>
  <c r="AGS43" i="3"/>
  <c r="AGM43" i="3"/>
  <c r="AGH43" i="3"/>
  <c r="AGC43" i="3"/>
  <c r="AFW43" i="3"/>
  <c r="AFR43" i="3"/>
  <c r="AFM43" i="3"/>
  <c r="AFG43" i="3"/>
  <c r="AFB43" i="3"/>
  <c r="AEW43" i="3"/>
  <c r="AEQ43" i="3"/>
  <c r="AEL43" i="3"/>
  <c r="AEG43" i="3"/>
  <c r="AEA43" i="3"/>
  <c r="ADV43" i="3"/>
  <c r="ADQ43" i="3"/>
  <c r="ADK43" i="3"/>
  <c r="ADF43" i="3"/>
  <c r="ADA43" i="3"/>
  <c r="ACU43" i="3"/>
  <c r="ACP43" i="3"/>
  <c r="ACK43" i="3"/>
  <c r="ACE43" i="3"/>
  <c r="ABZ43" i="3"/>
  <c r="ABU43" i="3"/>
  <c r="ABO43" i="3"/>
  <c r="ABJ43" i="3"/>
  <c r="ABE43" i="3"/>
  <c r="AAY43" i="3"/>
  <c r="AAT43" i="3"/>
  <c r="AAO43" i="3"/>
  <c r="AAI43" i="3"/>
  <c r="AAD43" i="3"/>
  <c r="ZY43" i="3"/>
  <c r="ZS43" i="3"/>
  <c r="ZN43" i="3"/>
  <c r="ZI43" i="3"/>
  <c r="ZC43" i="3"/>
  <c r="YX43" i="3"/>
  <c r="YS43" i="3"/>
  <c r="YM43" i="3"/>
  <c r="YH43" i="3"/>
  <c r="YC43" i="3"/>
  <c r="XW43" i="3"/>
  <c r="XR43" i="3"/>
  <c r="XM43" i="3"/>
  <c r="XG43" i="3"/>
  <c r="XB43" i="3"/>
  <c r="WW43" i="3"/>
  <c r="WQ43" i="3"/>
  <c r="WL43" i="3"/>
  <c r="WG43" i="3"/>
  <c r="WA43" i="3"/>
  <c r="VV43" i="3"/>
  <c r="VQ43" i="3"/>
  <c r="VK43" i="3"/>
  <c r="VF43" i="3"/>
  <c r="VA43" i="3"/>
  <c r="UU43" i="3"/>
  <c r="UP43" i="3"/>
  <c r="UK43" i="3"/>
  <c r="UE43" i="3"/>
  <c r="TZ43" i="3"/>
  <c r="TU43" i="3"/>
  <c r="TO43" i="3"/>
  <c r="TJ43" i="3"/>
  <c r="TE43" i="3"/>
  <c r="SY43" i="3"/>
  <c r="ST43" i="3"/>
  <c r="SO43" i="3"/>
  <c r="SI43" i="3"/>
  <c r="SD43" i="3"/>
  <c r="RY43" i="3"/>
  <c r="RS43" i="3"/>
  <c r="RN43" i="3"/>
  <c r="RI43" i="3"/>
  <c r="RC43" i="3"/>
  <c r="QX43" i="3"/>
  <c r="QS43" i="3"/>
  <c r="QM43" i="3"/>
  <c r="QH43" i="3"/>
  <c r="QC43" i="3"/>
  <c r="PW43" i="3"/>
  <c r="PR43" i="3"/>
  <c r="PM43" i="3"/>
  <c r="PG43" i="3"/>
  <c r="PB43" i="3"/>
  <c r="OW43" i="3"/>
  <c r="OQ43" i="3"/>
  <c r="OL43" i="3"/>
  <c r="OG43" i="3"/>
  <c r="OA43" i="3"/>
  <c r="NV43" i="3"/>
  <c r="NQ43" i="3"/>
  <c r="NK43" i="3"/>
  <c r="NF43" i="3"/>
  <c r="NA43" i="3"/>
  <c r="MU43" i="3"/>
  <c r="MP43" i="3"/>
  <c r="MK43" i="3"/>
  <c r="ME43" i="3"/>
  <c r="LZ43" i="3"/>
  <c r="LU43" i="3"/>
  <c r="LO43" i="3"/>
  <c r="LJ43" i="3"/>
  <c r="LE43" i="3"/>
  <c r="KY43" i="3"/>
  <c r="KT43" i="3"/>
  <c r="KO43" i="3"/>
  <c r="KI43" i="3"/>
  <c r="KD43" i="3"/>
  <c r="JY43" i="3"/>
  <c r="JS43" i="3"/>
  <c r="JN43" i="3"/>
  <c r="JI43" i="3"/>
  <c r="JC43" i="3"/>
  <c r="IX43" i="3"/>
  <c r="IS43" i="3"/>
  <c r="IM43" i="3"/>
  <c r="IH43" i="3"/>
  <c r="IC43" i="3"/>
  <c r="HW43" i="3"/>
  <c r="HR43" i="3"/>
  <c r="HM43" i="3"/>
  <c r="HG43" i="3"/>
  <c r="HB43" i="3"/>
  <c r="GW43" i="3"/>
  <c r="GQ43" i="3"/>
  <c r="GL43" i="3"/>
  <c r="GG43" i="3"/>
  <c r="GA43" i="3"/>
  <c r="FV43" i="3"/>
  <c r="FQ43" i="3"/>
  <c r="FK43" i="3"/>
  <c r="FF43" i="3"/>
  <c r="FA43" i="3"/>
  <c r="EU43" i="3"/>
  <c r="EP43" i="3"/>
  <c r="EK43" i="3"/>
  <c r="EE43" i="3"/>
  <c r="DZ43" i="3"/>
  <c r="DU43" i="3"/>
  <c r="DO43" i="3"/>
  <c r="DJ43" i="3"/>
  <c r="DE43" i="3"/>
  <c r="CY43" i="3"/>
  <c r="CT43" i="3"/>
  <c r="CO43" i="3"/>
  <c r="CI43" i="3"/>
  <c r="CD43" i="3"/>
  <c r="BY43" i="3"/>
  <c r="BS43" i="3"/>
  <c r="BN43" i="3"/>
  <c r="BI43" i="3"/>
  <c r="BC43" i="3"/>
  <c r="AX43" i="3"/>
  <c r="AS43" i="3"/>
  <c r="AM43" i="3"/>
  <c r="AH43" i="3"/>
  <c r="AC43" i="3"/>
  <c r="W43" i="3"/>
  <c r="R43" i="3"/>
  <c r="M43" i="3"/>
  <c r="G43" i="3"/>
  <c r="ALJ43" i="3"/>
  <c r="ALC43" i="3"/>
  <c r="AKW43" i="3"/>
  <c r="AKO43" i="3"/>
  <c r="AKH43" i="3"/>
  <c r="AKA43" i="3"/>
  <c r="AJS43" i="3"/>
  <c r="AJM43" i="3"/>
  <c r="AJF43" i="3"/>
  <c r="AIX43" i="3"/>
  <c r="AIQ43" i="3"/>
  <c r="AIK43" i="3"/>
  <c r="AIC43" i="3"/>
  <c r="AHV43" i="3"/>
  <c r="AHO43" i="3"/>
  <c r="AHG43" i="3"/>
  <c r="AHA43" i="3"/>
  <c r="AGT43" i="3"/>
  <c r="AGL43" i="3"/>
  <c r="AGE43" i="3"/>
  <c r="AFY43" i="3"/>
  <c r="AFQ43" i="3"/>
  <c r="AFJ43" i="3"/>
  <c r="AFC43" i="3"/>
  <c r="AEU43" i="3"/>
  <c r="AEO43" i="3"/>
  <c r="AEH43" i="3"/>
  <c r="ADZ43" i="3"/>
  <c r="ADS43" i="3"/>
  <c r="ADM43" i="3"/>
  <c r="ADE43" i="3"/>
  <c r="ACX43" i="3"/>
  <c r="ACQ43" i="3"/>
  <c r="ACI43" i="3"/>
  <c r="ACC43" i="3"/>
  <c r="ABV43" i="3"/>
  <c r="ABN43" i="3"/>
  <c r="ABG43" i="3"/>
  <c r="ABA43" i="3"/>
  <c r="AAS43" i="3"/>
  <c r="AAL43" i="3"/>
  <c r="AAE43" i="3"/>
  <c r="ZW43" i="3"/>
  <c r="ZQ43" i="3"/>
  <c r="ZJ43" i="3"/>
  <c r="ZB43" i="3"/>
  <c r="YU43" i="3"/>
  <c r="YO43" i="3"/>
  <c r="YG43" i="3"/>
  <c r="XZ43" i="3"/>
  <c r="XS43" i="3"/>
  <c r="XK43" i="3"/>
  <c r="XE43" i="3"/>
  <c r="WX43" i="3"/>
  <c r="WP43" i="3"/>
  <c r="WI43" i="3"/>
  <c r="WC43" i="3"/>
  <c r="VU43" i="3"/>
  <c r="VN43" i="3"/>
  <c r="VG43" i="3"/>
  <c r="UY43" i="3"/>
  <c r="US43" i="3"/>
  <c r="UL43" i="3"/>
  <c r="UD43" i="3"/>
  <c r="TW43" i="3"/>
  <c r="TQ43" i="3"/>
  <c r="TI43" i="3"/>
  <c r="TB43" i="3"/>
  <c r="SU43" i="3"/>
  <c r="SM43" i="3"/>
  <c r="SG43" i="3"/>
  <c r="RZ43" i="3"/>
  <c r="RR43" i="3"/>
  <c r="RK43" i="3"/>
  <c r="RE43" i="3"/>
  <c r="QW43" i="3"/>
  <c r="QP43" i="3"/>
  <c r="QI43" i="3"/>
  <c r="QA43" i="3"/>
  <c r="PU43" i="3"/>
  <c r="PN43" i="3"/>
  <c r="PF43" i="3"/>
  <c r="OY43" i="3"/>
  <c r="OS43" i="3"/>
  <c r="OK43" i="3"/>
  <c r="OD43" i="3"/>
  <c r="NW43" i="3"/>
  <c r="NO43" i="3"/>
  <c r="NI43" i="3"/>
  <c r="NB43" i="3"/>
  <c r="MT43" i="3"/>
  <c r="MM43" i="3"/>
  <c r="MG43" i="3"/>
  <c r="LY43" i="3"/>
  <c r="LR43" i="3"/>
  <c r="LK43" i="3"/>
  <c r="LC43" i="3"/>
  <c r="KW43" i="3"/>
  <c r="KP43" i="3"/>
  <c r="KH43" i="3"/>
  <c r="KA43" i="3"/>
  <c r="JU43" i="3"/>
  <c r="JM43" i="3"/>
  <c r="JF43" i="3"/>
  <c r="IY43" i="3"/>
  <c r="IQ43" i="3"/>
  <c r="IK43" i="3"/>
  <c r="ID43" i="3"/>
  <c r="HV43" i="3"/>
  <c r="HO43" i="3"/>
  <c r="HI43" i="3"/>
  <c r="HA43" i="3"/>
  <c r="GT43" i="3"/>
  <c r="GM43" i="3"/>
  <c r="GE43" i="3"/>
  <c r="FY43" i="3"/>
  <c r="FR43" i="3"/>
  <c r="FJ43" i="3"/>
  <c r="FC43" i="3"/>
  <c r="EW43" i="3"/>
  <c r="EO43" i="3"/>
  <c r="EH43" i="3"/>
  <c r="EA43" i="3"/>
  <c r="DS43" i="3"/>
  <c r="DM43" i="3"/>
  <c r="DF43" i="3"/>
  <c r="CX43" i="3"/>
  <c r="CQ43" i="3"/>
  <c r="CK43" i="3"/>
  <c r="CC43" i="3"/>
  <c r="BV43" i="3"/>
  <c r="BO43" i="3"/>
  <c r="BG43" i="3"/>
  <c r="BA43" i="3"/>
  <c r="AT43" i="3"/>
  <c r="AL43" i="3"/>
  <c r="AE43" i="3"/>
  <c r="Y43" i="3"/>
  <c r="Q43" i="3"/>
  <c r="J43" i="3"/>
  <c r="ALO43" i="3"/>
  <c r="ALI43" i="3"/>
  <c r="ALB43" i="3"/>
  <c r="AKT43" i="3"/>
  <c r="AKM43" i="3"/>
  <c r="AKG43" i="3"/>
  <c r="AJY43" i="3"/>
  <c r="AJR43" i="3"/>
  <c r="AJK43" i="3"/>
  <c r="AJC43" i="3"/>
  <c r="AIW43" i="3"/>
  <c r="AIP43" i="3"/>
  <c r="AIH43" i="3"/>
  <c r="AIA43" i="3"/>
  <c r="AHU43" i="3"/>
  <c r="AHM43" i="3"/>
  <c r="AHF43" i="3"/>
  <c r="AGY43" i="3"/>
  <c r="AGQ43" i="3"/>
  <c r="AGK43" i="3"/>
  <c r="AGD43" i="3"/>
  <c r="AFV43" i="3"/>
  <c r="AFO43" i="3"/>
  <c r="AFI43" i="3"/>
  <c r="AFA43" i="3"/>
  <c r="AET43" i="3"/>
  <c r="AEM43" i="3"/>
  <c r="AEE43" i="3"/>
  <c r="ADY43" i="3"/>
  <c r="ADR43" i="3"/>
  <c r="ADJ43" i="3"/>
  <c r="ADC43" i="3"/>
  <c r="ACW43" i="3"/>
  <c r="ACO43" i="3"/>
  <c r="ACH43" i="3"/>
  <c r="ACA43" i="3"/>
  <c r="ABS43" i="3"/>
  <c r="ABM43" i="3"/>
  <c r="ABF43" i="3"/>
  <c r="AAX43" i="3"/>
  <c r="AAQ43" i="3"/>
  <c r="AAK43" i="3"/>
  <c r="AAC43" i="3"/>
  <c r="ZV43" i="3"/>
  <c r="ZO43" i="3"/>
  <c r="ZG43" i="3"/>
  <c r="ZA43" i="3"/>
  <c r="YT43" i="3"/>
  <c r="YL43" i="3"/>
  <c r="YE43" i="3"/>
  <c r="XY43" i="3"/>
  <c r="XQ43" i="3"/>
  <c r="XJ43" i="3"/>
  <c r="XC43" i="3"/>
  <c r="WU43" i="3"/>
  <c r="WO43" i="3"/>
  <c r="WH43" i="3"/>
  <c r="VZ43" i="3"/>
  <c r="VS43" i="3"/>
  <c r="VM43" i="3"/>
  <c r="VE43" i="3"/>
  <c r="UX43" i="3"/>
  <c r="UQ43" i="3"/>
  <c r="UI43" i="3"/>
  <c r="UC43" i="3"/>
  <c r="TV43" i="3"/>
  <c r="TN43" i="3"/>
  <c r="TG43" i="3"/>
  <c r="TA43" i="3"/>
  <c r="SS43" i="3"/>
  <c r="SL43" i="3"/>
  <c r="SE43" i="3"/>
  <c r="RW43" i="3"/>
  <c r="RQ43" i="3"/>
  <c r="RJ43" i="3"/>
  <c r="RB43" i="3"/>
  <c r="QU43" i="3"/>
  <c r="QO43" i="3"/>
  <c r="QG43" i="3"/>
  <c r="PZ43" i="3"/>
  <c r="PS43" i="3"/>
  <c r="PK43" i="3"/>
  <c r="PE43" i="3"/>
  <c r="OX43" i="3"/>
  <c r="OP43" i="3"/>
  <c r="OI43" i="3"/>
  <c r="OC43" i="3"/>
  <c r="NU43" i="3"/>
  <c r="NN43" i="3"/>
  <c r="NG43" i="3"/>
  <c r="MY43" i="3"/>
  <c r="MS43" i="3"/>
  <c r="ML43" i="3"/>
  <c r="MD43" i="3"/>
  <c r="LW43" i="3"/>
  <c r="LQ43" i="3"/>
  <c r="LI43" i="3"/>
  <c r="LB43" i="3"/>
  <c r="KU43" i="3"/>
  <c r="KM43" i="3"/>
  <c r="KG43" i="3"/>
  <c r="JZ43" i="3"/>
  <c r="JR43" i="3"/>
  <c r="JK43" i="3"/>
  <c r="JE43" i="3"/>
  <c r="IW43" i="3"/>
  <c r="IP43" i="3"/>
  <c r="II43" i="3"/>
  <c r="IA43" i="3"/>
  <c r="HU43" i="3"/>
  <c r="HN43" i="3"/>
  <c r="HF43" i="3"/>
  <c r="GY43" i="3"/>
  <c r="GS43" i="3"/>
  <c r="GK43" i="3"/>
  <c r="GD43" i="3"/>
  <c r="FW43" i="3"/>
  <c r="FO43" i="3"/>
  <c r="FI43" i="3"/>
  <c r="FB43" i="3"/>
  <c r="ET43" i="3"/>
  <c r="EM43" i="3"/>
  <c r="EG43" i="3"/>
  <c r="DY43" i="3"/>
  <c r="DR43" i="3"/>
  <c r="DK43" i="3"/>
  <c r="DC43" i="3"/>
  <c r="CW43" i="3"/>
  <c r="CP43" i="3"/>
  <c r="CH43" i="3"/>
  <c r="CA43" i="3"/>
  <c r="BU43" i="3"/>
  <c r="BM43" i="3"/>
  <c r="BF43" i="3"/>
  <c r="AY43" i="3"/>
  <c r="AQ43" i="3"/>
  <c r="AK43" i="3"/>
  <c r="AD43" i="3"/>
  <c r="V43" i="3"/>
  <c r="O43" i="3"/>
  <c r="I43" i="3"/>
  <c r="ALN43" i="3"/>
  <c r="ALG43" i="3"/>
  <c r="AKY43" i="3"/>
  <c r="AKS43" i="3"/>
  <c r="AKL43" i="3"/>
  <c r="AKD43" i="3"/>
  <c r="AJW43" i="3"/>
  <c r="AJQ43" i="3"/>
  <c r="AJI43" i="3"/>
  <c r="AJB43" i="3"/>
  <c r="AIU43" i="3"/>
  <c r="AIM43" i="3"/>
  <c r="AIG43" i="3"/>
  <c r="AHZ43" i="3"/>
  <c r="AHR43" i="3"/>
  <c r="AHK43" i="3"/>
  <c r="AHE43" i="3"/>
  <c r="AGW43" i="3"/>
  <c r="AGP43" i="3"/>
  <c r="AGI43" i="3"/>
  <c r="AGA43" i="3"/>
  <c r="AFU43" i="3"/>
  <c r="AFN43" i="3"/>
  <c r="AFF43" i="3"/>
  <c r="AEY43" i="3"/>
  <c r="AES43" i="3"/>
  <c r="AEK43" i="3"/>
  <c r="AED43" i="3"/>
  <c r="ADW43" i="3"/>
  <c r="ADO43" i="3"/>
  <c r="ADI43" i="3"/>
  <c r="ADB43" i="3"/>
  <c r="ACT43" i="3"/>
  <c r="ACM43" i="3"/>
  <c r="ACG43" i="3"/>
  <c r="ABY43" i="3"/>
  <c r="ABR43" i="3"/>
  <c r="ABK43" i="3"/>
  <c r="ABC43" i="3"/>
  <c r="AAW43" i="3"/>
  <c r="AAP43" i="3"/>
  <c r="AAH43" i="3"/>
  <c r="AAA43" i="3"/>
  <c r="ZU43" i="3"/>
  <c r="ZM43" i="3"/>
  <c r="ZF43" i="3"/>
  <c r="YY43" i="3"/>
  <c r="YQ43" i="3"/>
  <c r="YK43" i="3"/>
  <c r="YD43" i="3"/>
  <c r="XV43" i="3"/>
  <c r="XO43" i="3"/>
  <c r="XI43" i="3"/>
  <c r="XA43" i="3"/>
  <c r="WT43" i="3"/>
  <c r="WM43" i="3"/>
  <c r="WE43" i="3"/>
  <c r="VY43" i="3"/>
  <c r="VR43" i="3"/>
  <c r="VJ43" i="3"/>
  <c r="VC43" i="3"/>
  <c r="UW43" i="3"/>
  <c r="UO43" i="3"/>
  <c r="UH43" i="3"/>
  <c r="UA43" i="3"/>
  <c r="TS43" i="3"/>
  <c r="TM43" i="3"/>
  <c r="TF43" i="3"/>
  <c r="SX43" i="3"/>
  <c r="SQ43" i="3"/>
  <c r="SK43" i="3"/>
  <c r="SC43" i="3"/>
  <c r="RV43" i="3"/>
  <c r="RO43" i="3"/>
  <c r="RG43" i="3"/>
  <c r="RA43" i="3"/>
  <c r="QT43" i="3"/>
  <c r="QL43" i="3"/>
  <c r="QE43" i="3"/>
  <c r="PY43" i="3"/>
  <c r="PQ43" i="3"/>
  <c r="PJ43" i="3"/>
  <c r="PC43" i="3"/>
  <c r="OU43" i="3"/>
  <c r="OO43" i="3"/>
  <c r="OH43" i="3"/>
  <c r="NZ43" i="3"/>
  <c r="NS43" i="3"/>
  <c r="NM43" i="3"/>
  <c r="NE43" i="3"/>
  <c r="MX43" i="3"/>
  <c r="MQ43" i="3"/>
  <c r="MI43" i="3"/>
  <c r="MC43" i="3"/>
  <c r="LV43" i="3"/>
  <c r="LN43" i="3"/>
  <c r="LG43" i="3"/>
  <c r="LA43" i="3"/>
  <c r="KS43" i="3"/>
  <c r="KL43" i="3"/>
  <c r="KE43" i="3"/>
  <c r="JW43" i="3"/>
  <c r="JQ43" i="3"/>
  <c r="JJ43" i="3"/>
  <c r="JB43" i="3"/>
  <c r="IU43" i="3"/>
  <c r="IO43" i="3"/>
  <c r="IG43" i="3"/>
  <c r="HZ43" i="3"/>
  <c r="HS43" i="3"/>
  <c r="HK43" i="3"/>
  <c r="HE43" i="3"/>
  <c r="GX43" i="3"/>
  <c r="GP43" i="3"/>
  <c r="GI43" i="3"/>
  <c r="GC43" i="3"/>
  <c r="FU43" i="3"/>
  <c r="FN43" i="3"/>
  <c r="FG43" i="3"/>
  <c r="EY43" i="3"/>
  <c r="ES43" i="3"/>
  <c r="EL43" i="3"/>
  <c r="ED43" i="3"/>
  <c r="DW43" i="3"/>
  <c r="DQ43" i="3"/>
  <c r="DI43" i="3"/>
  <c r="DB43" i="3"/>
  <c r="CU43" i="3"/>
  <c r="CM43" i="3"/>
  <c r="CG43" i="3"/>
  <c r="BZ43" i="3"/>
  <c r="BR43" i="3"/>
  <c r="BK43" i="3"/>
  <c r="BE43" i="3"/>
  <c r="AW43" i="3"/>
  <c r="AP43" i="3"/>
  <c r="AI43" i="3"/>
  <c r="AA43" i="3"/>
  <c r="U43" i="3"/>
  <c r="N43" i="3"/>
  <c r="AKX43" i="3"/>
  <c r="AJV43" i="3"/>
  <c r="AIS43" i="3"/>
  <c r="AHQ43" i="3"/>
  <c r="AGO43" i="3"/>
  <c r="AFK43" i="3"/>
  <c r="AEI43" i="3"/>
  <c r="ADG43" i="3"/>
  <c r="ACD43" i="3"/>
  <c r="ABB43" i="3"/>
  <c r="ZZ43" i="3"/>
  <c r="YW43" i="3"/>
  <c r="XU43" i="3"/>
  <c r="WS43" i="3"/>
  <c r="VO43" i="3"/>
  <c r="UM43" i="3"/>
  <c r="TK43" i="3"/>
  <c r="SH43" i="3"/>
  <c r="RF43" i="3"/>
  <c r="QD43" i="3"/>
  <c r="PA43" i="3"/>
  <c r="NY43" i="3"/>
  <c r="MW43" i="3"/>
  <c r="LS43" i="3"/>
  <c r="KQ43" i="3"/>
  <c r="JO43" i="3"/>
  <c r="IL43" i="3"/>
  <c r="HJ43" i="3"/>
  <c r="GH43" i="3"/>
  <c r="FE43" i="3"/>
  <c r="EC43" i="3"/>
  <c r="DA43" i="3"/>
  <c r="BW43" i="3"/>
  <c r="AU43" i="3"/>
  <c r="S43" i="3"/>
  <c r="AKQ43" i="3"/>
  <c r="AJN43" i="3"/>
  <c r="AIL43" i="3"/>
  <c r="AHJ43" i="3"/>
  <c r="AGG43" i="3"/>
  <c r="AFE43" i="3"/>
  <c r="AEC43" i="3"/>
  <c r="ACY43" i="3"/>
  <c r="ABW43" i="3"/>
  <c r="AAU43" i="3"/>
  <c r="ZR43" i="3"/>
  <c r="YP43" i="3"/>
  <c r="XN43" i="3"/>
  <c r="WK43" i="3"/>
  <c r="VI43" i="3"/>
  <c r="UG43" i="3"/>
  <c r="TC43" i="3"/>
  <c r="SA43" i="3"/>
  <c r="QY43" i="3"/>
  <c r="PV43" i="3"/>
  <c r="OT43" i="3"/>
  <c r="NR43" i="3"/>
  <c r="MO43" i="3"/>
  <c r="LM43" i="3"/>
  <c r="KK43" i="3"/>
  <c r="JG43" i="3"/>
  <c r="IE43" i="3"/>
  <c r="HC43" i="3"/>
  <c r="FZ43" i="3"/>
  <c r="EX43" i="3"/>
  <c r="DV43" i="3"/>
  <c r="CS43" i="3"/>
  <c r="BQ43" i="3"/>
  <c r="AO43" i="3"/>
  <c r="K43" i="3"/>
  <c r="ALM43" i="3"/>
  <c r="AKI43" i="3"/>
  <c r="AJG43" i="3"/>
  <c r="AIE43" i="3"/>
  <c r="AHB43" i="3"/>
  <c r="AFZ43" i="3"/>
  <c r="AEX43" i="3"/>
  <c r="ADU43" i="3"/>
  <c r="ACS43" i="3"/>
  <c r="ABQ43" i="3"/>
  <c r="AAM43" i="3"/>
  <c r="ZK43" i="3"/>
  <c r="YI43" i="3"/>
  <c r="XF43" i="3"/>
  <c r="WD43" i="3"/>
  <c r="VB43" i="3"/>
  <c r="TY43" i="3"/>
  <c r="SW43" i="3"/>
  <c r="RU43" i="3"/>
  <c r="QQ43" i="3"/>
  <c r="PO43" i="3"/>
  <c r="OM43" i="3"/>
  <c r="NJ43" i="3"/>
  <c r="MH43" i="3"/>
  <c r="LF43" i="3"/>
  <c r="KC43" i="3"/>
  <c r="JA43" i="3"/>
  <c r="HY43" i="3"/>
  <c r="GU43" i="3"/>
  <c r="FS43" i="3"/>
  <c r="EQ43" i="3"/>
  <c r="DN43" i="3"/>
  <c r="CL43" i="3"/>
  <c r="BJ43" i="3"/>
  <c r="AG43" i="3"/>
  <c r="F43" i="3"/>
  <c r="ALE43" i="3"/>
  <c r="AKC43" i="3"/>
  <c r="AJA43" i="3"/>
  <c r="AHW43" i="3"/>
  <c r="AGU43" i="3"/>
  <c r="AFS43" i="3"/>
  <c r="AEP43" i="3"/>
  <c r="ADN43" i="3"/>
  <c r="ACL43" i="3"/>
  <c r="ABI43" i="3"/>
  <c r="AAG43" i="3"/>
  <c r="ZE43" i="3"/>
  <c r="YA43" i="3"/>
  <c r="WY43" i="3"/>
  <c r="VW43" i="3"/>
  <c r="UT43" i="3"/>
  <c r="TR43" i="3"/>
  <c r="SP43" i="3"/>
  <c r="RM43" i="3"/>
  <c r="QK43" i="3"/>
  <c r="PI43" i="3"/>
  <c r="OE43" i="3"/>
  <c r="NC43" i="3"/>
  <c r="MA43" i="3"/>
  <c r="KX43" i="3"/>
  <c r="JV43" i="3"/>
  <c r="IT43" i="3"/>
  <c r="HQ43" i="3"/>
  <c r="GO43" i="3"/>
  <c r="FM43" i="3"/>
  <c r="EI43" i="3"/>
  <c r="DG43" i="3"/>
  <c r="CE43" i="3"/>
  <c r="BB43" i="3"/>
  <c r="Z43" i="3"/>
  <c r="ALO3" i="3"/>
  <c r="ALK3" i="3"/>
  <c r="ALG3" i="3"/>
  <c r="ALC3" i="3"/>
  <c r="AKY3" i="3"/>
  <c r="AKU3" i="3"/>
  <c r="AKQ3" i="3"/>
  <c r="AKM3" i="3"/>
  <c r="AKI3" i="3"/>
  <c r="AKE3" i="3"/>
  <c r="AKA3" i="3"/>
  <c r="AJW3" i="3"/>
  <c r="AJS3" i="3"/>
  <c r="AJO3" i="3"/>
  <c r="AJK3" i="3"/>
  <c r="AJG3" i="3"/>
  <c r="AJC3" i="3"/>
  <c r="AIY3" i="3"/>
  <c r="AIU3" i="3"/>
  <c r="AIQ3" i="3"/>
  <c r="AIM3" i="3"/>
  <c r="AII3" i="3"/>
  <c r="AIE3" i="3"/>
  <c r="AIA3" i="3"/>
  <c r="AHW3" i="3"/>
  <c r="AHS3" i="3"/>
  <c r="AHO3" i="3"/>
  <c r="AHK3" i="3"/>
  <c r="AHG3" i="3"/>
  <c r="AHC3" i="3"/>
  <c r="AGY3" i="3"/>
  <c r="AGU3" i="3"/>
  <c r="AGQ3" i="3"/>
  <c r="AGM3" i="3"/>
  <c r="AGI3" i="3"/>
  <c r="AGE3" i="3"/>
  <c r="AGA3" i="3"/>
  <c r="AFW3" i="3"/>
  <c r="AFS3" i="3"/>
  <c r="AFO3" i="3"/>
  <c r="AFK3" i="3"/>
  <c r="AFG3" i="3"/>
  <c r="AFC3" i="3"/>
  <c r="AEY3" i="3"/>
  <c r="AEU3" i="3"/>
  <c r="AEQ3" i="3"/>
  <c r="AEM3" i="3"/>
  <c r="AEI3" i="3"/>
  <c r="AEE3" i="3"/>
  <c r="AEA3" i="3"/>
  <c r="ADW3" i="3"/>
  <c r="ADS3" i="3"/>
  <c r="ADO3" i="3"/>
  <c r="ADK3" i="3"/>
  <c r="ADG3" i="3"/>
  <c r="ADC3" i="3"/>
  <c r="ACY3" i="3"/>
  <c r="ACU3" i="3"/>
  <c r="ACQ3" i="3"/>
  <c r="ACM3" i="3"/>
  <c r="ACI3" i="3"/>
  <c r="ACE3" i="3"/>
  <c r="ACA3" i="3"/>
  <c r="ABW3" i="3"/>
  <c r="ABS3" i="3"/>
  <c r="ABO3" i="3"/>
  <c r="ABK3" i="3"/>
  <c r="ABG3" i="3"/>
  <c r="ABC3" i="3"/>
  <c r="AAY3" i="3"/>
  <c r="AAU3" i="3"/>
  <c r="AAQ3" i="3"/>
  <c r="AAM3" i="3"/>
  <c r="AAI3" i="3"/>
  <c r="AAE3" i="3"/>
  <c r="AAA3" i="3"/>
  <c r="ZW3" i="3"/>
  <c r="ZS3" i="3"/>
  <c r="ZO3" i="3"/>
  <c r="ZK3" i="3"/>
  <c r="ZG3" i="3"/>
  <c r="ZC3" i="3"/>
  <c r="YY3" i="3"/>
  <c r="YU3" i="3"/>
  <c r="YQ3" i="3"/>
  <c r="YM3" i="3"/>
  <c r="YI3" i="3"/>
  <c r="YE3" i="3"/>
  <c r="YA3" i="3"/>
  <c r="XW3" i="3"/>
  <c r="XS3" i="3"/>
  <c r="XO3" i="3"/>
  <c r="XK3" i="3"/>
  <c r="XG3" i="3"/>
  <c r="XC3" i="3"/>
  <c r="WY3" i="3"/>
  <c r="WU3" i="3"/>
  <c r="WQ3" i="3"/>
  <c r="WM3" i="3"/>
  <c r="WI3" i="3"/>
  <c r="WE3" i="3"/>
  <c r="WA3" i="3"/>
  <c r="VW3" i="3"/>
  <c r="VS3" i="3"/>
  <c r="VO3" i="3"/>
  <c r="VK3" i="3"/>
  <c r="VG3" i="3"/>
  <c r="VC3" i="3"/>
  <c r="UY3" i="3"/>
  <c r="UU3" i="3"/>
  <c r="UQ3" i="3"/>
  <c r="UM3" i="3"/>
  <c r="UI3" i="3"/>
  <c r="UE3" i="3"/>
  <c r="UA3" i="3"/>
  <c r="TW3" i="3"/>
  <c r="TS3" i="3"/>
  <c r="TO3" i="3"/>
  <c r="TK3" i="3"/>
  <c r="TG3" i="3"/>
  <c r="TC3" i="3"/>
  <c r="SY3" i="3"/>
  <c r="SU3" i="3"/>
  <c r="SQ3" i="3"/>
  <c r="SM3" i="3"/>
  <c r="SI3" i="3"/>
  <c r="SE3" i="3"/>
  <c r="SA3" i="3"/>
  <c r="RW3" i="3"/>
  <c r="RS3" i="3"/>
  <c r="RO3" i="3"/>
  <c r="RK3" i="3"/>
  <c r="RG3" i="3"/>
  <c r="RC3" i="3"/>
  <c r="QY3" i="3"/>
  <c r="QU3" i="3"/>
  <c r="QQ3" i="3"/>
  <c r="QM3" i="3"/>
  <c r="QI3" i="3"/>
  <c r="QE3" i="3"/>
  <c r="QA3" i="3"/>
  <c r="PW3" i="3"/>
  <c r="PS3" i="3"/>
  <c r="PO3" i="3"/>
  <c r="PK3" i="3"/>
  <c r="PG3" i="3"/>
  <c r="PC3" i="3"/>
  <c r="OY3" i="3"/>
  <c r="OU3" i="3"/>
  <c r="OQ3" i="3"/>
  <c r="OM3" i="3"/>
  <c r="OI3" i="3"/>
  <c r="OE3" i="3"/>
  <c r="OA3" i="3"/>
  <c r="NW3" i="3"/>
  <c r="NS3" i="3"/>
  <c r="NO3" i="3"/>
  <c r="NK3" i="3"/>
  <c r="NG3" i="3"/>
  <c r="NC3" i="3"/>
  <c r="MY3" i="3"/>
  <c r="MU3" i="3"/>
  <c r="MQ3" i="3"/>
  <c r="MM3" i="3"/>
  <c r="MI3" i="3"/>
  <c r="ME3" i="3"/>
  <c r="MA3" i="3"/>
  <c r="LW3" i="3"/>
  <c r="LS3" i="3"/>
  <c r="LO3" i="3"/>
  <c r="LK3" i="3"/>
  <c r="LG3" i="3"/>
  <c r="LC3" i="3"/>
  <c r="KY3" i="3"/>
  <c r="KU3" i="3"/>
  <c r="KQ3" i="3"/>
  <c r="KM3" i="3"/>
  <c r="KI3" i="3"/>
  <c r="KE3" i="3"/>
  <c r="KA3" i="3"/>
  <c r="JW3" i="3"/>
  <c r="JS3" i="3"/>
  <c r="JO3" i="3"/>
  <c r="JK3" i="3"/>
  <c r="JG3" i="3"/>
  <c r="JC3" i="3"/>
  <c r="IY3" i="3"/>
  <c r="IU3" i="3"/>
  <c r="IQ3" i="3"/>
  <c r="IM3" i="3"/>
  <c r="II3" i="3"/>
  <c r="IE3" i="3"/>
  <c r="IA3" i="3"/>
  <c r="HW3" i="3"/>
  <c r="HS3" i="3"/>
  <c r="HO3" i="3"/>
  <c r="HK3" i="3"/>
  <c r="HG3" i="3"/>
  <c r="HC3" i="3"/>
  <c r="GY3" i="3"/>
  <c r="GU3" i="3"/>
  <c r="GQ3" i="3"/>
  <c r="GM3" i="3"/>
  <c r="GI3" i="3"/>
  <c r="GE3" i="3"/>
  <c r="GA3" i="3"/>
  <c r="FW3" i="3"/>
  <c r="FS3" i="3"/>
  <c r="FO3" i="3"/>
  <c r="FK3" i="3"/>
  <c r="FG3" i="3"/>
  <c r="FC3" i="3"/>
  <c r="EY3" i="3"/>
  <c r="EU3" i="3"/>
  <c r="EQ3" i="3"/>
  <c r="EM3" i="3"/>
  <c r="EI3" i="3"/>
  <c r="EE3" i="3"/>
  <c r="EA3" i="3"/>
  <c r="DW3" i="3"/>
  <c r="DS3" i="3"/>
  <c r="DO3" i="3"/>
  <c r="DK3" i="3"/>
  <c r="DG3" i="3"/>
  <c r="DC3" i="3"/>
  <c r="CY3" i="3"/>
  <c r="CU3" i="3"/>
  <c r="CQ3" i="3"/>
  <c r="CM3" i="3"/>
  <c r="CI3" i="3"/>
  <c r="CE3" i="3"/>
  <c r="CA3" i="3"/>
  <c r="BW3" i="3"/>
  <c r="BS3" i="3"/>
  <c r="BO3" i="3"/>
  <c r="BK3" i="3"/>
  <c r="BG3" i="3"/>
  <c r="BC3" i="3"/>
  <c r="AY3" i="3"/>
  <c r="AU3" i="3"/>
  <c r="AQ3" i="3"/>
  <c r="AM3" i="3"/>
  <c r="AI3" i="3"/>
  <c r="AE3" i="3"/>
  <c r="AA3" i="3"/>
  <c r="W3" i="3"/>
  <c r="S3" i="3"/>
  <c r="O3" i="3"/>
  <c r="K3" i="3"/>
  <c r="G3" i="3"/>
  <c r="ALN3" i="3"/>
  <c r="ALJ3" i="3"/>
  <c r="ALF3" i="3"/>
  <c r="ALB3" i="3"/>
  <c r="AKX3" i="3"/>
  <c r="AKT3" i="3"/>
  <c r="AKP3" i="3"/>
  <c r="AKL3" i="3"/>
  <c r="AKH3" i="3"/>
  <c r="AKD3" i="3"/>
  <c r="AJZ3" i="3"/>
  <c r="AJV3" i="3"/>
  <c r="AJR3" i="3"/>
  <c r="AJN3" i="3"/>
  <c r="AJJ3" i="3"/>
  <c r="AJF3" i="3"/>
  <c r="AJB3" i="3"/>
  <c r="AIX3" i="3"/>
  <c r="AIT3" i="3"/>
  <c r="AIP3" i="3"/>
  <c r="AIL3" i="3"/>
  <c r="AIH3" i="3"/>
  <c r="AID3" i="3"/>
  <c r="AHZ3" i="3"/>
  <c r="AHV3" i="3"/>
  <c r="AHR3" i="3"/>
  <c r="AHN3" i="3"/>
  <c r="AHJ3" i="3"/>
  <c r="AHF3" i="3"/>
  <c r="AHB3" i="3"/>
  <c r="AGX3" i="3"/>
  <c r="AGT3" i="3"/>
  <c r="AGP3" i="3"/>
  <c r="AGL3" i="3"/>
  <c r="AGH3" i="3"/>
  <c r="AGD3" i="3"/>
  <c r="AFZ3" i="3"/>
  <c r="AFV3" i="3"/>
  <c r="AFR3" i="3"/>
  <c r="AFN3" i="3"/>
  <c r="AFJ3" i="3"/>
  <c r="AFF3" i="3"/>
  <c r="AFB3" i="3"/>
  <c r="AEX3" i="3"/>
  <c r="AET3" i="3"/>
  <c r="AEP3" i="3"/>
  <c r="AEL3" i="3"/>
  <c r="AEH3" i="3"/>
  <c r="AED3" i="3"/>
  <c r="ADZ3" i="3"/>
  <c r="ADV3" i="3"/>
  <c r="ADR3" i="3"/>
  <c r="ADN3" i="3"/>
  <c r="ADJ3" i="3"/>
  <c r="ADF3" i="3"/>
  <c r="ADB3" i="3"/>
  <c r="ACX3" i="3"/>
  <c r="ACT3" i="3"/>
  <c r="ACP3" i="3"/>
  <c r="ACL3" i="3"/>
  <c r="ACH3" i="3"/>
  <c r="ACD3" i="3"/>
  <c r="ABZ3" i="3"/>
  <c r="ABV3" i="3"/>
  <c r="ABR3" i="3"/>
  <c r="ABN3" i="3"/>
  <c r="ABJ3" i="3"/>
  <c r="ABF3" i="3"/>
  <c r="ABB3" i="3"/>
  <c r="AAX3" i="3"/>
  <c r="AAT3" i="3"/>
  <c r="AAP3" i="3"/>
  <c r="AAL3" i="3"/>
  <c r="AAH3" i="3"/>
  <c r="AAD3" i="3"/>
  <c r="ZZ3" i="3"/>
  <c r="ZV3" i="3"/>
  <c r="ZR3" i="3"/>
  <c r="ZN3" i="3"/>
  <c r="ZJ3" i="3"/>
  <c r="ZF3" i="3"/>
  <c r="ZB3" i="3"/>
  <c r="YX3" i="3"/>
  <c r="YT3" i="3"/>
  <c r="YP3" i="3"/>
  <c r="YL3" i="3"/>
  <c r="YH3" i="3"/>
  <c r="YD3" i="3"/>
  <c r="XZ3" i="3"/>
  <c r="XV3" i="3"/>
  <c r="XR3" i="3"/>
  <c r="XN3" i="3"/>
  <c r="XJ3" i="3"/>
  <c r="XF3" i="3"/>
  <c r="XB3" i="3"/>
  <c r="WX3" i="3"/>
  <c r="WT3" i="3"/>
  <c r="WP3" i="3"/>
  <c r="WL3" i="3"/>
  <c r="WH3" i="3"/>
  <c r="WD3" i="3"/>
  <c r="VZ3" i="3"/>
  <c r="VV3" i="3"/>
  <c r="VR3" i="3"/>
  <c r="VN3" i="3"/>
  <c r="VJ3" i="3"/>
  <c r="VF3" i="3"/>
  <c r="VB3" i="3"/>
  <c r="UX3" i="3"/>
  <c r="UT3" i="3"/>
  <c r="UP3" i="3"/>
  <c r="UL3" i="3"/>
  <c r="UH3" i="3"/>
  <c r="UD3" i="3"/>
  <c r="TZ3" i="3"/>
  <c r="TV3" i="3"/>
  <c r="TR3" i="3"/>
  <c r="TN3" i="3"/>
  <c r="TJ3" i="3"/>
  <c r="TF3" i="3"/>
  <c r="TB3" i="3"/>
  <c r="SX3" i="3"/>
  <c r="ST3" i="3"/>
  <c r="SP3" i="3"/>
  <c r="SL3" i="3"/>
  <c r="SH3" i="3"/>
  <c r="SD3" i="3"/>
  <c r="RZ3" i="3"/>
  <c r="RV3" i="3"/>
  <c r="RR3" i="3"/>
  <c r="RN3" i="3"/>
  <c r="RJ3" i="3"/>
  <c r="RF3" i="3"/>
  <c r="RB3" i="3"/>
  <c r="QX3" i="3"/>
  <c r="QT3" i="3"/>
  <c r="QP3" i="3"/>
  <c r="QL3" i="3"/>
  <c r="QH3" i="3"/>
  <c r="QD3" i="3"/>
  <c r="PZ3" i="3"/>
  <c r="PV3" i="3"/>
  <c r="PR3" i="3"/>
  <c r="PN3" i="3"/>
  <c r="PJ3" i="3"/>
  <c r="PF3" i="3"/>
  <c r="PB3" i="3"/>
  <c r="OX3" i="3"/>
  <c r="OT3" i="3"/>
  <c r="OP3" i="3"/>
  <c r="OL3" i="3"/>
  <c r="OH3" i="3"/>
  <c r="OD3" i="3"/>
  <c r="NZ3" i="3"/>
  <c r="NV3" i="3"/>
  <c r="NR3" i="3"/>
  <c r="NN3" i="3"/>
  <c r="NJ3" i="3"/>
  <c r="NF3" i="3"/>
  <c r="NB3" i="3"/>
  <c r="MX3" i="3"/>
  <c r="MT3" i="3"/>
  <c r="MP3" i="3"/>
  <c r="ML3" i="3"/>
  <c r="MH3" i="3"/>
  <c r="MD3" i="3"/>
  <c r="LZ3" i="3"/>
  <c r="LV3" i="3"/>
  <c r="LR3" i="3"/>
  <c r="LN3" i="3"/>
  <c r="LJ3" i="3"/>
  <c r="LF3" i="3"/>
  <c r="LB3" i="3"/>
  <c r="KX3" i="3"/>
  <c r="KT3" i="3"/>
  <c r="KP3" i="3"/>
  <c r="KL3" i="3"/>
  <c r="KH3" i="3"/>
  <c r="KD3" i="3"/>
  <c r="JZ3" i="3"/>
  <c r="JV3" i="3"/>
  <c r="JR3" i="3"/>
  <c r="JN3" i="3"/>
  <c r="JJ3" i="3"/>
  <c r="JF3" i="3"/>
  <c r="JB3" i="3"/>
  <c r="IX3" i="3"/>
  <c r="IT3" i="3"/>
  <c r="IP3" i="3"/>
  <c r="IL3" i="3"/>
  <c r="IH3" i="3"/>
  <c r="ID3" i="3"/>
  <c r="HZ3" i="3"/>
  <c r="HV3" i="3"/>
  <c r="HR3" i="3"/>
  <c r="HN3" i="3"/>
  <c r="HJ3" i="3"/>
  <c r="HF3" i="3"/>
  <c r="HB3" i="3"/>
  <c r="GX3" i="3"/>
  <c r="GT3" i="3"/>
  <c r="GP3" i="3"/>
  <c r="GL3" i="3"/>
  <c r="GH3" i="3"/>
  <c r="GD3" i="3"/>
  <c r="FZ3" i="3"/>
  <c r="FV3" i="3"/>
  <c r="FR3" i="3"/>
  <c r="FN3" i="3"/>
  <c r="FJ3" i="3"/>
  <c r="FF3" i="3"/>
  <c r="FB3" i="3"/>
  <c r="EX3" i="3"/>
  <c r="ET3" i="3"/>
  <c r="EP3" i="3"/>
  <c r="EL3" i="3"/>
  <c r="EH3" i="3"/>
  <c r="ED3" i="3"/>
  <c r="DZ3" i="3"/>
  <c r="DV3" i="3"/>
  <c r="DR3" i="3"/>
  <c r="DN3" i="3"/>
  <c r="DJ3" i="3"/>
  <c r="DF3" i="3"/>
  <c r="DB3" i="3"/>
  <c r="CX3" i="3"/>
  <c r="CT3" i="3"/>
  <c r="CP3" i="3"/>
  <c r="CL3" i="3"/>
  <c r="CH3" i="3"/>
  <c r="CD3" i="3"/>
  <c r="BZ3" i="3"/>
  <c r="BV3" i="3"/>
  <c r="BR3" i="3"/>
  <c r="BN3" i="3"/>
  <c r="BJ3" i="3"/>
  <c r="BF3" i="3"/>
  <c r="BB3" i="3"/>
  <c r="AX3" i="3"/>
  <c r="AT3" i="3"/>
  <c r="AP3" i="3"/>
  <c r="AL3" i="3"/>
  <c r="AH3" i="3"/>
  <c r="AD3" i="3"/>
  <c r="Z3" i="3"/>
  <c r="V3" i="3"/>
  <c r="R3" i="3"/>
  <c r="N3" i="3"/>
  <c r="J3" i="3"/>
  <c r="ALQ3" i="3"/>
  <c r="ALM3" i="3"/>
  <c r="ALI3" i="3"/>
  <c r="ALE3" i="3"/>
  <c r="ALA3" i="3"/>
  <c r="AKW3" i="3"/>
  <c r="AKS3" i="3"/>
  <c r="AKO3" i="3"/>
  <c r="AKK3" i="3"/>
  <c r="AKG3" i="3"/>
  <c r="AKC3" i="3"/>
  <c r="AJY3" i="3"/>
  <c r="AJU3" i="3"/>
  <c r="AJQ3" i="3"/>
  <c r="AJM3" i="3"/>
  <c r="AJI3" i="3"/>
  <c r="AJE3" i="3"/>
  <c r="AJA3" i="3"/>
  <c r="AIW3" i="3"/>
  <c r="AIS3" i="3"/>
  <c r="AIO3" i="3"/>
  <c r="AIK3" i="3"/>
  <c r="AIG3" i="3"/>
  <c r="AIC3" i="3"/>
  <c r="AHY3" i="3"/>
  <c r="AHU3" i="3"/>
  <c r="AHQ3" i="3"/>
  <c r="AHM3" i="3"/>
  <c r="AHI3" i="3"/>
  <c r="AHE3" i="3"/>
  <c r="AHA3" i="3"/>
  <c r="AGW3" i="3"/>
  <c r="AGS3" i="3"/>
  <c r="AGO3" i="3"/>
  <c r="AGK3" i="3"/>
  <c r="AGG3" i="3"/>
  <c r="AGC3" i="3"/>
  <c r="AFY3" i="3"/>
  <c r="AFU3" i="3"/>
  <c r="AFQ3" i="3"/>
  <c r="AFM3" i="3"/>
  <c r="AFI3" i="3"/>
  <c r="AFE3" i="3"/>
  <c r="AFA3" i="3"/>
  <c r="AEW3" i="3"/>
  <c r="AES3" i="3"/>
  <c r="AEO3" i="3"/>
  <c r="AEK3" i="3"/>
  <c r="AEG3" i="3"/>
  <c r="AEC3" i="3"/>
  <c r="ADY3" i="3"/>
  <c r="ADU3" i="3"/>
  <c r="ADQ3" i="3"/>
  <c r="ADM3" i="3"/>
  <c r="ADI3" i="3"/>
  <c r="ADE3" i="3"/>
  <c r="ADA3" i="3"/>
  <c r="ACW3" i="3"/>
  <c r="ACS3" i="3"/>
  <c r="ACO3" i="3"/>
  <c r="ACK3" i="3"/>
  <c r="ACG3" i="3"/>
  <c r="ACC3" i="3"/>
  <c r="ABY3" i="3"/>
  <c r="ABU3" i="3"/>
  <c r="ABQ3" i="3"/>
  <c r="ABM3" i="3"/>
  <c r="ABI3" i="3"/>
  <c r="ABE3" i="3"/>
  <c r="ABA3" i="3"/>
  <c r="AAW3" i="3"/>
  <c r="AAS3" i="3"/>
  <c r="AAO3" i="3"/>
  <c r="AAK3" i="3"/>
  <c r="AAG3" i="3"/>
  <c r="AAC3" i="3"/>
  <c r="ZY3" i="3"/>
  <c r="ZU3" i="3"/>
  <c r="ZQ3" i="3"/>
  <c r="ZM3" i="3"/>
  <c r="ZI3" i="3"/>
  <c r="ZE3" i="3"/>
  <c r="ZA3" i="3"/>
  <c r="YW3" i="3"/>
  <c r="YS3" i="3"/>
  <c r="YO3" i="3"/>
  <c r="YK3" i="3"/>
  <c r="YG3" i="3"/>
  <c r="YC3" i="3"/>
  <c r="XY3" i="3"/>
  <c r="XU3" i="3"/>
  <c r="XQ3" i="3"/>
  <c r="XM3" i="3"/>
  <c r="XI3" i="3"/>
  <c r="XE3" i="3"/>
  <c r="XA3" i="3"/>
  <c r="WW3" i="3"/>
  <c r="WS3" i="3"/>
  <c r="WO3" i="3"/>
  <c r="WK3" i="3"/>
  <c r="WG3" i="3"/>
  <c r="WC3" i="3"/>
  <c r="VY3" i="3"/>
  <c r="VU3" i="3"/>
  <c r="VQ3" i="3"/>
  <c r="VM3" i="3"/>
  <c r="VI3" i="3"/>
  <c r="VE3" i="3"/>
  <c r="VA3" i="3"/>
  <c r="UW3" i="3"/>
  <c r="US3" i="3"/>
  <c r="UO3" i="3"/>
  <c r="UK3" i="3"/>
  <c r="UG3" i="3"/>
  <c r="UC3" i="3"/>
  <c r="TY3" i="3"/>
  <c r="TU3" i="3"/>
  <c r="TQ3" i="3"/>
  <c r="TM3" i="3"/>
  <c r="TI3" i="3"/>
  <c r="TE3" i="3"/>
  <c r="TA3" i="3"/>
  <c r="SW3" i="3"/>
  <c r="SS3" i="3"/>
  <c r="SO3" i="3"/>
  <c r="SK3" i="3"/>
  <c r="SG3" i="3"/>
  <c r="SC3" i="3"/>
  <c r="RY3" i="3"/>
  <c r="RU3" i="3"/>
  <c r="RQ3" i="3"/>
  <c r="RM3" i="3"/>
  <c r="RI3" i="3"/>
  <c r="RE3" i="3"/>
  <c r="RA3" i="3"/>
  <c r="QW3" i="3"/>
  <c r="QS3" i="3"/>
  <c r="QO3" i="3"/>
  <c r="QK3" i="3"/>
  <c r="QG3" i="3"/>
  <c r="QC3" i="3"/>
  <c r="PY3" i="3"/>
  <c r="PU3" i="3"/>
  <c r="PQ3" i="3"/>
  <c r="PM3" i="3"/>
  <c r="PI3" i="3"/>
  <c r="PE3" i="3"/>
  <c r="PA3" i="3"/>
  <c r="OW3" i="3"/>
  <c r="OS3" i="3"/>
  <c r="OO3" i="3"/>
  <c r="OK3" i="3"/>
  <c r="OG3" i="3"/>
  <c r="OC3" i="3"/>
  <c r="NY3" i="3"/>
  <c r="NU3" i="3"/>
  <c r="NQ3" i="3"/>
  <c r="NM3" i="3"/>
  <c r="NI3" i="3"/>
  <c r="NE3" i="3"/>
  <c r="NA3" i="3"/>
  <c r="MW3" i="3"/>
  <c r="MS3" i="3"/>
  <c r="MO3" i="3"/>
  <c r="MK3" i="3"/>
  <c r="MG3" i="3"/>
  <c r="MC3" i="3"/>
  <c r="LY3" i="3"/>
  <c r="LU3" i="3"/>
  <c r="LQ3" i="3"/>
  <c r="LM3" i="3"/>
  <c r="LI3" i="3"/>
  <c r="LE3" i="3"/>
  <c r="LA3" i="3"/>
  <c r="KW3" i="3"/>
  <c r="KS3" i="3"/>
  <c r="KO3" i="3"/>
  <c r="KK3" i="3"/>
  <c r="KG3" i="3"/>
  <c r="KC3" i="3"/>
  <c r="JY3" i="3"/>
  <c r="JU3" i="3"/>
  <c r="JQ3" i="3"/>
  <c r="JM3" i="3"/>
  <c r="JI3" i="3"/>
  <c r="JE3" i="3"/>
  <c r="JA3" i="3"/>
  <c r="IW3" i="3"/>
  <c r="IS3" i="3"/>
  <c r="IO3" i="3"/>
  <c r="IK3" i="3"/>
  <c r="IG3" i="3"/>
  <c r="IC3" i="3"/>
  <c r="HY3" i="3"/>
  <c r="HU3" i="3"/>
  <c r="HQ3" i="3"/>
  <c r="HM3" i="3"/>
  <c r="HI3" i="3"/>
  <c r="HE3" i="3"/>
  <c r="HA3" i="3"/>
  <c r="GW3" i="3"/>
  <c r="GS3" i="3"/>
  <c r="GO3" i="3"/>
  <c r="GK3" i="3"/>
  <c r="GG3" i="3"/>
  <c r="GC3" i="3"/>
  <c r="FY3" i="3"/>
  <c r="FU3" i="3"/>
  <c r="FQ3" i="3"/>
  <c r="FM3" i="3"/>
  <c r="FI3" i="3"/>
  <c r="FE3" i="3"/>
  <c r="FA3" i="3"/>
  <c r="EW3" i="3"/>
  <c r="ES3" i="3"/>
  <c r="EO3" i="3"/>
  <c r="EK3" i="3"/>
  <c r="EG3" i="3"/>
  <c r="EC3" i="3"/>
  <c r="DY3" i="3"/>
  <c r="DU3" i="3"/>
  <c r="DQ3" i="3"/>
  <c r="DM3" i="3"/>
  <c r="DI3" i="3"/>
  <c r="DE3" i="3"/>
  <c r="DA3" i="3"/>
  <c r="CW3" i="3"/>
  <c r="CS3" i="3"/>
  <c r="CO3" i="3"/>
  <c r="CK3" i="3"/>
  <c r="CG3" i="3"/>
  <c r="CC3" i="3"/>
  <c r="BY3" i="3"/>
  <c r="BU3" i="3"/>
  <c r="BQ3" i="3"/>
  <c r="BM3" i="3"/>
  <c r="BI3" i="3"/>
  <c r="BE3" i="3"/>
  <c r="BA3" i="3"/>
  <c r="AW3" i="3"/>
  <c r="AS3" i="3"/>
  <c r="AO3" i="3"/>
  <c r="AK3" i="3"/>
  <c r="AG3" i="3"/>
  <c r="AC3" i="3"/>
  <c r="Y3" i="3"/>
  <c r="U3" i="3"/>
  <c r="Q3" i="3"/>
  <c r="M3" i="3"/>
  <c r="I3" i="3"/>
  <c r="F3" i="3"/>
  <c r="ALN17" i="3"/>
  <c r="ALJ17" i="3"/>
  <c r="ALF17" i="3"/>
  <c r="ALB17" i="3"/>
  <c r="AKX17" i="3"/>
  <c r="AKT17" i="3"/>
  <c r="AKP17" i="3"/>
  <c r="AKL17" i="3"/>
  <c r="AKH17" i="3"/>
  <c r="AKD17" i="3"/>
  <c r="AJZ17" i="3"/>
  <c r="AJV17" i="3"/>
  <c r="AJR17" i="3"/>
  <c r="AJN17" i="3"/>
  <c r="AJJ17" i="3"/>
  <c r="AJF17" i="3"/>
  <c r="AJB17" i="3"/>
  <c r="AIX17" i="3"/>
  <c r="AIT17" i="3"/>
  <c r="AIP17" i="3"/>
  <c r="AIL17" i="3"/>
  <c r="AIH17" i="3"/>
  <c r="AID17" i="3"/>
  <c r="AHZ17" i="3"/>
  <c r="AHV17" i="3"/>
  <c r="AHR17" i="3"/>
  <c r="AHN17" i="3"/>
  <c r="AHJ17" i="3"/>
  <c r="AHF17" i="3"/>
  <c r="AHB17" i="3"/>
  <c r="AGX17" i="3"/>
  <c r="AGT17" i="3"/>
  <c r="AGP17" i="3"/>
  <c r="AGL17" i="3"/>
  <c r="AGH17" i="3"/>
  <c r="AGD17" i="3"/>
  <c r="AFZ17" i="3"/>
  <c r="AFV17" i="3"/>
  <c r="AFR17" i="3"/>
  <c r="AFN17" i="3"/>
  <c r="AFJ17" i="3"/>
  <c r="AFF17" i="3"/>
  <c r="AFB17" i="3"/>
  <c r="AEX17" i="3"/>
  <c r="AET17" i="3"/>
  <c r="AEP17" i="3"/>
  <c r="AEL17" i="3"/>
  <c r="AEH17" i="3"/>
  <c r="AED17" i="3"/>
  <c r="ADZ17" i="3"/>
  <c r="ADV17" i="3"/>
  <c r="ADR17" i="3"/>
  <c r="ADN17" i="3"/>
  <c r="ADJ17" i="3"/>
  <c r="ADF17" i="3"/>
  <c r="ADB17" i="3"/>
  <c r="ACX17" i="3"/>
  <c r="ACT17" i="3"/>
  <c r="ACP17" i="3"/>
  <c r="ACL17" i="3"/>
  <c r="ACH17" i="3"/>
  <c r="ACD17" i="3"/>
  <c r="ABZ17" i="3"/>
  <c r="ABV17" i="3"/>
  <c r="ABR17" i="3"/>
  <c r="ABN17" i="3"/>
  <c r="ABJ17" i="3"/>
  <c r="ABF17" i="3"/>
  <c r="ABB17" i="3"/>
  <c r="AAX17" i="3"/>
  <c r="AAT17" i="3"/>
  <c r="AAP17" i="3"/>
  <c r="AAL17" i="3"/>
  <c r="AAH17" i="3"/>
  <c r="AAD17" i="3"/>
  <c r="ZZ17" i="3"/>
  <c r="ZV17" i="3"/>
  <c r="ZR17" i="3"/>
  <c r="ZN17" i="3"/>
  <c r="ZJ17" i="3"/>
  <c r="ZF17" i="3"/>
  <c r="ZB17" i="3"/>
  <c r="YX17" i="3"/>
  <c r="YT17" i="3"/>
  <c r="YP17" i="3"/>
  <c r="YL17" i="3"/>
  <c r="YH17" i="3"/>
  <c r="YD17" i="3"/>
  <c r="XZ17" i="3"/>
  <c r="XV17" i="3"/>
  <c r="XR17" i="3"/>
  <c r="XN17" i="3"/>
  <c r="XJ17" i="3"/>
  <c r="XF17" i="3"/>
  <c r="XB17" i="3"/>
  <c r="WX17" i="3"/>
  <c r="WT17" i="3"/>
  <c r="WP17" i="3"/>
  <c r="WL17" i="3"/>
  <c r="WH17" i="3"/>
  <c r="WD17" i="3"/>
  <c r="VZ17" i="3"/>
  <c r="VV17" i="3"/>
  <c r="VR17" i="3"/>
  <c r="VN17" i="3"/>
  <c r="VJ17" i="3"/>
  <c r="VF17" i="3"/>
  <c r="VB17" i="3"/>
  <c r="UX17" i="3"/>
  <c r="UT17" i="3"/>
  <c r="UP17" i="3"/>
  <c r="UL17" i="3"/>
  <c r="UH17" i="3"/>
  <c r="UD17" i="3"/>
  <c r="TZ17" i="3"/>
  <c r="TV17" i="3"/>
  <c r="TR17" i="3"/>
  <c r="TN17" i="3"/>
  <c r="TJ17" i="3"/>
  <c r="TF17" i="3"/>
  <c r="TB17" i="3"/>
  <c r="SX17" i="3"/>
  <c r="ST17" i="3"/>
  <c r="SP17" i="3"/>
  <c r="SL17" i="3"/>
  <c r="SH17" i="3"/>
  <c r="SD17" i="3"/>
  <c r="RZ17" i="3"/>
  <c r="RV17" i="3"/>
  <c r="RR17" i="3"/>
  <c r="RN17" i="3"/>
  <c r="RJ17" i="3"/>
  <c r="RF17" i="3"/>
  <c r="RB17" i="3"/>
  <c r="QX17" i="3"/>
  <c r="QT17" i="3"/>
  <c r="QP17" i="3"/>
  <c r="QL17" i="3"/>
  <c r="QH17" i="3"/>
  <c r="QD17" i="3"/>
  <c r="PZ17" i="3"/>
  <c r="PV17" i="3"/>
  <c r="PR17" i="3"/>
  <c r="PN17" i="3"/>
  <c r="PJ17" i="3"/>
  <c r="PF17" i="3"/>
  <c r="PB17" i="3"/>
  <c r="OX17" i="3"/>
  <c r="OT17" i="3"/>
  <c r="OP17" i="3"/>
  <c r="OL17" i="3"/>
  <c r="OH17" i="3"/>
  <c r="OD17" i="3"/>
  <c r="NZ17" i="3"/>
  <c r="NV17" i="3"/>
  <c r="NR17" i="3"/>
  <c r="NN17" i="3"/>
  <c r="NJ17" i="3"/>
  <c r="NF17" i="3"/>
  <c r="NB17" i="3"/>
  <c r="MX17" i="3"/>
  <c r="MT17" i="3"/>
  <c r="MP17" i="3"/>
  <c r="ML17" i="3"/>
  <c r="MH17" i="3"/>
  <c r="MD17" i="3"/>
  <c r="LZ17" i="3"/>
  <c r="LV17" i="3"/>
  <c r="LR17" i="3"/>
  <c r="LN17" i="3"/>
  <c r="LJ17" i="3"/>
  <c r="LF17" i="3"/>
  <c r="LB17" i="3"/>
  <c r="KX17" i="3"/>
  <c r="KT17" i="3"/>
  <c r="KP17" i="3"/>
  <c r="KL17" i="3"/>
  <c r="KH17" i="3"/>
  <c r="KD17" i="3"/>
  <c r="JZ17" i="3"/>
  <c r="JV17" i="3"/>
  <c r="JR17" i="3"/>
  <c r="JN17" i="3"/>
  <c r="JJ17" i="3"/>
  <c r="JF17" i="3"/>
  <c r="JB17" i="3"/>
  <c r="IX17" i="3"/>
  <c r="IT17" i="3"/>
  <c r="IP17" i="3"/>
  <c r="IL17" i="3"/>
  <c r="IH17" i="3"/>
  <c r="ID17" i="3"/>
  <c r="HZ17" i="3"/>
  <c r="HV17" i="3"/>
  <c r="HR17" i="3"/>
  <c r="HN17" i="3"/>
  <c r="HJ17" i="3"/>
  <c r="HF17" i="3"/>
  <c r="HB17" i="3"/>
  <c r="GX17" i="3"/>
  <c r="GT17" i="3"/>
  <c r="GP17" i="3"/>
  <c r="GL17" i="3"/>
  <c r="GH17" i="3"/>
  <c r="GD17" i="3"/>
  <c r="FZ17" i="3"/>
  <c r="FV17" i="3"/>
  <c r="FR17" i="3"/>
  <c r="FN17" i="3"/>
  <c r="FJ17" i="3"/>
  <c r="FF17" i="3"/>
  <c r="FB17" i="3"/>
  <c r="EX17" i="3"/>
  <c r="ET17" i="3"/>
  <c r="EP17" i="3"/>
  <c r="EL17" i="3"/>
  <c r="EH17" i="3"/>
  <c r="ED17" i="3"/>
  <c r="DZ17" i="3"/>
  <c r="DV17" i="3"/>
  <c r="DR17" i="3"/>
  <c r="DN17" i="3"/>
  <c r="DJ17" i="3"/>
  <c r="DF17" i="3"/>
  <c r="DB17" i="3"/>
  <c r="CX17" i="3"/>
  <c r="CT17" i="3"/>
  <c r="CP17" i="3"/>
  <c r="CL17" i="3"/>
  <c r="CH17" i="3"/>
  <c r="CD17" i="3"/>
  <c r="BZ17" i="3"/>
  <c r="BV17" i="3"/>
  <c r="BR17" i="3"/>
  <c r="BN17" i="3"/>
  <c r="BJ17" i="3"/>
  <c r="BF17" i="3"/>
  <c r="BB17" i="3"/>
  <c r="AX17" i="3"/>
  <c r="AT17" i="3"/>
  <c r="AP17" i="3"/>
  <c r="AL17" i="3"/>
  <c r="AH17" i="3"/>
  <c r="AD17" i="3"/>
  <c r="Z17" i="3"/>
  <c r="V17" i="3"/>
  <c r="R17" i="3"/>
  <c r="N17" i="3"/>
  <c r="J17" i="3"/>
  <c r="ALQ17" i="3"/>
  <c r="ALM17" i="3"/>
  <c r="ALI17" i="3"/>
  <c r="ALE17" i="3"/>
  <c r="ALA17" i="3"/>
  <c r="AKW17" i="3"/>
  <c r="AKS17" i="3"/>
  <c r="AKO17" i="3"/>
  <c r="AKK17" i="3"/>
  <c r="AKG17" i="3"/>
  <c r="AKC17" i="3"/>
  <c r="AJY17" i="3"/>
  <c r="AJU17" i="3"/>
  <c r="AJQ17" i="3"/>
  <c r="AJM17" i="3"/>
  <c r="AJI17" i="3"/>
  <c r="AJE17" i="3"/>
  <c r="AJA17" i="3"/>
  <c r="AIW17" i="3"/>
  <c r="AIS17" i="3"/>
  <c r="AIO17" i="3"/>
  <c r="AIK17" i="3"/>
  <c r="AIG17" i="3"/>
  <c r="AIC17" i="3"/>
  <c r="AHY17" i="3"/>
  <c r="AHU17" i="3"/>
  <c r="AHQ17" i="3"/>
  <c r="AHM17" i="3"/>
  <c r="AHI17" i="3"/>
  <c r="AHE17" i="3"/>
  <c r="AHA17" i="3"/>
  <c r="AGW17" i="3"/>
  <c r="AGS17" i="3"/>
  <c r="AGO17" i="3"/>
  <c r="AGK17" i="3"/>
  <c r="AGG17" i="3"/>
  <c r="AGC17" i="3"/>
  <c r="AFY17" i="3"/>
  <c r="AFU17" i="3"/>
  <c r="AFQ17" i="3"/>
  <c r="AFM17" i="3"/>
  <c r="AFI17" i="3"/>
  <c r="AFE17" i="3"/>
  <c r="AFA17" i="3"/>
  <c r="AEW17" i="3"/>
  <c r="AES17" i="3"/>
  <c r="AEO17" i="3"/>
  <c r="AEK17" i="3"/>
  <c r="AEG17" i="3"/>
  <c r="AEC17" i="3"/>
  <c r="ADY17" i="3"/>
  <c r="ADU17" i="3"/>
  <c r="ADQ17" i="3"/>
  <c r="ADM17" i="3"/>
  <c r="ADI17" i="3"/>
  <c r="ADE17" i="3"/>
  <c r="ADA17" i="3"/>
  <c r="ACW17" i="3"/>
  <c r="ACS17" i="3"/>
  <c r="ACO17" i="3"/>
  <c r="ACK17" i="3"/>
  <c r="ACG17" i="3"/>
  <c r="ACC17" i="3"/>
  <c r="ABY17" i="3"/>
  <c r="ABU17" i="3"/>
  <c r="ABQ17" i="3"/>
  <c r="ABM17" i="3"/>
  <c r="ABI17" i="3"/>
  <c r="ABE17" i="3"/>
  <c r="ABA17" i="3"/>
  <c r="AAW17" i="3"/>
  <c r="AAS17" i="3"/>
  <c r="AAO17" i="3"/>
  <c r="AAK17" i="3"/>
  <c r="AAG17" i="3"/>
  <c r="AAC17" i="3"/>
  <c r="ZY17" i="3"/>
  <c r="ZU17" i="3"/>
  <c r="ZQ17" i="3"/>
  <c r="ZM17" i="3"/>
  <c r="ZI17" i="3"/>
  <c r="ZE17" i="3"/>
  <c r="ZA17" i="3"/>
  <c r="YW17" i="3"/>
  <c r="YS17" i="3"/>
  <c r="YO17" i="3"/>
  <c r="YK17" i="3"/>
  <c r="YG17" i="3"/>
  <c r="YC17" i="3"/>
  <c r="XY17" i="3"/>
  <c r="XU17" i="3"/>
  <c r="XQ17" i="3"/>
  <c r="XM17" i="3"/>
  <c r="XI17" i="3"/>
  <c r="XE17" i="3"/>
  <c r="XA17" i="3"/>
  <c r="WW17" i="3"/>
  <c r="WS17" i="3"/>
  <c r="WO17" i="3"/>
  <c r="WK17" i="3"/>
  <c r="WG17" i="3"/>
  <c r="WC17" i="3"/>
  <c r="VY17" i="3"/>
  <c r="VU17" i="3"/>
  <c r="VQ17" i="3"/>
  <c r="VM17" i="3"/>
  <c r="VI17" i="3"/>
  <c r="VE17" i="3"/>
  <c r="VA17" i="3"/>
  <c r="UW17" i="3"/>
  <c r="US17" i="3"/>
  <c r="UO17" i="3"/>
  <c r="UK17" i="3"/>
  <c r="UG17" i="3"/>
  <c r="UC17" i="3"/>
  <c r="TY17" i="3"/>
  <c r="TU17" i="3"/>
  <c r="TQ17" i="3"/>
  <c r="TM17" i="3"/>
  <c r="TI17" i="3"/>
  <c r="TE17" i="3"/>
  <c r="TA17" i="3"/>
  <c r="SW17" i="3"/>
  <c r="SS17" i="3"/>
  <c r="SO17" i="3"/>
  <c r="SK17" i="3"/>
  <c r="SG17" i="3"/>
  <c r="SC17" i="3"/>
  <c r="RY17" i="3"/>
  <c r="RU17" i="3"/>
  <c r="RQ17" i="3"/>
  <c r="RM17" i="3"/>
  <c r="RI17" i="3"/>
  <c r="RE17" i="3"/>
  <c r="RA17" i="3"/>
  <c r="QW17" i="3"/>
  <c r="QS17" i="3"/>
  <c r="QO17" i="3"/>
  <c r="QK17" i="3"/>
  <c r="QG17" i="3"/>
  <c r="QC17" i="3"/>
  <c r="PY17" i="3"/>
  <c r="PU17" i="3"/>
  <c r="PQ17" i="3"/>
  <c r="PM17" i="3"/>
  <c r="PI17" i="3"/>
  <c r="PE17" i="3"/>
  <c r="PA17" i="3"/>
  <c r="OW17" i="3"/>
  <c r="OS17" i="3"/>
  <c r="OO17" i="3"/>
  <c r="OK17" i="3"/>
  <c r="OG17" i="3"/>
  <c r="OC17" i="3"/>
  <c r="NY17" i="3"/>
  <c r="NU17" i="3"/>
  <c r="NQ17" i="3"/>
  <c r="NM17" i="3"/>
  <c r="NI17" i="3"/>
  <c r="NE17" i="3"/>
  <c r="NA17" i="3"/>
  <c r="MW17" i="3"/>
  <c r="MS17" i="3"/>
  <c r="MO17" i="3"/>
  <c r="MK17" i="3"/>
  <c r="MG17" i="3"/>
  <c r="MC17" i="3"/>
  <c r="LY17" i="3"/>
  <c r="LU17" i="3"/>
  <c r="LQ17" i="3"/>
  <c r="LM17" i="3"/>
  <c r="LI17" i="3"/>
  <c r="LE17" i="3"/>
  <c r="LA17" i="3"/>
  <c r="KW17" i="3"/>
  <c r="KS17" i="3"/>
  <c r="KO17" i="3"/>
  <c r="KK17" i="3"/>
  <c r="KG17" i="3"/>
  <c r="KC17" i="3"/>
  <c r="JY17" i="3"/>
  <c r="JU17" i="3"/>
  <c r="JQ17" i="3"/>
  <c r="JM17" i="3"/>
  <c r="JI17" i="3"/>
  <c r="JE17" i="3"/>
  <c r="JA17" i="3"/>
  <c r="IW17" i="3"/>
  <c r="IS17" i="3"/>
  <c r="IO17" i="3"/>
  <c r="IK17" i="3"/>
  <c r="IG17" i="3"/>
  <c r="IC17" i="3"/>
  <c r="HY17" i="3"/>
  <c r="HU17" i="3"/>
  <c r="HQ17" i="3"/>
  <c r="HM17" i="3"/>
  <c r="HI17" i="3"/>
  <c r="HE17" i="3"/>
  <c r="HA17" i="3"/>
  <c r="GW17" i="3"/>
  <c r="GS17" i="3"/>
  <c r="GO17" i="3"/>
  <c r="GK17" i="3"/>
  <c r="GG17" i="3"/>
  <c r="GC17" i="3"/>
  <c r="FY17" i="3"/>
  <c r="FU17" i="3"/>
  <c r="FQ17" i="3"/>
  <c r="FM17" i="3"/>
  <c r="FI17" i="3"/>
  <c r="FE17" i="3"/>
  <c r="FA17" i="3"/>
  <c r="EW17" i="3"/>
  <c r="ES17" i="3"/>
  <c r="EO17" i="3"/>
  <c r="EK17" i="3"/>
  <c r="EG17" i="3"/>
  <c r="EC17" i="3"/>
  <c r="DY17" i="3"/>
  <c r="DU17" i="3"/>
  <c r="DQ17" i="3"/>
  <c r="DM17" i="3"/>
  <c r="DI17" i="3"/>
  <c r="DE17" i="3"/>
  <c r="DA17" i="3"/>
  <c r="CW17" i="3"/>
  <c r="CS17" i="3"/>
  <c r="CO17" i="3"/>
  <c r="CK17" i="3"/>
  <c r="CG17" i="3"/>
  <c r="CC17" i="3"/>
  <c r="BY17" i="3"/>
  <c r="BU17" i="3"/>
  <c r="BQ17" i="3"/>
  <c r="BM17" i="3"/>
  <c r="BI17" i="3"/>
  <c r="BE17" i="3"/>
  <c r="BA17" i="3"/>
  <c r="AW17" i="3"/>
  <c r="AS17" i="3"/>
  <c r="AO17" i="3"/>
  <c r="AK17" i="3"/>
  <c r="AG17" i="3"/>
  <c r="AC17" i="3"/>
  <c r="Y17" i="3"/>
  <c r="U17" i="3"/>
  <c r="Q17" i="3"/>
  <c r="M17" i="3"/>
  <c r="I17" i="3"/>
  <c r="F17" i="3"/>
  <c r="ALP17" i="3"/>
  <c r="ALL17" i="3"/>
  <c r="ALH17" i="3"/>
  <c r="ALD17" i="3"/>
  <c r="AKZ17" i="3"/>
  <c r="AKV17" i="3"/>
  <c r="AKR17" i="3"/>
  <c r="AKN17" i="3"/>
  <c r="AKJ17" i="3"/>
  <c r="AKF17" i="3"/>
  <c r="AKB17" i="3"/>
  <c r="AJX17" i="3"/>
  <c r="AJT17" i="3"/>
  <c r="AJP17" i="3"/>
  <c r="AJL17" i="3"/>
  <c r="AJH17" i="3"/>
  <c r="AJD17" i="3"/>
  <c r="AIZ17" i="3"/>
  <c r="AIV17" i="3"/>
  <c r="AIR17" i="3"/>
  <c r="AIN17" i="3"/>
  <c r="AIJ17" i="3"/>
  <c r="AIF17" i="3"/>
  <c r="AIB17" i="3"/>
  <c r="AHX17" i="3"/>
  <c r="AHT17" i="3"/>
  <c r="AHP17" i="3"/>
  <c r="AHL17" i="3"/>
  <c r="AHH17" i="3"/>
  <c r="AHD17" i="3"/>
  <c r="AGZ17" i="3"/>
  <c r="AGV17" i="3"/>
  <c r="AGR17" i="3"/>
  <c r="AGN17" i="3"/>
  <c r="AGJ17" i="3"/>
  <c r="AGF17" i="3"/>
  <c r="AGB17" i="3"/>
  <c r="AFX17" i="3"/>
  <c r="AFT17" i="3"/>
  <c r="AFP17" i="3"/>
  <c r="AFL17" i="3"/>
  <c r="AFH17" i="3"/>
  <c r="AFD17" i="3"/>
  <c r="AEZ17" i="3"/>
  <c r="AEV17" i="3"/>
  <c r="AER17" i="3"/>
  <c r="AEN17" i="3"/>
  <c r="AEJ17" i="3"/>
  <c r="AEF17" i="3"/>
  <c r="AEB17" i="3"/>
  <c r="ADX17" i="3"/>
  <c r="ADT17" i="3"/>
  <c r="ADP17" i="3"/>
  <c r="ADL17" i="3"/>
  <c r="ADH17" i="3"/>
  <c r="ADD17" i="3"/>
  <c r="ACZ17" i="3"/>
  <c r="ACV17" i="3"/>
  <c r="ACR17" i="3"/>
  <c r="ACN17" i="3"/>
  <c r="ACJ17" i="3"/>
  <c r="ACF17" i="3"/>
  <c r="ACB17" i="3"/>
  <c r="ABX17" i="3"/>
  <c r="ABT17" i="3"/>
  <c r="ABP17" i="3"/>
  <c r="ABL17" i="3"/>
  <c r="ABH17" i="3"/>
  <c r="ABD17" i="3"/>
  <c r="AAZ17" i="3"/>
  <c r="AAV17" i="3"/>
  <c r="AAR17" i="3"/>
  <c r="AAN17" i="3"/>
  <c r="AAJ17" i="3"/>
  <c r="AAF17" i="3"/>
  <c r="AAB17" i="3"/>
  <c r="ZX17" i="3"/>
  <c r="ZT17" i="3"/>
  <c r="ZP17" i="3"/>
  <c r="ZL17" i="3"/>
  <c r="ZH17" i="3"/>
  <c r="ZD17" i="3"/>
  <c r="YZ17" i="3"/>
  <c r="YV17" i="3"/>
  <c r="YR17" i="3"/>
  <c r="YN17" i="3"/>
  <c r="YJ17" i="3"/>
  <c r="YF17" i="3"/>
  <c r="YB17" i="3"/>
  <c r="XX17" i="3"/>
  <c r="XT17" i="3"/>
  <c r="XP17" i="3"/>
  <c r="XL17" i="3"/>
  <c r="XH17" i="3"/>
  <c r="XD17" i="3"/>
  <c r="WZ17" i="3"/>
  <c r="WV17" i="3"/>
  <c r="WR17" i="3"/>
  <c r="WN17" i="3"/>
  <c r="WJ17" i="3"/>
  <c r="WF17" i="3"/>
  <c r="WB17" i="3"/>
  <c r="VX17" i="3"/>
  <c r="VT17" i="3"/>
  <c r="VP17" i="3"/>
  <c r="VL17" i="3"/>
  <c r="VH17" i="3"/>
  <c r="VD17" i="3"/>
  <c r="UZ17" i="3"/>
  <c r="UV17" i="3"/>
  <c r="UR17" i="3"/>
  <c r="UN17" i="3"/>
  <c r="UJ17" i="3"/>
  <c r="UF17" i="3"/>
  <c r="UB17" i="3"/>
  <c r="TX17" i="3"/>
  <c r="TT17" i="3"/>
  <c r="TP17" i="3"/>
  <c r="TL17" i="3"/>
  <c r="TH17" i="3"/>
  <c r="TD17" i="3"/>
  <c r="SZ17" i="3"/>
  <c r="SV17" i="3"/>
  <c r="SR17" i="3"/>
  <c r="SN17" i="3"/>
  <c r="SJ17" i="3"/>
  <c r="SF17" i="3"/>
  <c r="SB17" i="3"/>
  <c r="RX17" i="3"/>
  <c r="RT17" i="3"/>
  <c r="RP17" i="3"/>
  <c r="RL17" i="3"/>
  <c r="RH17" i="3"/>
  <c r="RD17" i="3"/>
  <c r="QZ17" i="3"/>
  <c r="QV17" i="3"/>
  <c r="QR17" i="3"/>
  <c r="QN17" i="3"/>
  <c r="QJ17" i="3"/>
  <c r="QF17" i="3"/>
  <c r="QB17" i="3"/>
  <c r="PX17" i="3"/>
  <c r="PT17" i="3"/>
  <c r="PP17" i="3"/>
  <c r="PL17" i="3"/>
  <c r="PH17" i="3"/>
  <c r="PD17" i="3"/>
  <c r="OZ17" i="3"/>
  <c r="OV17" i="3"/>
  <c r="OR17" i="3"/>
  <c r="ON17" i="3"/>
  <c r="OJ17" i="3"/>
  <c r="OF17" i="3"/>
  <c r="OB17" i="3"/>
  <c r="NX17" i="3"/>
  <c r="NT17" i="3"/>
  <c r="NP17" i="3"/>
  <c r="NL17" i="3"/>
  <c r="NH17" i="3"/>
  <c r="ND17" i="3"/>
  <c r="MZ17" i="3"/>
  <c r="MV17" i="3"/>
  <c r="MR17" i="3"/>
  <c r="MN17" i="3"/>
  <c r="MJ17" i="3"/>
  <c r="MF17" i="3"/>
  <c r="MB17" i="3"/>
  <c r="LX17" i="3"/>
  <c r="LT17" i="3"/>
  <c r="LP17" i="3"/>
  <c r="LL17" i="3"/>
  <c r="LH17" i="3"/>
  <c r="LD17" i="3"/>
  <c r="KZ17" i="3"/>
  <c r="KV17" i="3"/>
  <c r="KR17" i="3"/>
  <c r="KN17" i="3"/>
  <c r="KJ17" i="3"/>
  <c r="KF17" i="3"/>
  <c r="KB17" i="3"/>
  <c r="JX17" i="3"/>
  <c r="JT17" i="3"/>
  <c r="JP17" i="3"/>
  <c r="JL17" i="3"/>
  <c r="JH17" i="3"/>
  <c r="JD17" i="3"/>
  <c r="IZ17" i="3"/>
  <c r="IV17" i="3"/>
  <c r="IR17" i="3"/>
  <c r="IN17" i="3"/>
  <c r="IJ17" i="3"/>
  <c r="IF17" i="3"/>
  <c r="IB17" i="3"/>
  <c r="HX17" i="3"/>
  <c r="HT17" i="3"/>
  <c r="HP17" i="3"/>
  <c r="HL17" i="3"/>
  <c r="HH17" i="3"/>
  <c r="HD17" i="3"/>
  <c r="GZ17" i="3"/>
  <c r="GV17" i="3"/>
  <c r="GR17" i="3"/>
  <c r="GN17" i="3"/>
  <c r="GJ17" i="3"/>
  <c r="GF17" i="3"/>
  <c r="GB17" i="3"/>
  <c r="FX17" i="3"/>
  <c r="FT17" i="3"/>
  <c r="FP17" i="3"/>
  <c r="FL17" i="3"/>
  <c r="FH17" i="3"/>
  <c r="FD17" i="3"/>
  <c r="EZ17" i="3"/>
  <c r="EV17" i="3"/>
  <c r="ER17" i="3"/>
  <c r="EN17" i="3"/>
  <c r="EJ17" i="3"/>
  <c r="EF17" i="3"/>
  <c r="EB17" i="3"/>
  <c r="DX17" i="3"/>
  <c r="DT17" i="3"/>
  <c r="DP17" i="3"/>
  <c r="DL17" i="3"/>
  <c r="DH17" i="3"/>
  <c r="DD17" i="3"/>
  <c r="CZ17" i="3"/>
  <c r="CV17" i="3"/>
  <c r="CR17" i="3"/>
  <c r="CN17" i="3"/>
  <c r="CJ17" i="3"/>
  <c r="CF17" i="3"/>
  <c r="CB17" i="3"/>
  <c r="BX17" i="3"/>
  <c r="BT17" i="3"/>
  <c r="BP17" i="3"/>
  <c r="BL17" i="3"/>
  <c r="BH17" i="3"/>
  <c r="BD17" i="3"/>
  <c r="AZ17" i="3"/>
  <c r="AV17" i="3"/>
  <c r="AR17" i="3"/>
  <c r="AN17" i="3"/>
  <c r="AJ17" i="3"/>
  <c r="AF17" i="3"/>
  <c r="AB17" i="3"/>
  <c r="X17" i="3"/>
  <c r="T17" i="3"/>
  <c r="P17" i="3"/>
  <c r="L17" i="3"/>
  <c r="H17" i="3"/>
  <c r="L3" i="3"/>
  <c r="AB3" i="3"/>
  <c r="AR3" i="3"/>
  <c r="BH3" i="3"/>
  <c r="BX3" i="3"/>
  <c r="CN3" i="3"/>
  <c r="DD3" i="3"/>
  <c r="DT3" i="3"/>
  <c r="EJ3" i="3"/>
  <c r="EZ3" i="3"/>
  <c r="FP3" i="3"/>
  <c r="GF3" i="3"/>
  <c r="GV3" i="3"/>
  <c r="HL3" i="3"/>
  <c r="IB3" i="3"/>
  <c r="IR3" i="3"/>
  <c r="JH3" i="3"/>
  <c r="JX3" i="3"/>
  <c r="KN3" i="3"/>
  <c r="LD3" i="3"/>
  <c r="LT3" i="3"/>
  <c r="MJ3" i="3"/>
  <c r="MZ3" i="3"/>
  <c r="NP3" i="3"/>
  <c r="OF3" i="3"/>
  <c r="OV3" i="3"/>
  <c r="PL3" i="3"/>
  <c r="QB3" i="3"/>
  <c r="QR3" i="3"/>
  <c r="RH3" i="3"/>
  <c r="RX3" i="3"/>
  <c r="SN3" i="3"/>
  <c r="TD3" i="3"/>
  <c r="TT3" i="3"/>
  <c r="UJ3" i="3"/>
  <c r="UZ3" i="3"/>
  <c r="VP3" i="3"/>
  <c r="WF3" i="3"/>
  <c r="WV3" i="3"/>
  <c r="XL3" i="3"/>
  <c r="YB3" i="3"/>
  <c r="YR3" i="3"/>
  <c r="ZH3" i="3"/>
  <c r="ZX3" i="3"/>
  <c r="AAN3" i="3"/>
  <c r="ABD3" i="3"/>
  <c r="ABT3" i="3"/>
  <c r="ACJ3" i="3"/>
  <c r="ACZ3" i="3"/>
  <c r="ADP3" i="3"/>
  <c r="AEF3" i="3"/>
  <c r="AEV3" i="3"/>
  <c r="AFL3" i="3"/>
  <c r="AGB3" i="3"/>
  <c r="AGR3" i="3"/>
  <c r="AHH3" i="3"/>
  <c r="AHX3" i="3"/>
  <c r="AIN3" i="3"/>
  <c r="AJD3" i="3"/>
  <c r="AJT3" i="3"/>
  <c r="AKJ3" i="3"/>
  <c r="AKZ3" i="3"/>
  <c r="ALP3" i="3"/>
  <c r="O17" i="3"/>
  <c r="AE17" i="3"/>
  <c r="AU17" i="3"/>
  <c r="BK17" i="3"/>
  <c r="CA17" i="3"/>
  <c r="CQ17" i="3"/>
  <c r="DG17" i="3"/>
  <c r="DW17" i="3"/>
  <c r="EM17" i="3"/>
  <c r="FC17" i="3"/>
  <c r="FS17" i="3"/>
  <c r="GI17" i="3"/>
  <c r="GY17" i="3"/>
  <c r="HO17" i="3"/>
  <c r="IE17" i="3"/>
  <c r="IU17" i="3"/>
  <c r="JK17" i="3"/>
  <c r="KA17" i="3"/>
  <c r="KQ17" i="3"/>
  <c r="LG17" i="3"/>
  <c r="LW17" i="3"/>
  <c r="MM17" i="3"/>
  <c r="NC17" i="3"/>
  <c r="NS17" i="3"/>
  <c r="OI17" i="3"/>
  <c r="OY17" i="3"/>
  <c r="PO17" i="3"/>
  <c r="QE17" i="3"/>
  <c r="QU17" i="3"/>
  <c r="RK17" i="3"/>
  <c r="SA17" i="3"/>
  <c r="SQ17" i="3"/>
  <c r="TG17" i="3"/>
  <c r="TW17" i="3"/>
  <c r="UM17" i="3"/>
  <c r="VC17" i="3"/>
  <c r="VS17" i="3"/>
  <c r="WI17" i="3"/>
  <c r="WY17" i="3"/>
  <c r="XO17" i="3"/>
  <c r="YE17" i="3"/>
  <c r="YU17" i="3"/>
  <c r="ZK17" i="3"/>
  <c r="AAA17" i="3"/>
  <c r="AAQ17" i="3"/>
  <c r="ABG17" i="3"/>
  <c r="ABW17" i="3"/>
  <c r="ACM17" i="3"/>
  <c r="ADC17" i="3"/>
  <c r="ADS17" i="3"/>
  <c r="AEI17" i="3"/>
  <c r="AEY17" i="3"/>
  <c r="AFO17" i="3"/>
  <c r="AGE17" i="3"/>
  <c r="AGU17" i="3"/>
  <c r="AHK17" i="3"/>
  <c r="AIA17" i="3"/>
  <c r="AIQ17" i="3"/>
  <c r="AJG17" i="3"/>
  <c r="AJW17" i="3"/>
  <c r="AKM17" i="3"/>
  <c r="ALC17" i="3"/>
  <c r="ALQ18" i="3"/>
  <c r="ALM18" i="3"/>
  <c r="ALI18" i="3"/>
  <c r="ALE18" i="3"/>
  <c r="ALA18" i="3"/>
  <c r="AKW18" i="3"/>
  <c r="AKS18" i="3"/>
  <c r="AKO18" i="3"/>
  <c r="AKK18" i="3"/>
  <c r="AKG18" i="3"/>
  <c r="AKC18" i="3"/>
  <c r="AJY18" i="3"/>
  <c r="AJU18" i="3"/>
  <c r="AJQ18" i="3"/>
  <c r="AJM18" i="3"/>
  <c r="AJI18" i="3"/>
  <c r="AJE18" i="3"/>
  <c r="AJA18" i="3"/>
  <c r="AIW18" i="3"/>
  <c r="AIS18" i="3"/>
  <c r="AIO18" i="3"/>
  <c r="AIK18" i="3"/>
  <c r="AIG18" i="3"/>
  <c r="AIC18" i="3"/>
  <c r="AHY18" i="3"/>
  <c r="AHU18" i="3"/>
  <c r="AHQ18" i="3"/>
  <c r="AHM18" i="3"/>
  <c r="AHI18" i="3"/>
  <c r="AHE18" i="3"/>
  <c r="AHA18" i="3"/>
  <c r="AGW18" i="3"/>
  <c r="AGS18" i="3"/>
  <c r="AGO18" i="3"/>
  <c r="AGK18" i="3"/>
  <c r="AGG18" i="3"/>
  <c r="AGC18" i="3"/>
  <c r="AFY18" i="3"/>
  <c r="AFU18" i="3"/>
  <c r="AFQ18" i="3"/>
  <c r="AFM18" i="3"/>
  <c r="AFI18" i="3"/>
  <c r="AFE18" i="3"/>
  <c r="AFA18" i="3"/>
  <c r="AEW18" i="3"/>
  <c r="AES18" i="3"/>
  <c r="AEO18" i="3"/>
  <c r="AEK18" i="3"/>
  <c r="AEG18" i="3"/>
  <c r="AEC18" i="3"/>
  <c r="ADY18" i="3"/>
  <c r="ADU18" i="3"/>
  <c r="ADQ18" i="3"/>
  <c r="ADM18" i="3"/>
  <c r="ADI18" i="3"/>
  <c r="ADE18" i="3"/>
  <c r="ADA18" i="3"/>
  <c r="ACW18" i="3"/>
  <c r="ACS18" i="3"/>
  <c r="ACO18" i="3"/>
  <c r="ACK18" i="3"/>
  <c r="ACG18" i="3"/>
  <c r="ACC18" i="3"/>
  <c r="ABY18" i="3"/>
  <c r="ABU18" i="3"/>
  <c r="ABQ18" i="3"/>
  <c r="ABM18" i="3"/>
  <c r="ABI18" i="3"/>
  <c r="ABE18" i="3"/>
  <c r="ABA18" i="3"/>
  <c r="AAW18" i="3"/>
  <c r="AAS18" i="3"/>
  <c r="AAO18" i="3"/>
  <c r="AAK18" i="3"/>
  <c r="AAG18" i="3"/>
  <c r="AAC18" i="3"/>
  <c r="ZY18" i="3"/>
  <c r="ZU18" i="3"/>
  <c r="ZQ18" i="3"/>
  <c r="ZM18" i="3"/>
  <c r="ZI18" i="3"/>
  <c r="ZE18" i="3"/>
  <c r="ZA18" i="3"/>
  <c r="YW18" i="3"/>
  <c r="YS18" i="3"/>
  <c r="YO18" i="3"/>
  <c r="YK18" i="3"/>
  <c r="YG18" i="3"/>
  <c r="YC18" i="3"/>
  <c r="XY18" i="3"/>
  <c r="XU18" i="3"/>
  <c r="XQ18" i="3"/>
  <c r="XM18" i="3"/>
  <c r="XI18" i="3"/>
  <c r="XE18" i="3"/>
  <c r="XA18" i="3"/>
  <c r="WW18" i="3"/>
  <c r="WS18" i="3"/>
  <c r="WO18" i="3"/>
  <c r="WK18" i="3"/>
  <c r="WG18" i="3"/>
  <c r="WC18" i="3"/>
  <c r="VY18" i="3"/>
  <c r="VU18" i="3"/>
  <c r="VQ18" i="3"/>
  <c r="VM18" i="3"/>
  <c r="VI18" i="3"/>
  <c r="VE18" i="3"/>
  <c r="VA18" i="3"/>
  <c r="UW18" i="3"/>
  <c r="US18" i="3"/>
  <c r="UO18" i="3"/>
  <c r="UK18" i="3"/>
  <c r="UG18" i="3"/>
  <c r="UC18" i="3"/>
  <c r="TY18" i="3"/>
  <c r="TU18" i="3"/>
  <c r="TQ18" i="3"/>
  <c r="TM18" i="3"/>
  <c r="TI18" i="3"/>
  <c r="TE18" i="3"/>
  <c r="TA18" i="3"/>
  <c r="SW18" i="3"/>
  <c r="SS18" i="3"/>
  <c r="SO18" i="3"/>
  <c r="ALL18" i="3"/>
  <c r="ALG18" i="3"/>
  <c r="ALB18" i="3"/>
  <c r="AKV18" i="3"/>
  <c r="AKQ18" i="3"/>
  <c r="AKL18" i="3"/>
  <c r="AKF18" i="3"/>
  <c r="AKA18" i="3"/>
  <c r="AJV18" i="3"/>
  <c r="AJP18" i="3"/>
  <c r="AJK18" i="3"/>
  <c r="AJF18" i="3"/>
  <c r="AIZ18" i="3"/>
  <c r="AIU18" i="3"/>
  <c r="AIP18" i="3"/>
  <c r="AIJ18" i="3"/>
  <c r="AIE18" i="3"/>
  <c r="AHZ18" i="3"/>
  <c r="AHT18" i="3"/>
  <c r="AHO18" i="3"/>
  <c r="AHJ18" i="3"/>
  <c r="AHD18" i="3"/>
  <c r="AGY18" i="3"/>
  <c r="AGT18" i="3"/>
  <c r="AGN18" i="3"/>
  <c r="AGI18" i="3"/>
  <c r="AGD18" i="3"/>
  <c r="AFX18" i="3"/>
  <c r="AFS18" i="3"/>
  <c r="AFN18" i="3"/>
  <c r="AFH18" i="3"/>
  <c r="AFC18" i="3"/>
  <c r="AEX18" i="3"/>
  <c r="AER18" i="3"/>
  <c r="AEM18" i="3"/>
  <c r="AEH18" i="3"/>
  <c r="AEB18" i="3"/>
  <c r="ADW18" i="3"/>
  <c r="ADR18" i="3"/>
  <c r="ADL18" i="3"/>
  <c r="ADG18" i="3"/>
  <c r="ADB18" i="3"/>
  <c r="ACV18" i="3"/>
  <c r="ACQ18" i="3"/>
  <c r="ACL18" i="3"/>
  <c r="ACF18" i="3"/>
  <c r="ACA18" i="3"/>
  <c r="ABV18" i="3"/>
  <c r="ABP18" i="3"/>
  <c r="ABK18" i="3"/>
  <c r="ABF18" i="3"/>
  <c r="AAZ18" i="3"/>
  <c r="AAU18" i="3"/>
  <c r="AAP18" i="3"/>
  <c r="AAJ18" i="3"/>
  <c r="AAE18" i="3"/>
  <c r="ZZ18" i="3"/>
  <c r="ZT18" i="3"/>
  <c r="ZO18" i="3"/>
  <c r="ZJ18" i="3"/>
  <c r="ZD18" i="3"/>
  <c r="YY18" i="3"/>
  <c r="YT18" i="3"/>
  <c r="YN18" i="3"/>
  <c r="YI18" i="3"/>
  <c r="YD18" i="3"/>
  <c r="XX18" i="3"/>
  <c r="XS18" i="3"/>
  <c r="XN18" i="3"/>
  <c r="XH18" i="3"/>
  <c r="XC18" i="3"/>
  <c r="WX18" i="3"/>
  <c r="WR18" i="3"/>
  <c r="WM18" i="3"/>
  <c r="WH18" i="3"/>
  <c r="WB18" i="3"/>
  <c r="VW18" i="3"/>
  <c r="VR18" i="3"/>
  <c r="VL18" i="3"/>
  <c r="VG18" i="3"/>
  <c r="VB18" i="3"/>
  <c r="UV18" i="3"/>
  <c r="UQ18" i="3"/>
  <c r="UL18" i="3"/>
  <c r="UF18" i="3"/>
  <c r="UA18" i="3"/>
  <c r="TV18" i="3"/>
  <c r="TP18" i="3"/>
  <c r="TK18" i="3"/>
  <c r="TF18" i="3"/>
  <c r="SZ18" i="3"/>
  <c r="SU18" i="3"/>
  <c r="SP18" i="3"/>
  <c r="SK18" i="3"/>
  <c r="SG18" i="3"/>
  <c r="SC18" i="3"/>
  <c r="RY18" i="3"/>
  <c r="RU18" i="3"/>
  <c r="RQ18" i="3"/>
  <c r="RM18" i="3"/>
  <c r="RI18" i="3"/>
  <c r="RE18" i="3"/>
  <c r="RA18" i="3"/>
  <c r="QW18" i="3"/>
  <c r="QS18" i="3"/>
  <c r="QO18" i="3"/>
  <c r="QK18" i="3"/>
  <c r="QG18" i="3"/>
  <c r="QC18" i="3"/>
  <c r="PY18" i="3"/>
  <c r="PU18" i="3"/>
  <c r="PQ18" i="3"/>
  <c r="PM18" i="3"/>
  <c r="PI18" i="3"/>
  <c r="PE18" i="3"/>
  <c r="PA18" i="3"/>
  <c r="OW18" i="3"/>
  <c r="OS18" i="3"/>
  <c r="OO18" i="3"/>
  <c r="OK18" i="3"/>
  <c r="OG18" i="3"/>
  <c r="OC18" i="3"/>
  <c r="NY18" i="3"/>
  <c r="NU18" i="3"/>
  <c r="NQ18" i="3"/>
  <c r="NM18" i="3"/>
  <c r="NI18" i="3"/>
  <c r="NE18" i="3"/>
  <c r="NA18" i="3"/>
  <c r="MW18" i="3"/>
  <c r="MS18" i="3"/>
  <c r="MO18" i="3"/>
  <c r="MK18" i="3"/>
  <c r="MG18" i="3"/>
  <c r="MC18" i="3"/>
  <c r="LY18" i="3"/>
  <c r="LU18" i="3"/>
  <c r="LQ18" i="3"/>
  <c r="LM18" i="3"/>
  <c r="LI18" i="3"/>
  <c r="LE18" i="3"/>
  <c r="LA18" i="3"/>
  <c r="KW18" i="3"/>
  <c r="KS18" i="3"/>
  <c r="KO18" i="3"/>
  <c r="KK18" i="3"/>
  <c r="KG18" i="3"/>
  <c r="KC18" i="3"/>
  <c r="JY18" i="3"/>
  <c r="JU18" i="3"/>
  <c r="JQ18" i="3"/>
  <c r="JM18" i="3"/>
  <c r="JI18" i="3"/>
  <c r="JE18" i="3"/>
  <c r="JA18" i="3"/>
  <c r="IW18" i="3"/>
  <c r="IS18" i="3"/>
  <c r="IO18" i="3"/>
  <c r="IK18" i="3"/>
  <c r="IG18" i="3"/>
  <c r="IC18" i="3"/>
  <c r="HY18" i="3"/>
  <c r="HU18" i="3"/>
  <c r="HQ18" i="3"/>
  <c r="HM18" i="3"/>
  <c r="HI18" i="3"/>
  <c r="HE18" i="3"/>
  <c r="HA18" i="3"/>
  <c r="GW18" i="3"/>
  <c r="GS18" i="3"/>
  <c r="GO18" i="3"/>
  <c r="GK18" i="3"/>
  <c r="GG18" i="3"/>
  <c r="GC18" i="3"/>
  <c r="FY18" i="3"/>
  <c r="FU18" i="3"/>
  <c r="FQ18" i="3"/>
  <c r="FM18" i="3"/>
  <c r="FI18" i="3"/>
  <c r="FE18" i="3"/>
  <c r="FA18" i="3"/>
  <c r="EW18" i="3"/>
  <c r="ES18" i="3"/>
  <c r="EO18" i="3"/>
  <c r="EK18" i="3"/>
  <c r="EG18" i="3"/>
  <c r="EC18" i="3"/>
  <c r="DY18" i="3"/>
  <c r="DU18" i="3"/>
  <c r="DQ18" i="3"/>
  <c r="DM18" i="3"/>
  <c r="DI18" i="3"/>
  <c r="DE18" i="3"/>
  <c r="DA18" i="3"/>
  <c r="CW18" i="3"/>
  <c r="CS18" i="3"/>
  <c r="CO18" i="3"/>
  <c r="CK18" i="3"/>
  <c r="CG18" i="3"/>
  <c r="CC18" i="3"/>
  <c r="BY18" i="3"/>
  <c r="BU18" i="3"/>
  <c r="BQ18" i="3"/>
  <c r="BM18" i="3"/>
  <c r="BI18" i="3"/>
  <c r="BE18" i="3"/>
  <c r="BA18" i="3"/>
  <c r="AW18" i="3"/>
  <c r="AS18" i="3"/>
  <c r="AO18" i="3"/>
  <c r="AK18" i="3"/>
  <c r="AG18" i="3"/>
  <c r="AC18" i="3"/>
  <c r="Y18" i="3"/>
  <c r="U18" i="3"/>
  <c r="Q18" i="3"/>
  <c r="M18" i="3"/>
  <c r="I18" i="3"/>
  <c r="F18" i="3"/>
  <c r="ALP18" i="3"/>
  <c r="ALK18" i="3"/>
  <c r="ALF18" i="3"/>
  <c r="AKZ18" i="3"/>
  <c r="AKU18" i="3"/>
  <c r="AKP18" i="3"/>
  <c r="AKJ18" i="3"/>
  <c r="AKE18" i="3"/>
  <c r="AJZ18" i="3"/>
  <c r="AJT18" i="3"/>
  <c r="AJO18" i="3"/>
  <c r="AJJ18" i="3"/>
  <c r="AJD18" i="3"/>
  <c r="AIY18" i="3"/>
  <c r="AIT18" i="3"/>
  <c r="AIN18" i="3"/>
  <c r="AII18" i="3"/>
  <c r="AID18" i="3"/>
  <c r="AHX18" i="3"/>
  <c r="AHS18" i="3"/>
  <c r="AHN18" i="3"/>
  <c r="AHH18" i="3"/>
  <c r="AHC18" i="3"/>
  <c r="AGX18" i="3"/>
  <c r="AGR18" i="3"/>
  <c r="AGM18" i="3"/>
  <c r="AGH18" i="3"/>
  <c r="AGB18" i="3"/>
  <c r="AFW18" i="3"/>
  <c r="AFR18" i="3"/>
  <c r="AFL18" i="3"/>
  <c r="AFG18" i="3"/>
  <c r="AFB18" i="3"/>
  <c r="AEV18" i="3"/>
  <c r="AEQ18" i="3"/>
  <c r="AEL18" i="3"/>
  <c r="AEF18" i="3"/>
  <c r="AEA18" i="3"/>
  <c r="ADV18" i="3"/>
  <c r="ADP18" i="3"/>
  <c r="ADK18" i="3"/>
  <c r="ADF18" i="3"/>
  <c r="ACZ18" i="3"/>
  <c r="ACU18" i="3"/>
  <c r="ACP18" i="3"/>
  <c r="ACJ18" i="3"/>
  <c r="ACE18" i="3"/>
  <c r="ABZ18" i="3"/>
  <c r="ABT18" i="3"/>
  <c r="ABO18" i="3"/>
  <c r="ABJ18" i="3"/>
  <c r="ABD18" i="3"/>
  <c r="AAY18" i="3"/>
  <c r="AAT18" i="3"/>
  <c r="AAN18" i="3"/>
  <c r="AAI18" i="3"/>
  <c r="AAD18" i="3"/>
  <c r="ZX18" i="3"/>
  <c r="ZS18" i="3"/>
  <c r="ZN18" i="3"/>
  <c r="ZH18" i="3"/>
  <c r="ZC18" i="3"/>
  <c r="YX18" i="3"/>
  <c r="YR18" i="3"/>
  <c r="YM18" i="3"/>
  <c r="YH18" i="3"/>
  <c r="YB18" i="3"/>
  <c r="XW18" i="3"/>
  <c r="XR18" i="3"/>
  <c r="XL18" i="3"/>
  <c r="XG18" i="3"/>
  <c r="XB18" i="3"/>
  <c r="WV18" i="3"/>
  <c r="WQ18" i="3"/>
  <c r="WL18" i="3"/>
  <c r="WF18" i="3"/>
  <c r="WA18" i="3"/>
  <c r="VV18" i="3"/>
  <c r="VP18" i="3"/>
  <c r="VK18" i="3"/>
  <c r="VF18" i="3"/>
  <c r="UZ18" i="3"/>
  <c r="UU18" i="3"/>
  <c r="UP18" i="3"/>
  <c r="UJ18" i="3"/>
  <c r="UE18" i="3"/>
  <c r="TZ18" i="3"/>
  <c r="TT18" i="3"/>
  <c r="TO18" i="3"/>
  <c r="TJ18" i="3"/>
  <c r="TD18" i="3"/>
  <c r="SY18" i="3"/>
  <c r="ST18" i="3"/>
  <c r="SN18" i="3"/>
  <c r="SJ18" i="3"/>
  <c r="SF18" i="3"/>
  <c r="SB18" i="3"/>
  <c r="RX18" i="3"/>
  <c r="RT18" i="3"/>
  <c r="RP18" i="3"/>
  <c r="RL18" i="3"/>
  <c r="RH18" i="3"/>
  <c r="RD18" i="3"/>
  <c r="QZ18" i="3"/>
  <c r="QV18" i="3"/>
  <c r="QR18" i="3"/>
  <c r="QN18" i="3"/>
  <c r="QJ18" i="3"/>
  <c r="QF18" i="3"/>
  <c r="QB18" i="3"/>
  <c r="PX18" i="3"/>
  <c r="PT18" i="3"/>
  <c r="PP18" i="3"/>
  <c r="PL18" i="3"/>
  <c r="PH18" i="3"/>
  <c r="PD18" i="3"/>
  <c r="OZ18" i="3"/>
  <c r="OV18" i="3"/>
  <c r="OR18" i="3"/>
  <c r="ON18" i="3"/>
  <c r="OJ18" i="3"/>
  <c r="OF18" i="3"/>
  <c r="OB18" i="3"/>
  <c r="NX18" i="3"/>
  <c r="NT18" i="3"/>
  <c r="NP18" i="3"/>
  <c r="NL18" i="3"/>
  <c r="NH18" i="3"/>
  <c r="ND18" i="3"/>
  <c r="MZ18" i="3"/>
  <c r="MV18" i="3"/>
  <c r="MR18" i="3"/>
  <c r="MN18" i="3"/>
  <c r="MJ18" i="3"/>
  <c r="MF18" i="3"/>
  <c r="MB18" i="3"/>
  <c r="LX18" i="3"/>
  <c r="LT18" i="3"/>
  <c r="LP18" i="3"/>
  <c r="LL18" i="3"/>
  <c r="LH18" i="3"/>
  <c r="LD18" i="3"/>
  <c r="KZ18" i="3"/>
  <c r="KV18" i="3"/>
  <c r="KR18" i="3"/>
  <c r="KN18" i="3"/>
  <c r="KJ18" i="3"/>
  <c r="KF18" i="3"/>
  <c r="KB18" i="3"/>
  <c r="JX18" i="3"/>
  <c r="JT18" i="3"/>
  <c r="JP18" i="3"/>
  <c r="JL18" i="3"/>
  <c r="JH18" i="3"/>
  <c r="JD18" i="3"/>
  <c r="IZ18" i="3"/>
  <c r="IV18" i="3"/>
  <c r="IR18" i="3"/>
  <c r="IN18" i="3"/>
  <c r="IJ18" i="3"/>
  <c r="IF18" i="3"/>
  <c r="IB18" i="3"/>
  <c r="HX18" i="3"/>
  <c r="HT18" i="3"/>
  <c r="HP18" i="3"/>
  <c r="HL18" i="3"/>
  <c r="HH18" i="3"/>
  <c r="HD18" i="3"/>
  <c r="GZ18" i="3"/>
  <c r="GV18" i="3"/>
  <c r="GR18" i="3"/>
  <c r="GN18" i="3"/>
  <c r="GJ18" i="3"/>
  <c r="GF18" i="3"/>
  <c r="GB18" i="3"/>
  <c r="FX18" i="3"/>
  <c r="FT18" i="3"/>
  <c r="FP18" i="3"/>
  <c r="FL18" i="3"/>
  <c r="FH18" i="3"/>
  <c r="FD18" i="3"/>
  <c r="EZ18" i="3"/>
  <c r="EV18" i="3"/>
  <c r="ER18" i="3"/>
  <c r="EN18" i="3"/>
  <c r="EJ18" i="3"/>
  <c r="EF18" i="3"/>
  <c r="EB18" i="3"/>
  <c r="DX18" i="3"/>
  <c r="DT18" i="3"/>
  <c r="DP18" i="3"/>
  <c r="DL18" i="3"/>
  <c r="DH18" i="3"/>
  <c r="DD18" i="3"/>
  <c r="CZ18" i="3"/>
  <c r="CV18" i="3"/>
  <c r="CR18" i="3"/>
  <c r="CN18" i="3"/>
  <c r="CJ18" i="3"/>
  <c r="CF18" i="3"/>
  <c r="CB18" i="3"/>
  <c r="BX18" i="3"/>
  <c r="BT18" i="3"/>
  <c r="BP18" i="3"/>
  <c r="BL18" i="3"/>
  <c r="BH18" i="3"/>
  <c r="BD18" i="3"/>
  <c r="AZ18" i="3"/>
  <c r="AV18" i="3"/>
  <c r="AR18" i="3"/>
  <c r="AN18" i="3"/>
  <c r="AJ18" i="3"/>
  <c r="AF18" i="3"/>
  <c r="AB18" i="3"/>
  <c r="X18" i="3"/>
  <c r="T18" i="3"/>
  <c r="P18" i="3"/>
  <c r="L18" i="3"/>
  <c r="H18" i="3"/>
  <c r="ALO18" i="3"/>
  <c r="ALJ18" i="3"/>
  <c r="ALD18" i="3"/>
  <c r="AKY18" i="3"/>
  <c r="AKT18" i="3"/>
  <c r="AKN18" i="3"/>
  <c r="AKI18" i="3"/>
  <c r="AKD18" i="3"/>
  <c r="AJX18" i="3"/>
  <c r="AJS18" i="3"/>
  <c r="AJN18" i="3"/>
  <c r="AJH18" i="3"/>
  <c r="AJC18" i="3"/>
  <c r="AIX18" i="3"/>
  <c r="AIR18" i="3"/>
  <c r="AIM18" i="3"/>
  <c r="AIH18" i="3"/>
  <c r="AIB18" i="3"/>
  <c r="AHW18" i="3"/>
  <c r="AHR18" i="3"/>
  <c r="AHL18" i="3"/>
  <c r="AHG18" i="3"/>
  <c r="AHB18" i="3"/>
  <c r="AGV18" i="3"/>
  <c r="AGQ18" i="3"/>
  <c r="AGL18" i="3"/>
  <c r="AGF18" i="3"/>
  <c r="AGA18" i="3"/>
  <c r="AFV18" i="3"/>
  <c r="AFP18" i="3"/>
  <c r="AFK18" i="3"/>
  <c r="AFF18" i="3"/>
  <c r="AEZ18" i="3"/>
  <c r="AEU18" i="3"/>
  <c r="AEP18" i="3"/>
  <c r="AEJ18" i="3"/>
  <c r="AEE18" i="3"/>
  <c r="ADZ18" i="3"/>
  <c r="ADT18" i="3"/>
  <c r="ADO18" i="3"/>
  <c r="ADJ18" i="3"/>
  <c r="ADD18" i="3"/>
  <c r="ACY18" i="3"/>
  <c r="ACT18" i="3"/>
  <c r="ACN18" i="3"/>
  <c r="ACI18" i="3"/>
  <c r="ACD18" i="3"/>
  <c r="ABX18" i="3"/>
  <c r="ABS18" i="3"/>
  <c r="ABN18" i="3"/>
  <c r="ABH18" i="3"/>
  <c r="ABC18" i="3"/>
  <c r="AAX18" i="3"/>
  <c r="AAR18" i="3"/>
  <c r="AAM18" i="3"/>
  <c r="AAH18" i="3"/>
  <c r="AAB18" i="3"/>
  <c r="ZW18" i="3"/>
  <c r="ZR18" i="3"/>
  <c r="ZL18" i="3"/>
  <c r="ZG18" i="3"/>
  <c r="ZB18" i="3"/>
  <c r="YV18" i="3"/>
  <c r="YQ18" i="3"/>
  <c r="YL18" i="3"/>
  <c r="YF18" i="3"/>
  <c r="YA18" i="3"/>
  <c r="XV18" i="3"/>
  <c r="XP18" i="3"/>
  <c r="XK18" i="3"/>
  <c r="XF18" i="3"/>
  <c r="WZ18" i="3"/>
  <c r="WU18" i="3"/>
  <c r="WP18" i="3"/>
  <c r="WJ18" i="3"/>
  <c r="WE18" i="3"/>
  <c r="VZ18" i="3"/>
  <c r="VT18" i="3"/>
  <c r="VO18" i="3"/>
  <c r="VJ18" i="3"/>
  <c r="VD18" i="3"/>
  <c r="UY18" i="3"/>
  <c r="UT18" i="3"/>
  <c r="UN18" i="3"/>
  <c r="UI18" i="3"/>
  <c r="UD18" i="3"/>
  <c r="TX18" i="3"/>
  <c r="TS18" i="3"/>
  <c r="TN18" i="3"/>
  <c r="TH18" i="3"/>
  <c r="TC18" i="3"/>
  <c r="SX18" i="3"/>
  <c r="SR18" i="3"/>
  <c r="SM18" i="3"/>
  <c r="SI18" i="3"/>
  <c r="SE18" i="3"/>
  <c r="SA18" i="3"/>
  <c r="RW18" i="3"/>
  <c r="RS18" i="3"/>
  <c r="RO18" i="3"/>
  <c r="RK18" i="3"/>
  <c r="RG18" i="3"/>
  <c r="RC18" i="3"/>
  <c r="QY18" i="3"/>
  <c r="QU18" i="3"/>
  <c r="QQ18" i="3"/>
  <c r="QM18" i="3"/>
  <c r="QI18" i="3"/>
  <c r="QE18" i="3"/>
  <c r="QA18" i="3"/>
  <c r="PW18" i="3"/>
  <c r="PS18" i="3"/>
  <c r="PO18" i="3"/>
  <c r="PK18" i="3"/>
  <c r="PG18" i="3"/>
  <c r="PC18" i="3"/>
  <c r="OY18" i="3"/>
  <c r="OU18" i="3"/>
  <c r="OQ18" i="3"/>
  <c r="OM18" i="3"/>
  <c r="OI18" i="3"/>
  <c r="OE18" i="3"/>
  <c r="OA18" i="3"/>
  <c r="NW18" i="3"/>
  <c r="NS18" i="3"/>
  <c r="NO18" i="3"/>
  <c r="NK18" i="3"/>
  <c r="NG18" i="3"/>
  <c r="NC18" i="3"/>
  <c r="MY18" i="3"/>
  <c r="MU18" i="3"/>
  <c r="MQ18" i="3"/>
  <c r="MM18" i="3"/>
  <c r="MI18" i="3"/>
  <c r="ME18" i="3"/>
  <c r="MA18" i="3"/>
  <c r="LW18" i="3"/>
  <c r="LS18" i="3"/>
  <c r="LO18" i="3"/>
  <c r="LK18" i="3"/>
  <c r="LG18" i="3"/>
  <c r="LC18" i="3"/>
  <c r="KY18" i="3"/>
  <c r="KU18" i="3"/>
  <c r="KQ18" i="3"/>
  <c r="KM18" i="3"/>
  <c r="KI18" i="3"/>
  <c r="KE18" i="3"/>
  <c r="KA18" i="3"/>
  <c r="JW18" i="3"/>
  <c r="JS18" i="3"/>
  <c r="JO18" i="3"/>
  <c r="JK18" i="3"/>
  <c r="JG18" i="3"/>
  <c r="JC18" i="3"/>
  <c r="IY18" i="3"/>
  <c r="IU18" i="3"/>
  <c r="IQ18" i="3"/>
  <c r="IM18" i="3"/>
  <c r="II18" i="3"/>
  <c r="IE18" i="3"/>
  <c r="IA18" i="3"/>
  <c r="HW18" i="3"/>
  <c r="HS18" i="3"/>
  <c r="HO18" i="3"/>
  <c r="HK18" i="3"/>
  <c r="HG18" i="3"/>
  <c r="HC18" i="3"/>
  <c r="GY18" i="3"/>
  <c r="GU18" i="3"/>
  <c r="GQ18" i="3"/>
  <c r="GM18" i="3"/>
  <c r="GI18" i="3"/>
  <c r="GE18" i="3"/>
  <c r="GA18" i="3"/>
  <c r="FW18" i="3"/>
  <c r="FS18" i="3"/>
  <c r="FO18" i="3"/>
  <c r="FK18" i="3"/>
  <c r="FG18" i="3"/>
  <c r="FC18" i="3"/>
  <c r="EY18" i="3"/>
  <c r="EU18" i="3"/>
  <c r="EQ18" i="3"/>
  <c r="EM18" i="3"/>
  <c r="EI18" i="3"/>
  <c r="EE18" i="3"/>
  <c r="EA18" i="3"/>
  <c r="DW18" i="3"/>
  <c r="DS18" i="3"/>
  <c r="DO18" i="3"/>
  <c r="DK18" i="3"/>
  <c r="DG18" i="3"/>
  <c r="DC18" i="3"/>
  <c r="CY18" i="3"/>
  <c r="CU18" i="3"/>
  <c r="CQ18" i="3"/>
  <c r="CM18" i="3"/>
  <c r="CI18" i="3"/>
  <c r="CE18" i="3"/>
  <c r="CA18" i="3"/>
  <c r="BW18" i="3"/>
  <c r="BS18" i="3"/>
  <c r="BO18" i="3"/>
  <c r="BK18" i="3"/>
  <c r="BG18" i="3"/>
  <c r="BC18" i="3"/>
  <c r="AY18" i="3"/>
  <c r="AU18" i="3"/>
  <c r="AQ18" i="3"/>
  <c r="AM18" i="3"/>
  <c r="AI18" i="3"/>
  <c r="AE18" i="3"/>
  <c r="AA18" i="3"/>
  <c r="W18" i="3"/>
  <c r="S18" i="3"/>
  <c r="O18" i="3"/>
  <c r="K18" i="3"/>
  <c r="G18" i="3"/>
  <c r="V18" i="3"/>
  <c r="AL18" i="3"/>
  <c r="BB18" i="3"/>
  <c r="BR18" i="3"/>
  <c r="CH18" i="3"/>
  <c r="CX18" i="3"/>
  <c r="DN18" i="3"/>
  <c r="ED18" i="3"/>
  <c r="ET18" i="3"/>
  <c r="FJ18" i="3"/>
  <c r="FZ18" i="3"/>
  <c r="GP18" i="3"/>
  <c r="HF18" i="3"/>
  <c r="HV18" i="3"/>
  <c r="IL18" i="3"/>
  <c r="JB18" i="3"/>
  <c r="JR18" i="3"/>
  <c r="KH18" i="3"/>
  <c r="KX18" i="3"/>
  <c r="LN18" i="3"/>
  <c r="MD18" i="3"/>
  <c r="MT18" i="3"/>
  <c r="NJ18" i="3"/>
  <c r="NZ18" i="3"/>
  <c r="OP18" i="3"/>
  <c r="PF18" i="3"/>
  <c r="PV18" i="3"/>
  <c r="QL18" i="3"/>
  <c r="RB18" i="3"/>
  <c r="RR18" i="3"/>
  <c r="SH18" i="3"/>
  <c r="TB18" i="3"/>
  <c r="TW18" i="3"/>
  <c r="UR18" i="3"/>
  <c r="VN18" i="3"/>
  <c r="WI18" i="3"/>
  <c r="XD18" i="3"/>
  <c r="XZ18" i="3"/>
  <c r="YU18" i="3"/>
  <c r="ZP18" i="3"/>
  <c r="AAL18" i="3"/>
  <c r="ABG18" i="3"/>
  <c r="ACB18" i="3"/>
  <c r="ACX18" i="3"/>
  <c r="ADS18" i="3"/>
  <c r="AEN18" i="3"/>
  <c r="AFJ18" i="3"/>
  <c r="AGE18" i="3"/>
  <c r="AGZ18" i="3"/>
  <c r="AHV18" i="3"/>
  <c r="AIQ18" i="3"/>
  <c r="AJL18" i="3"/>
  <c r="AKH18" i="3"/>
  <c r="ALC18" i="3"/>
  <c r="BM23" i="3"/>
  <c r="DY23" i="3"/>
  <c r="GK23" i="3"/>
  <c r="IW23" i="3"/>
  <c r="LI23" i="3"/>
  <c r="NU23" i="3"/>
  <c r="QG23" i="3"/>
  <c r="SS23" i="3"/>
  <c r="VE23" i="3"/>
  <c r="XQ23" i="3"/>
  <c r="AAC23" i="3"/>
  <c r="ACO23" i="3"/>
  <c r="AFA23" i="3"/>
  <c r="AHM23" i="3"/>
  <c r="AJY23" i="3"/>
  <c r="ALQ26" i="3"/>
  <c r="ALM26" i="3"/>
  <c r="ALI26" i="3"/>
  <c r="ALE26" i="3"/>
  <c r="ALA26" i="3"/>
  <c r="AKW26" i="3"/>
  <c r="AKS26" i="3"/>
  <c r="AKO26" i="3"/>
  <c r="AKK26" i="3"/>
  <c r="AKG26" i="3"/>
  <c r="AKC26" i="3"/>
  <c r="AJY26" i="3"/>
  <c r="AJU26" i="3"/>
  <c r="AJQ26" i="3"/>
  <c r="AJM26" i="3"/>
  <c r="AJI26" i="3"/>
  <c r="AJE26" i="3"/>
  <c r="AJA26" i="3"/>
  <c r="AIW26" i="3"/>
  <c r="AIS26" i="3"/>
  <c r="AIO26" i="3"/>
  <c r="AIK26" i="3"/>
  <c r="AIG26" i="3"/>
  <c r="AIC26" i="3"/>
  <c r="AHY26" i="3"/>
  <c r="AHU26" i="3"/>
  <c r="AHQ26" i="3"/>
  <c r="AHM26" i="3"/>
  <c r="AHI26" i="3"/>
  <c r="AHE26" i="3"/>
  <c r="AHA26" i="3"/>
  <c r="AGW26" i="3"/>
  <c r="AGS26" i="3"/>
  <c r="AGO26" i="3"/>
  <c r="AGK26" i="3"/>
  <c r="AGG26" i="3"/>
  <c r="AGC26" i="3"/>
  <c r="AFY26" i="3"/>
  <c r="AFU26" i="3"/>
  <c r="AFQ26" i="3"/>
  <c r="AFM26" i="3"/>
  <c r="AFI26" i="3"/>
  <c r="AFE26" i="3"/>
  <c r="AFA26" i="3"/>
  <c r="AEW26" i="3"/>
  <c r="AES26" i="3"/>
  <c r="AEO26" i="3"/>
  <c r="AEK26" i="3"/>
  <c r="AEG26" i="3"/>
  <c r="AEC26" i="3"/>
  <c r="ADY26" i="3"/>
  <c r="ADU26" i="3"/>
  <c r="ADQ26" i="3"/>
  <c r="ADM26" i="3"/>
  <c r="ADI26" i="3"/>
  <c r="ADE26" i="3"/>
  <c r="ADA26" i="3"/>
  <c r="ACW26" i="3"/>
  <c r="ACS26" i="3"/>
  <c r="ACO26" i="3"/>
  <c r="ACK26" i="3"/>
  <c r="ACG26" i="3"/>
  <c r="ACC26" i="3"/>
  <c r="ABY26" i="3"/>
  <c r="ABU26" i="3"/>
  <c r="ABQ26" i="3"/>
  <c r="ABM26" i="3"/>
  <c r="ABI26" i="3"/>
  <c r="ABE26" i="3"/>
  <c r="ABA26" i="3"/>
  <c r="AAW26" i="3"/>
  <c r="AAS26" i="3"/>
  <c r="AAO26" i="3"/>
  <c r="AAK26" i="3"/>
  <c r="AAG26" i="3"/>
  <c r="AAC26" i="3"/>
  <c r="ZY26" i="3"/>
  <c r="ZU26" i="3"/>
  <c r="ZQ26" i="3"/>
  <c r="ZM26" i="3"/>
  <c r="ZI26" i="3"/>
  <c r="ZE26" i="3"/>
  <c r="ZA26" i="3"/>
  <c r="YW26" i="3"/>
  <c r="YS26" i="3"/>
  <c r="YO26" i="3"/>
  <c r="YK26" i="3"/>
  <c r="YG26" i="3"/>
  <c r="YC26" i="3"/>
  <c r="XY26" i="3"/>
  <c r="XU26" i="3"/>
  <c r="XQ26" i="3"/>
  <c r="XM26" i="3"/>
  <c r="XI26" i="3"/>
  <c r="XE26" i="3"/>
  <c r="XA26" i="3"/>
  <c r="WW26" i="3"/>
  <c r="WS26" i="3"/>
  <c r="WO26" i="3"/>
  <c r="WK26" i="3"/>
  <c r="WG26" i="3"/>
  <c r="WC26" i="3"/>
  <c r="VY26" i="3"/>
  <c r="VU26" i="3"/>
  <c r="VQ26" i="3"/>
  <c r="VM26" i="3"/>
  <c r="VI26" i="3"/>
  <c r="VE26" i="3"/>
  <c r="VA26" i="3"/>
  <c r="UW26" i="3"/>
  <c r="US26" i="3"/>
  <c r="UO26" i="3"/>
  <c r="UK26" i="3"/>
  <c r="UG26" i="3"/>
  <c r="UC26" i="3"/>
  <c r="TY26" i="3"/>
  <c r="TU26" i="3"/>
  <c r="TQ26" i="3"/>
  <c r="TM26" i="3"/>
  <c r="TI26" i="3"/>
  <c r="TE26" i="3"/>
  <c r="TA26" i="3"/>
  <c r="SW26" i="3"/>
  <c r="SS26" i="3"/>
  <c r="SO26" i="3"/>
  <c r="SK26" i="3"/>
  <c r="SG26" i="3"/>
  <c r="SC26" i="3"/>
  <c r="RY26" i="3"/>
  <c r="RU26" i="3"/>
  <c r="RQ26" i="3"/>
  <c r="RM26" i="3"/>
  <c r="RI26" i="3"/>
  <c r="RE26" i="3"/>
  <c r="RA26" i="3"/>
  <c r="QW26" i="3"/>
  <c r="QS26" i="3"/>
  <c r="QO26" i="3"/>
  <c r="QK26" i="3"/>
  <c r="QG26" i="3"/>
  <c r="QC26" i="3"/>
  <c r="PY26" i="3"/>
  <c r="PU26" i="3"/>
  <c r="PQ26" i="3"/>
  <c r="PM26" i="3"/>
  <c r="PI26" i="3"/>
  <c r="PE26" i="3"/>
  <c r="PA26" i="3"/>
  <c r="OW26" i="3"/>
  <c r="OS26" i="3"/>
  <c r="OO26" i="3"/>
  <c r="OK26" i="3"/>
  <c r="OG26" i="3"/>
  <c r="OC26" i="3"/>
  <c r="NY26" i="3"/>
  <c r="NU26" i="3"/>
  <c r="NQ26" i="3"/>
  <c r="NM26" i="3"/>
  <c r="NI26" i="3"/>
  <c r="NE26" i="3"/>
  <c r="NA26" i="3"/>
  <c r="MW26" i="3"/>
  <c r="MS26" i="3"/>
  <c r="MO26" i="3"/>
  <c r="MK26" i="3"/>
  <c r="MG26" i="3"/>
  <c r="MC26" i="3"/>
  <c r="LY26" i="3"/>
  <c r="LU26" i="3"/>
  <c r="LQ26" i="3"/>
  <c r="LM26" i="3"/>
  <c r="LI26" i="3"/>
  <c r="LE26" i="3"/>
  <c r="LA26" i="3"/>
  <c r="KW26" i="3"/>
  <c r="KS26" i="3"/>
  <c r="KO26" i="3"/>
  <c r="KK26" i="3"/>
  <c r="KG26" i="3"/>
  <c r="KC26" i="3"/>
  <c r="JY26" i="3"/>
  <c r="JU26" i="3"/>
  <c r="JQ26" i="3"/>
  <c r="JM26" i="3"/>
  <c r="JI26" i="3"/>
  <c r="JE26" i="3"/>
  <c r="JA26" i="3"/>
  <c r="IW26" i="3"/>
  <c r="IS26" i="3"/>
  <c r="IO26" i="3"/>
  <c r="IK26" i="3"/>
  <c r="IG26" i="3"/>
  <c r="IC26" i="3"/>
  <c r="HY26" i="3"/>
  <c r="HU26" i="3"/>
  <c r="HQ26" i="3"/>
  <c r="HM26" i="3"/>
  <c r="HI26" i="3"/>
  <c r="HE26" i="3"/>
  <c r="HA26" i="3"/>
  <c r="GW26" i="3"/>
  <c r="GS26" i="3"/>
  <c r="GO26" i="3"/>
  <c r="GK26" i="3"/>
  <c r="GG26" i="3"/>
  <c r="GC26" i="3"/>
  <c r="FY26" i="3"/>
  <c r="FU26" i="3"/>
  <c r="FQ26" i="3"/>
  <c r="FM26" i="3"/>
  <c r="FI26" i="3"/>
  <c r="FE26" i="3"/>
  <c r="FA26" i="3"/>
  <c r="EW26" i="3"/>
  <c r="ES26" i="3"/>
  <c r="EO26" i="3"/>
  <c r="EK26" i="3"/>
  <c r="EG26" i="3"/>
  <c r="EC26" i="3"/>
  <c r="DY26" i="3"/>
  <c r="DU26" i="3"/>
  <c r="DQ26" i="3"/>
  <c r="DM26" i="3"/>
  <c r="DI26" i="3"/>
  <c r="DE26" i="3"/>
  <c r="DA26" i="3"/>
  <c r="CW26" i="3"/>
  <c r="CS26" i="3"/>
  <c r="CO26" i="3"/>
  <c r="CK26" i="3"/>
  <c r="CG26" i="3"/>
  <c r="CC26" i="3"/>
  <c r="BY26" i="3"/>
  <c r="BU26" i="3"/>
  <c r="BQ26" i="3"/>
  <c r="BM26" i="3"/>
  <c r="BI26" i="3"/>
  <c r="BE26" i="3"/>
  <c r="BA26" i="3"/>
  <c r="AW26" i="3"/>
  <c r="AS26" i="3"/>
  <c r="AO26" i="3"/>
  <c r="AK26" i="3"/>
  <c r="AG26" i="3"/>
  <c r="AC26" i="3"/>
  <c r="Y26" i="3"/>
  <c r="U26" i="3"/>
  <c r="Q26" i="3"/>
  <c r="M26" i="3"/>
  <c r="I26" i="3"/>
  <c r="F26" i="3"/>
  <c r="ALP26" i="3"/>
  <c r="ALL26" i="3"/>
  <c r="ALH26" i="3"/>
  <c r="ALD26" i="3"/>
  <c r="AKZ26" i="3"/>
  <c r="AKV26" i="3"/>
  <c r="AKR26" i="3"/>
  <c r="AKN26" i="3"/>
  <c r="AKJ26" i="3"/>
  <c r="AKF26" i="3"/>
  <c r="AKB26" i="3"/>
  <c r="AJX26" i="3"/>
  <c r="AJT26" i="3"/>
  <c r="AJP26" i="3"/>
  <c r="AJL26" i="3"/>
  <c r="AJH26" i="3"/>
  <c r="AJD26" i="3"/>
  <c r="AIZ26" i="3"/>
  <c r="AIV26" i="3"/>
  <c r="AIR26" i="3"/>
  <c r="AIN26" i="3"/>
  <c r="AIJ26" i="3"/>
  <c r="AIF26" i="3"/>
  <c r="AIB26" i="3"/>
  <c r="AHX26" i="3"/>
  <c r="AHT26" i="3"/>
  <c r="AHP26" i="3"/>
  <c r="AHL26" i="3"/>
  <c r="AHH26" i="3"/>
  <c r="AHD26" i="3"/>
  <c r="AGZ26" i="3"/>
  <c r="AGV26" i="3"/>
  <c r="AGR26" i="3"/>
  <c r="AGN26" i="3"/>
  <c r="AGJ26" i="3"/>
  <c r="AGF26" i="3"/>
  <c r="AGB26" i="3"/>
  <c r="AFX26" i="3"/>
  <c r="AFT26" i="3"/>
  <c r="AFP26" i="3"/>
  <c r="AFL26" i="3"/>
  <c r="AFH26" i="3"/>
  <c r="AFD26" i="3"/>
  <c r="AEZ26" i="3"/>
  <c r="AEV26" i="3"/>
  <c r="AER26" i="3"/>
  <c r="AEN26" i="3"/>
  <c r="AEJ26" i="3"/>
  <c r="AEF26" i="3"/>
  <c r="AEB26" i="3"/>
  <c r="ADX26" i="3"/>
  <c r="ADT26" i="3"/>
  <c r="ADP26" i="3"/>
  <c r="ADL26" i="3"/>
  <c r="ADH26" i="3"/>
  <c r="ADD26" i="3"/>
  <c r="ACZ26" i="3"/>
  <c r="ACV26" i="3"/>
  <c r="ACR26" i="3"/>
  <c r="ACN26" i="3"/>
  <c r="ACJ26" i="3"/>
  <c r="ACF26" i="3"/>
  <c r="ACB26" i="3"/>
  <c r="ABX26" i="3"/>
  <c r="ABT26" i="3"/>
  <c r="ABP26" i="3"/>
  <c r="ABL26" i="3"/>
  <c r="ABH26" i="3"/>
  <c r="ABD26" i="3"/>
  <c r="AAZ26" i="3"/>
  <c r="AAV26" i="3"/>
  <c r="AAR26" i="3"/>
  <c r="AAN26" i="3"/>
  <c r="AAJ26" i="3"/>
  <c r="AAF26" i="3"/>
  <c r="AAB26" i="3"/>
  <c r="ZX26" i="3"/>
  <c r="ZT26" i="3"/>
  <c r="ZP26" i="3"/>
  <c r="ZL26" i="3"/>
  <c r="ZH26" i="3"/>
  <c r="ZD26" i="3"/>
  <c r="YZ26" i="3"/>
  <c r="YV26" i="3"/>
  <c r="YR26" i="3"/>
  <c r="YN26" i="3"/>
  <c r="YJ26" i="3"/>
  <c r="YF26" i="3"/>
  <c r="YB26" i="3"/>
  <c r="XX26" i="3"/>
  <c r="XT26" i="3"/>
  <c r="XP26" i="3"/>
  <c r="XL26" i="3"/>
  <c r="XH26" i="3"/>
  <c r="XD26" i="3"/>
  <c r="WZ26" i="3"/>
  <c r="WV26" i="3"/>
  <c r="WR26" i="3"/>
  <c r="WN26" i="3"/>
  <c r="WJ26" i="3"/>
  <c r="WF26" i="3"/>
  <c r="WB26" i="3"/>
  <c r="VX26" i="3"/>
  <c r="VT26" i="3"/>
  <c r="VP26" i="3"/>
  <c r="VL26" i="3"/>
  <c r="VH26" i="3"/>
  <c r="VD26" i="3"/>
  <c r="UZ26" i="3"/>
  <c r="UV26" i="3"/>
  <c r="UR26" i="3"/>
  <c r="UN26" i="3"/>
  <c r="UJ26" i="3"/>
  <c r="UF26" i="3"/>
  <c r="UB26" i="3"/>
  <c r="TX26" i="3"/>
  <c r="TT26" i="3"/>
  <c r="TP26" i="3"/>
  <c r="TL26" i="3"/>
  <c r="TH26" i="3"/>
  <c r="TD26" i="3"/>
  <c r="SZ26" i="3"/>
  <c r="SV26" i="3"/>
  <c r="SR26" i="3"/>
  <c r="SN26" i="3"/>
  <c r="SJ26" i="3"/>
  <c r="SF26" i="3"/>
  <c r="SB26" i="3"/>
  <c r="RX26" i="3"/>
  <c r="RT26" i="3"/>
  <c r="RP26" i="3"/>
  <c r="RL26" i="3"/>
  <c r="RH26" i="3"/>
  <c r="RD26" i="3"/>
  <c r="QZ26" i="3"/>
  <c r="QV26" i="3"/>
  <c r="QR26" i="3"/>
  <c r="QN26" i="3"/>
  <c r="QJ26" i="3"/>
  <c r="QF26" i="3"/>
  <c r="QB26" i="3"/>
  <c r="PX26" i="3"/>
  <c r="PT26" i="3"/>
  <c r="PP26" i="3"/>
  <c r="PL26" i="3"/>
  <c r="PH26" i="3"/>
  <c r="PD26" i="3"/>
  <c r="OZ26" i="3"/>
  <c r="OV26" i="3"/>
  <c r="OR26" i="3"/>
  <c r="ON26" i="3"/>
  <c r="OJ26" i="3"/>
  <c r="OF26" i="3"/>
  <c r="OB26" i="3"/>
  <c r="NX26" i="3"/>
  <c r="NT26" i="3"/>
  <c r="NP26" i="3"/>
  <c r="NL26" i="3"/>
  <c r="NH26" i="3"/>
  <c r="ND26" i="3"/>
  <c r="MZ26" i="3"/>
  <c r="MV26" i="3"/>
  <c r="MR26" i="3"/>
  <c r="MN26" i="3"/>
  <c r="MJ26" i="3"/>
  <c r="MF26" i="3"/>
  <c r="MB26" i="3"/>
  <c r="LX26" i="3"/>
  <c r="LT26" i="3"/>
  <c r="LP26" i="3"/>
  <c r="LL26" i="3"/>
  <c r="LH26" i="3"/>
  <c r="LD26" i="3"/>
  <c r="KZ26" i="3"/>
  <c r="KV26" i="3"/>
  <c r="KR26" i="3"/>
  <c r="KN26" i="3"/>
  <c r="KJ26" i="3"/>
  <c r="KF26" i="3"/>
  <c r="KB26" i="3"/>
  <c r="JX26" i="3"/>
  <c r="JT26" i="3"/>
  <c r="JP26" i="3"/>
  <c r="JL26" i="3"/>
  <c r="JH26" i="3"/>
  <c r="JD26" i="3"/>
  <c r="IZ26" i="3"/>
  <c r="IV26" i="3"/>
  <c r="IR26" i="3"/>
  <c r="IN26" i="3"/>
  <c r="IJ26" i="3"/>
  <c r="IF26" i="3"/>
  <c r="IB26" i="3"/>
  <c r="HX26" i="3"/>
  <c r="HT26" i="3"/>
  <c r="HP26" i="3"/>
  <c r="HL26" i="3"/>
  <c r="HH26" i="3"/>
  <c r="HD26" i="3"/>
  <c r="GZ26" i="3"/>
  <c r="GV26" i="3"/>
  <c r="GR26" i="3"/>
  <c r="GN26" i="3"/>
  <c r="GJ26" i="3"/>
  <c r="GF26" i="3"/>
  <c r="GB26" i="3"/>
  <c r="FX26" i="3"/>
  <c r="FT26" i="3"/>
  <c r="FP26" i="3"/>
  <c r="FL26" i="3"/>
  <c r="FH26" i="3"/>
  <c r="FD26" i="3"/>
  <c r="EZ26" i="3"/>
  <c r="EV26" i="3"/>
  <c r="ER26" i="3"/>
  <c r="EN26" i="3"/>
  <c r="EJ26" i="3"/>
  <c r="EF26" i="3"/>
  <c r="EB26" i="3"/>
  <c r="DX26" i="3"/>
  <c r="DT26" i="3"/>
  <c r="DP26" i="3"/>
  <c r="DL26" i="3"/>
  <c r="DH26" i="3"/>
  <c r="DD26" i="3"/>
  <c r="CZ26" i="3"/>
  <c r="CV26" i="3"/>
  <c r="CR26" i="3"/>
  <c r="CN26" i="3"/>
  <c r="CJ26" i="3"/>
  <c r="CF26" i="3"/>
  <c r="CB26" i="3"/>
  <c r="BX26" i="3"/>
  <c r="BT26" i="3"/>
  <c r="BP26" i="3"/>
  <c r="BL26" i="3"/>
  <c r="BH26" i="3"/>
  <c r="BD26" i="3"/>
  <c r="AZ26" i="3"/>
  <c r="AV26" i="3"/>
  <c r="AR26" i="3"/>
  <c r="AN26" i="3"/>
  <c r="AJ26" i="3"/>
  <c r="AF26" i="3"/>
  <c r="AB26" i="3"/>
  <c r="X26" i="3"/>
  <c r="T26" i="3"/>
  <c r="P26" i="3"/>
  <c r="L26" i="3"/>
  <c r="H26" i="3"/>
  <c r="ALO26" i="3"/>
  <c r="ALK26" i="3"/>
  <c r="ALG26" i="3"/>
  <c r="ALC26" i="3"/>
  <c r="AKY26" i="3"/>
  <c r="AKU26" i="3"/>
  <c r="AKQ26" i="3"/>
  <c r="AKM26" i="3"/>
  <c r="AKI26" i="3"/>
  <c r="AKE26" i="3"/>
  <c r="AKA26" i="3"/>
  <c r="AJW26" i="3"/>
  <c r="AJS26" i="3"/>
  <c r="AJO26" i="3"/>
  <c r="AJK26" i="3"/>
  <c r="AJG26" i="3"/>
  <c r="AJC26" i="3"/>
  <c r="AIY26" i="3"/>
  <c r="AIU26" i="3"/>
  <c r="AIQ26" i="3"/>
  <c r="AIM26" i="3"/>
  <c r="AII26" i="3"/>
  <c r="AIE26" i="3"/>
  <c r="AIA26" i="3"/>
  <c r="AHW26" i="3"/>
  <c r="AHS26" i="3"/>
  <c r="AHO26" i="3"/>
  <c r="AHK26" i="3"/>
  <c r="AHG26" i="3"/>
  <c r="AHC26" i="3"/>
  <c r="AGY26" i="3"/>
  <c r="AGU26" i="3"/>
  <c r="AGQ26" i="3"/>
  <c r="AGM26" i="3"/>
  <c r="AGI26" i="3"/>
  <c r="AGE26" i="3"/>
  <c r="AGA26" i="3"/>
  <c r="AFW26" i="3"/>
  <c r="AFS26" i="3"/>
  <c r="AFO26" i="3"/>
  <c r="AFK26" i="3"/>
  <c r="AFG26" i="3"/>
  <c r="AFC26" i="3"/>
  <c r="AEY26" i="3"/>
  <c r="AEU26" i="3"/>
  <c r="AEQ26" i="3"/>
  <c r="AEM26" i="3"/>
  <c r="AEI26" i="3"/>
  <c r="AEE26" i="3"/>
  <c r="AEA26" i="3"/>
  <c r="ADW26" i="3"/>
  <c r="ADS26" i="3"/>
  <c r="ADO26" i="3"/>
  <c r="ADK26" i="3"/>
  <c r="ADG26" i="3"/>
  <c r="ADC26" i="3"/>
  <c r="ACY26" i="3"/>
  <c r="ACU26" i="3"/>
  <c r="ACQ26" i="3"/>
  <c r="ACM26" i="3"/>
  <c r="ACI26" i="3"/>
  <c r="ACE26" i="3"/>
  <c r="ACA26" i="3"/>
  <c r="ABW26" i="3"/>
  <c r="ABS26" i="3"/>
  <c r="ABO26" i="3"/>
  <c r="ABK26" i="3"/>
  <c r="ABG26" i="3"/>
  <c r="ABC26" i="3"/>
  <c r="AAY26" i="3"/>
  <c r="AAU26" i="3"/>
  <c r="AAQ26" i="3"/>
  <c r="AAM26" i="3"/>
  <c r="AAI26" i="3"/>
  <c r="AAE26" i="3"/>
  <c r="AAA26" i="3"/>
  <c r="ZW26" i="3"/>
  <c r="ZS26" i="3"/>
  <c r="ZO26" i="3"/>
  <c r="ZK26" i="3"/>
  <c r="ZG26" i="3"/>
  <c r="ZC26" i="3"/>
  <c r="YY26" i="3"/>
  <c r="YU26" i="3"/>
  <c r="YQ26" i="3"/>
  <c r="YM26" i="3"/>
  <c r="YI26" i="3"/>
  <c r="YE26" i="3"/>
  <c r="YA26" i="3"/>
  <c r="XW26" i="3"/>
  <c r="XS26" i="3"/>
  <c r="XO26" i="3"/>
  <c r="XK26" i="3"/>
  <c r="XG26" i="3"/>
  <c r="XC26" i="3"/>
  <c r="WY26" i="3"/>
  <c r="WU26" i="3"/>
  <c r="WQ26" i="3"/>
  <c r="WM26" i="3"/>
  <c r="WI26" i="3"/>
  <c r="WE26" i="3"/>
  <c r="WA26" i="3"/>
  <c r="VW26" i="3"/>
  <c r="VS26" i="3"/>
  <c r="VO26" i="3"/>
  <c r="VK26" i="3"/>
  <c r="VG26" i="3"/>
  <c r="VC26" i="3"/>
  <c r="UY26" i="3"/>
  <c r="UU26" i="3"/>
  <c r="UQ26" i="3"/>
  <c r="UM26" i="3"/>
  <c r="UI26" i="3"/>
  <c r="UE26" i="3"/>
  <c r="UA26" i="3"/>
  <c r="TW26" i="3"/>
  <c r="TS26" i="3"/>
  <c r="TO26" i="3"/>
  <c r="TK26" i="3"/>
  <c r="TG26" i="3"/>
  <c r="TC26" i="3"/>
  <c r="SY26" i="3"/>
  <c r="SU26" i="3"/>
  <c r="SQ26" i="3"/>
  <c r="SM26" i="3"/>
  <c r="SI26" i="3"/>
  <c r="SE26" i="3"/>
  <c r="SA26" i="3"/>
  <c r="RW26" i="3"/>
  <c r="RS26" i="3"/>
  <c r="RO26" i="3"/>
  <c r="RK26" i="3"/>
  <c r="RG26" i="3"/>
  <c r="RC26" i="3"/>
  <c r="QY26" i="3"/>
  <c r="QU26" i="3"/>
  <c r="QQ26" i="3"/>
  <c r="QM26" i="3"/>
  <c r="QI26" i="3"/>
  <c r="QE26" i="3"/>
  <c r="QA26" i="3"/>
  <c r="PW26" i="3"/>
  <c r="PS26" i="3"/>
  <c r="PO26" i="3"/>
  <c r="PK26" i="3"/>
  <c r="PG26" i="3"/>
  <c r="PC26" i="3"/>
  <c r="OY26" i="3"/>
  <c r="OU26" i="3"/>
  <c r="OQ26" i="3"/>
  <c r="OM26" i="3"/>
  <c r="OI26" i="3"/>
  <c r="OE26" i="3"/>
  <c r="OA26" i="3"/>
  <c r="NW26" i="3"/>
  <c r="NS26" i="3"/>
  <c r="NO26" i="3"/>
  <c r="NK26" i="3"/>
  <c r="NG26" i="3"/>
  <c r="NC26" i="3"/>
  <c r="MY26" i="3"/>
  <c r="MU26" i="3"/>
  <c r="MQ26" i="3"/>
  <c r="MM26" i="3"/>
  <c r="MI26" i="3"/>
  <c r="ME26" i="3"/>
  <c r="MA26" i="3"/>
  <c r="LW26" i="3"/>
  <c r="LS26" i="3"/>
  <c r="LO26" i="3"/>
  <c r="LK26" i="3"/>
  <c r="LG26" i="3"/>
  <c r="LC26" i="3"/>
  <c r="KY26" i="3"/>
  <c r="KU26" i="3"/>
  <c r="KQ26" i="3"/>
  <c r="KM26" i="3"/>
  <c r="KI26" i="3"/>
  <c r="KE26" i="3"/>
  <c r="KA26" i="3"/>
  <c r="JW26" i="3"/>
  <c r="JS26" i="3"/>
  <c r="JO26" i="3"/>
  <c r="JK26" i="3"/>
  <c r="JG26" i="3"/>
  <c r="JC26" i="3"/>
  <c r="IY26" i="3"/>
  <c r="IU26" i="3"/>
  <c r="IQ26" i="3"/>
  <c r="IM26" i="3"/>
  <c r="II26" i="3"/>
  <c r="IE26" i="3"/>
  <c r="IA26" i="3"/>
  <c r="HW26" i="3"/>
  <c r="HS26" i="3"/>
  <c r="HO26" i="3"/>
  <c r="HK26" i="3"/>
  <c r="HG26" i="3"/>
  <c r="HC26" i="3"/>
  <c r="GY26" i="3"/>
  <c r="GU26" i="3"/>
  <c r="GQ26" i="3"/>
  <c r="GM26" i="3"/>
  <c r="GI26" i="3"/>
  <c r="GE26" i="3"/>
  <c r="GA26" i="3"/>
  <c r="FW26" i="3"/>
  <c r="FS26" i="3"/>
  <c r="FO26" i="3"/>
  <c r="FK26" i="3"/>
  <c r="FG26" i="3"/>
  <c r="FC26" i="3"/>
  <c r="EY26" i="3"/>
  <c r="EU26" i="3"/>
  <c r="EQ26" i="3"/>
  <c r="EM26" i="3"/>
  <c r="EI26" i="3"/>
  <c r="EE26" i="3"/>
  <c r="EA26" i="3"/>
  <c r="DW26" i="3"/>
  <c r="DS26" i="3"/>
  <c r="DO26" i="3"/>
  <c r="DK26" i="3"/>
  <c r="DG26" i="3"/>
  <c r="DC26" i="3"/>
  <c r="CY26" i="3"/>
  <c r="CU26" i="3"/>
  <c r="CQ26" i="3"/>
  <c r="CM26" i="3"/>
  <c r="CI26" i="3"/>
  <c r="CE26" i="3"/>
  <c r="CA26" i="3"/>
  <c r="BW26" i="3"/>
  <c r="BS26" i="3"/>
  <c r="BO26" i="3"/>
  <c r="BK26" i="3"/>
  <c r="BG26" i="3"/>
  <c r="BC26" i="3"/>
  <c r="AY26" i="3"/>
  <c r="AU26" i="3"/>
  <c r="AQ26" i="3"/>
  <c r="AM26" i="3"/>
  <c r="AI26" i="3"/>
  <c r="AE26" i="3"/>
  <c r="AA26" i="3"/>
  <c r="W26" i="3"/>
  <c r="S26" i="3"/>
  <c r="O26" i="3"/>
  <c r="K26" i="3"/>
  <c r="G26" i="3"/>
  <c r="ALF26" i="3"/>
  <c r="AKP26" i="3"/>
  <c r="AJZ26" i="3"/>
  <c r="AJJ26" i="3"/>
  <c r="AIT26" i="3"/>
  <c r="AID26" i="3"/>
  <c r="AHN26" i="3"/>
  <c r="AGX26" i="3"/>
  <c r="AGH26" i="3"/>
  <c r="AFR26" i="3"/>
  <c r="AFB26" i="3"/>
  <c r="AEL26" i="3"/>
  <c r="ADV26" i="3"/>
  <c r="ADF26" i="3"/>
  <c r="ACP26" i="3"/>
  <c r="ABZ26" i="3"/>
  <c r="ABJ26" i="3"/>
  <c r="AAT26" i="3"/>
  <c r="AAD26" i="3"/>
  <c r="ZN26" i="3"/>
  <c r="YX26" i="3"/>
  <c r="YH26" i="3"/>
  <c r="XR26" i="3"/>
  <c r="XB26" i="3"/>
  <c r="WL26" i="3"/>
  <c r="VV26" i="3"/>
  <c r="VF26" i="3"/>
  <c r="UP26" i="3"/>
  <c r="TZ26" i="3"/>
  <c r="TJ26" i="3"/>
  <c r="ST26" i="3"/>
  <c r="SD26" i="3"/>
  <c r="RN26" i="3"/>
  <c r="QX26" i="3"/>
  <c r="QH26" i="3"/>
  <c r="PR26" i="3"/>
  <c r="PB26" i="3"/>
  <c r="OL26" i="3"/>
  <c r="NV26" i="3"/>
  <c r="NF26" i="3"/>
  <c r="MP26" i="3"/>
  <c r="LZ26" i="3"/>
  <c r="LJ26" i="3"/>
  <c r="KT26" i="3"/>
  <c r="KD26" i="3"/>
  <c r="JN26" i="3"/>
  <c r="IX26" i="3"/>
  <c r="IH26" i="3"/>
  <c r="HR26" i="3"/>
  <c r="HB26" i="3"/>
  <c r="GL26" i="3"/>
  <c r="FV26" i="3"/>
  <c r="FF26" i="3"/>
  <c r="EP26" i="3"/>
  <c r="DZ26" i="3"/>
  <c r="DJ26" i="3"/>
  <c r="CT26" i="3"/>
  <c r="CD26" i="3"/>
  <c r="BN26" i="3"/>
  <c r="AX26" i="3"/>
  <c r="AH26" i="3"/>
  <c r="R26" i="3"/>
  <c r="ALB26" i="3"/>
  <c r="AKL26" i="3"/>
  <c r="AJV26" i="3"/>
  <c r="AJF26" i="3"/>
  <c r="AIP26" i="3"/>
  <c r="AHZ26" i="3"/>
  <c r="AHJ26" i="3"/>
  <c r="AGT26" i="3"/>
  <c r="AGD26" i="3"/>
  <c r="AFN26" i="3"/>
  <c r="AEX26" i="3"/>
  <c r="AEH26" i="3"/>
  <c r="ADR26" i="3"/>
  <c r="ADB26" i="3"/>
  <c r="ACL26" i="3"/>
  <c r="ABV26" i="3"/>
  <c r="ABF26" i="3"/>
  <c r="AAP26" i="3"/>
  <c r="ZZ26" i="3"/>
  <c r="ZJ26" i="3"/>
  <c r="YT26" i="3"/>
  <c r="YD26" i="3"/>
  <c r="XN26" i="3"/>
  <c r="WX26" i="3"/>
  <c r="WH26" i="3"/>
  <c r="VR26" i="3"/>
  <c r="VB26" i="3"/>
  <c r="UL26" i="3"/>
  <c r="TV26" i="3"/>
  <c r="TF26" i="3"/>
  <c r="SP26" i="3"/>
  <c r="RZ26" i="3"/>
  <c r="RJ26" i="3"/>
  <c r="QT26" i="3"/>
  <c r="QD26" i="3"/>
  <c r="PN26" i="3"/>
  <c r="OX26" i="3"/>
  <c r="OH26" i="3"/>
  <c r="NR26" i="3"/>
  <c r="NB26" i="3"/>
  <c r="ML26" i="3"/>
  <c r="LV26" i="3"/>
  <c r="LF26" i="3"/>
  <c r="KP26" i="3"/>
  <c r="JZ26" i="3"/>
  <c r="JJ26" i="3"/>
  <c r="IT26" i="3"/>
  <c r="ID26" i="3"/>
  <c r="HN26" i="3"/>
  <c r="GX26" i="3"/>
  <c r="GH26" i="3"/>
  <c r="FR26" i="3"/>
  <c r="FB26" i="3"/>
  <c r="EL26" i="3"/>
  <c r="DV26" i="3"/>
  <c r="DF26" i="3"/>
  <c r="CP26" i="3"/>
  <c r="BZ26" i="3"/>
  <c r="BJ26" i="3"/>
  <c r="AT26" i="3"/>
  <c r="AD26" i="3"/>
  <c r="N26" i="3"/>
  <c r="ALN26" i="3"/>
  <c r="AKX26" i="3"/>
  <c r="AKH26" i="3"/>
  <c r="AJR26" i="3"/>
  <c r="AJB26" i="3"/>
  <c r="AIL26" i="3"/>
  <c r="AHV26" i="3"/>
  <c r="AHF26" i="3"/>
  <c r="AGP26" i="3"/>
  <c r="AFZ26" i="3"/>
  <c r="AFJ26" i="3"/>
  <c r="AET26" i="3"/>
  <c r="AED26" i="3"/>
  <c r="ADN26" i="3"/>
  <c r="ACX26" i="3"/>
  <c r="ACH26" i="3"/>
  <c r="ABR26" i="3"/>
  <c r="ABB26" i="3"/>
  <c r="AAL26" i="3"/>
  <c r="ZV26" i="3"/>
  <c r="ZF26" i="3"/>
  <c r="YP26" i="3"/>
  <c r="XZ26" i="3"/>
  <c r="XJ26" i="3"/>
  <c r="WT26" i="3"/>
  <c r="WD26" i="3"/>
  <c r="VN26" i="3"/>
  <c r="UX26" i="3"/>
  <c r="UH26" i="3"/>
  <c r="TR26" i="3"/>
  <c r="TB26" i="3"/>
  <c r="SL26" i="3"/>
  <c r="RV26" i="3"/>
  <c r="RF26" i="3"/>
  <c r="QP26" i="3"/>
  <c r="PZ26" i="3"/>
  <c r="PJ26" i="3"/>
  <c r="OT26" i="3"/>
  <c r="OD26" i="3"/>
  <c r="NN26" i="3"/>
  <c r="MX26" i="3"/>
  <c r="MH26" i="3"/>
  <c r="LR26" i="3"/>
  <c r="LB26" i="3"/>
  <c r="KL26" i="3"/>
  <c r="JV26" i="3"/>
  <c r="JF26" i="3"/>
  <c r="IP26" i="3"/>
  <c r="HZ26" i="3"/>
  <c r="HJ26" i="3"/>
  <c r="GT26" i="3"/>
  <c r="GD26" i="3"/>
  <c r="FN26" i="3"/>
  <c r="EX26" i="3"/>
  <c r="EH26" i="3"/>
  <c r="DR26" i="3"/>
  <c r="DB26" i="3"/>
  <c r="CL26" i="3"/>
  <c r="BV26" i="3"/>
  <c r="BF26" i="3"/>
  <c r="AP26" i="3"/>
  <c r="Z26" i="3"/>
  <c r="J26" i="3"/>
  <c r="BR26" i="3"/>
  <c r="ED26" i="3"/>
  <c r="GP26" i="3"/>
  <c r="JB26" i="3"/>
  <c r="LN26" i="3"/>
  <c r="NZ26" i="3"/>
  <c r="QL26" i="3"/>
  <c r="SX26" i="3"/>
  <c r="VJ26" i="3"/>
  <c r="XV26" i="3"/>
  <c r="AAH26" i="3"/>
  <c r="ACT26" i="3"/>
  <c r="AFF26" i="3"/>
  <c r="AHR26" i="3"/>
  <c r="AKD26" i="3"/>
  <c r="AC27" i="3"/>
  <c r="CO27" i="3"/>
  <c r="FA27" i="3"/>
  <c r="HM27" i="3"/>
  <c r="JY27" i="3"/>
  <c r="MK27" i="3"/>
  <c r="OW27" i="3"/>
  <c r="ALQ22" i="3"/>
  <c r="ALM22" i="3"/>
  <c r="ALI22" i="3"/>
  <c r="ALE22" i="3"/>
  <c r="ALA22" i="3"/>
  <c r="AKW22" i="3"/>
  <c r="AKS22" i="3"/>
  <c r="AKO22" i="3"/>
  <c r="AKK22" i="3"/>
  <c r="AKG22" i="3"/>
  <c r="AKC22" i="3"/>
  <c r="AJY22" i="3"/>
  <c r="AJU22" i="3"/>
  <c r="AJQ22" i="3"/>
  <c r="AJM22" i="3"/>
  <c r="AJI22" i="3"/>
  <c r="AJE22" i="3"/>
  <c r="AJA22" i="3"/>
  <c r="AIW22" i="3"/>
  <c r="AIS22" i="3"/>
  <c r="AIO22" i="3"/>
  <c r="AIK22" i="3"/>
  <c r="AIG22" i="3"/>
  <c r="AIC22" i="3"/>
  <c r="AHY22" i="3"/>
  <c r="AHU22" i="3"/>
  <c r="AHQ22" i="3"/>
  <c r="AHM22" i="3"/>
  <c r="AHI22" i="3"/>
  <c r="AHE22" i="3"/>
  <c r="AHA22" i="3"/>
  <c r="AGW22" i="3"/>
  <c r="AGS22" i="3"/>
  <c r="AGO22" i="3"/>
  <c r="AGK22" i="3"/>
  <c r="AGG22" i="3"/>
  <c r="AGC22" i="3"/>
  <c r="AFY22" i="3"/>
  <c r="AFU22" i="3"/>
  <c r="AFQ22" i="3"/>
  <c r="AFM22" i="3"/>
  <c r="AFI22" i="3"/>
  <c r="AFE22" i="3"/>
  <c r="AFA22" i="3"/>
  <c r="AEW22" i="3"/>
  <c r="AES22" i="3"/>
  <c r="AEO22" i="3"/>
  <c r="AEK22" i="3"/>
  <c r="AEG22" i="3"/>
  <c r="AEC22" i="3"/>
  <c r="ADY22" i="3"/>
  <c r="ADU22" i="3"/>
  <c r="ADQ22" i="3"/>
  <c r="ADM22" i="3"/>
  <c r="ADI22" i="3"/>
  <c r="ADE22" i="3"/>
  <c r="ADA22" i="3"/>
  <c r="ACW22" i="3"/>
  <c r="ACS22" i="3"/>
  <c r="ACO22" i="3"/>
  <c r="ACK22" i="3"/>
  <c r="ACG22" i="3"/>
  <c r="ACC22" i="3"/>
  <c r="ABY22" i="3"/>
  <c r="ABU22" i="3"/>
  <c r="ABQ22" i="3"/>
  <c r="ABM22" i="3"/>
  <c r="ABI22" i="3"/>
  <c r="ABE22" i="3"/>
  <c r="ABA22" i="3"/>
  <c r="AAW22" i="3"/>
  <c r="AAS22" i="3"/>
  <c r="AAO22" i="3"/>
  <c r="AAK22" i="3"/>
  <c r="AAG22" i="3"/>
  <c r="AAC22" i="3"/>
  <c r="ZY22" i="3"/>
  <c r="ZU22" i="3"/>
  <c r="ZQ22" i="3"/>
  <c r="ZM22" i="3"/>
  <c r="ZI22" i="3"/>
  <c r="ZE22" i="3"/>
  <c r="ZA22" i="3"/>
  <c r="YW22" i="3"/>
  <c r="YS22" i="3"/>
  <c r="YO22" i="3"/>
  <c r="YK22" i="3"/>
  <c r="YG22" i="3"/>
  <c r="YC22" i="3"/>
  <c r="XY22" i="3"/>
  <c r="XU22" i="3"/>
  <c r="XQ22" i="3"/>
  <c r="XM22" i="3"/>
  <c r="XI22" i="3"/>
  <c r="XE22" i="3"/>
  <c r="XA22" i="3"/>
  <c r="WW22" i="3"/>
  <c r="WS22" i="3"/>
  <c r="WO22" i="3"/>
  <c r="WK22" i="3"/>
  <c r="WG22" i="3"/>
  <c r="WC22" i="3"/>
  <c r="VY22" i="3"/>
  <c r="VU22" i="3"/>
  <c r="VQ22" i="3"/>
  <c r="VM22" i="3"/>
  <c r="VI22" i="3"/>
  <c r="VE22" i="3"/>
  <c r="VA22" i="3"/>
  <c r="UW22" i="3"/>
  <c r="US22" i="3"/>
  <c r="UO22" i="3"/>
  <c r="UK22" i="3"/>
  <c r="UG22" i="3"/>
  <c r="UC22" i="3"/>
  <c r="TY22" i="3"/>
  <c r="TU22" i="3"/>
  <c r="TQ22" i="3"/>
  <c r="TM22" i="3"/>
  <c r="TI22" i="3"/>
  <c r="TE22" i="3"/>
  <c r="TA22" i="3"/>
  <c r="SW22" i="3"/>
  <c r="SS22" i="3"/>
  <c r="SO22" i="3"/>
  <c r="SK22" i="3"/>
  <c r="SG22" i="3"/>
  <c r="SC22" i="3"/>
  <c r="RY22" i="3"/>
  <c r="RU22" i="3"/>
  <c r="RQ22" i="3"/>
  <c r="RM22" i="3"/>
  <c r="RI22" i="3"/>
  <c r="RE22" i="3"/>
  <c r="RA22" i="3"/>
  <c r="QW22" i="3"/>
  <c r="QS22" i="3"/>
  <c r="QO22" i="3"/>
  <c r="QK22" i="3"/>
  <c r="QG22" i="3"/>
  <c r="QC22" i="3"/>
  <c r="PY22" i="3"/>
  <c r="PU22" i="3"/>
  <c r="PQ22" i="3"/>
  <c r="PM22" i="3"/>
  <c r="PI22" i="3"/>
  <c r="PE22" i="3"/>
  <c r="PA22" i="3"/>
  <c r="OW22" i="3"/>
  <c r="OS22" i="3"/>
  <c r="OO22" i="3"/>
  <c r="OK22" i="3"/>
  <c r="OG22" i="3"/>
  <c r="OC22" i="3"/>
  <c r="NY22" i="3"/>
  <c r="NU22" i="3"/>
  <c r="NQ22" i="3"/>
  <c r="NM22" i="3"/>
  <c r="NI22" i="3"/>
  <c r="NE22" i="3"/>
  <c r="NA22" i="3"/>
  <c r="MW22" i="3"/>
  <c r="MS22" i="3"/>
  <c r="MO22" i="3"/>
  <c r="MK22" i="3"/>
  <c r="MG22" i="3"/>
  <c r="MC22" i="3"/>
  <c r="LY22" i="3"/>
  <c r="LU22" i="3"/>
  <c r="LQ22" i="3"/>
  <c r="LM22" i="3"/>
  <c r="LI22" i="3"/>
  <c r="LE22" i="3"/>
  <c r="LA22" i="3"/>
  <c r="KW22" i="3"/>
  <c r="KS22" i="3"/>
  <c r="KO22" i="3"/>
  <c r="KK22" i="3"/>
  <c r="KG22" i="3"/>
  <c r="KC22" i="3"/>
  <c r="JY22" i="3"/>
  <c r="JU22" i="3"/>
  <c r="JQ22" i="3"/>
  <c r="JM22" i="3"/>
  <c r="JI22" i="3"/>
  <c r="JE22" i="3"/>
  <c r="JA22" i="3"/>
  <c r="IW22" i="3"/>
  <c r="IS22" i="3"/>
  <c r="IO22" i="3"/>
  <c r="IK22" i="3"/>
  <c r="IG22" i="3"/>
  <c r="IC22" i="3"/>
  <c r="HY22" i="3"/>
  <c r="HU22" i="3"/>
  <c r="HQ22" i="3"/>
  <c r="HM22" i="3"/>
  <c r="HI22" i="3"/>
  <c r="HE22" i="3"/>
  <c r="HA22" i="3"/>
  <c r="GW22" i="3"/>
  <c r="GS22" i="3"/>
  <c r="GO22" i="3"/>
  <c r="GK22" i="3"/>
  <c r="GG22" i="3"/>
  <c r="GC22" i="3"/>
  <c r="FY22" i="3"/>
  <c r="FU22" i="3"/>
  <c r="FQ22" i="3"/>
  <c r="FM22" i="3"/>
  <c r="FI22" i="3"/>
  <c r="FE22" i="3"/>
  <c r="FA22" i="3"/>
  <c r="EW22" i="3"/>
  <c r="ES22" i="3"/>
  <c r="EO22" i="3"/>
  <c r="EK22" i="3"/>
  <c r="EG22" i="3"/>
  <c r="EC22" i="3"/>
  <c r="DY22" i="3"/>
  <c r="DU22" i="3"/>
  <c r="DQ22" i="3"/>
  <c r="DM22" i="3"/>
  <c r="DI22" i="3"/>
  <c r="DE22" i="3"/>
  <c r="DA22" i="3"/>
  <c r="CW22" i="3"/>
  <c r="CS22" i="3"/>
  <c r="CO22" i="3"/>
  <c r="CK22" i="3"/>
  <c r="CG22" i="3"/>
  <c r="CC22" i="3"/>
  <c r="BY22" i="3"/>
  <c r="BU22" i="3"/>
  <c r="BQ22" i="3"/>
  <c r="BM22" i="3"/>
  <c r="BI22" i="3"/>
  <c r="BE22" i="3"/>
  <c r="BA22" i="3"/>
  <c r="AW22" i="3"/>
  <c r="AS22" i="3"/>
  <c r="AO22" i="3"/>
  <c r="AK22" i="3"/>
  <c r="AG22" i="3"/>
  <c r="AC22" i="3"/>
  <c r="Y22" i="3"/>
  <c r="U22" i="3"/>
  <c r="Q22" i="3"/>
  <c r="M22" i="3"/>
  <c r="I22" i="3"/>
  <c r="F22" i="3"/>
  <c r="ALP22" i="3"/>
  <c r="ALL22" i="3"/>
  <c r="ALH22" i="3"/>
  <c r="ALD22" i="3"/>
  <c r="AKZ22" i="3"/>
  <c r="AKV22" i="3"/>
  <c r="AKR22" i="3"/>
  <c r="AKN22" i="3"/>
  <c r="AKJ22" i="3"/>
  <c r="AKF22" i="3"/>
  <c r="AKB22" i="3"/>
  <c r="AJX22" i="3"/>
  <c r="AJT22" i="3"/>
  <c r="AJP22" i="3"/>
  <c r="AJL22" i="3"/>
  <c r="AJH22" i="3"/>
  <c r="AJD22" i="3"/>
  <c r="AIZ22" i="3"/>
  <c r="AIV22" i="3"/>
  <c r="AIR22" i="3"/>
  <c r="AIN22" i="3"/>
  <c r="AIJ22" i="3"/>
  <c r="AIF22" i="3"/>
  <c r="AIB22" i="3"/>
  <c r="AHX22" i="3"/>
  <c r="AHT22" i="3"/>
  <c r="AHP22" i="3"/>
  <c r="AHL22" i="3"/>
  <c r="AHH22" i="3"/>
  <c r="AHD22" i="3"/>
  <c r="AGZ22" i="3"/>
  <c r="AGV22" i="3"/>
  <c r="AGR22" i="3"/>
  <c r="AGN22" i="3"/>
  <c r="AGJ22" i="3"/>
  <c r="AGF22" i="3"/>
  <c r="AGB22" i="3"/>
  <c r="AFX22" i="3"/>
  <c r="AFT22" i="3"/>
  <c r="AFP22" i="3"/>
  <c r="AFL22" i="3"/>
  <c r="AFH22" i="3"/>
  <c r="AFD22" i="3"/>
  <c r="AEZ22" i="3"/>
  <c r="AEV22" i="3"/>
  <c r="AER22" i="3"/>
  <c r="AEN22" i="3"/>
  <c r="AEJ22" i="3"/>
  <c r="AEF22" i="3"/>
  <c r="AEB22" i="3"/>
  <c r="ADX22" i="3"/>
  <c r="ADT22" i="3"/>
  <c r="ADP22" i="3"/>
  <c r="ADL22" i="3"/>
  <c r="ADH22" i="3"/>
  <c r="ADD22" i="3"/>
  <c r="ACZ22" i="3"/>
  <c r="ACV22" i="3"/>
  <c r="ACR22" i="3"/>
  <c r="ACN22" i="3"/>
  <c r="ACJ22" i="3"/>
  <c r="ACF22" i="3"/>
  <c r="ACB22" i="3"/>
  <c r="ABX22" i="3"/>
  <c r="ABT22" i="3"/>
  <c r="ABP22" i="3"/>
  <c r="ABL22" i="3"/>
  <c r="ABH22" i="3"/>
  <c r="ABD22" i="3"/>
  <c r="AAZ22" i="3"/>
  <c r="AAV22" i="3"/>
  <c r="AAR22" i="3"/>
  <c r="AAN22" i="3"/>
  <c r="AAJ22" i="3"/>
  <c r="AAF22" i="3"/>
  <c r="AAB22" i="3"/>
  <c r="ZX22" i="3"/>
  <c r="ZT22" i="3"/>
  <c r="ZP22" i="3"/>
  <c r="ZL22" i="3"/>
  <c r="ZH22" i="3"/>
  <c r="ZD22" i="3"/>
  <c r="YZ22" i="3"/>
  <c r="YV22" i="3"/>
  <c r="YR22" i="3"/>
  <c r="YN22" i="3"/>
  <c r="YJ22" i="3"/>
  <c r="YF22" i="3"/>
  <c r="YB22" i="3"/>
  <c r="XX22" i="3"/>
  <c r="XT22" i="3"/>
  <c r="XP22" i="3"/>
  <c r="XL22" i="3"/>
  <c r="XH22" i="3"/>
  <c r="XD22" i="3"/>
  <c r="WZ22" i="3"/>
  <c r="WV22" i="3"/>
  <c r="WR22" i="3"/>
  <c r="WN22" i="3"/>
  <c r="WJ22" i="3"/>
  <c r="WF22" i="3"/>
  <c r="WB22" i="3"/>
  <c r="VX22" i="3"/>
  <c r="VT22" i="3"/>
  <c r="VP22" i="3"/>
  <c r="VL22" i="3"/>
  <c r="VH22" i="3"/>
  <c r="VD22" i="3"/>
  <c r="UZ22" i="3"/>
  <c r="UV22" i="3"/>
  <c r="UR22" i="3"/>
  <c r="UN22" i="3"/>
  <c r="UJ22" i="3"/>
  <c r="UF22" i="3"/>
  <c r="UB22" i="3"/>
  <c r="TX22" i="3"/>
  <c r="TT22" i="3"/>
  <c r="TP22" i="3"/>
  <c r="TL22" i="3"/>
  <c r="TH22" i="3"/>
  <c r="TD22" i="3"/>
  <c r="SZ22" i="3"/>
  <c r="SV22" i="3"/>
  <c r="SR22" i="3"/>
  <c r="SN22" i="3"/>
  <c r="SJ22" i="3"/>
  <c r="SF22" i="3"/>
  <c r="SB22" i="3"/>
  <c r="RX22" i="3"/>
  <c r="RT22" i="3"/>
  <c r="RP22" i="3"/>
  <c r="RL22" i="3"/>
  <c r="RH22" i="3"/>
  <c r="RD22" i="3"/>
  <c r="QZ22" i="3"/>
  <c r="QV22" i="3"/>
  <c r="QR22" i="3"/>
  <c r="QN22" i="3"/>
  <c r="QJ22" i="3"/>
  <c r="QF22" i="3"/>
  <c r="QB22" i="3"/>
  <c r="PX22" i="3"/>
  <c r="PT22" i="3"/>
  <c r="PP22" i="3"/>
  <c r="PL22" i="3"/>
  <c r="PH22" i="3"/>
  <c r="PD22" i="3"/>
  <c r="OZ22" i="3"/>
  <c r="OV22" i="3"/>
  <c r="OR22" i="3"/>
  <c r="ON22" i="3"/>
  <c r="OJ22" i="3"/>
  <c r="OF22" i="3"/>
  <c r="OB22" i="3"/>
  <c r="NX22" i="3"/>
  <c r="NT22" i="3"/>
  <c r="NP22" i="3"/>
  <c r="NL22" i="3"/>
  <c r="NH22" i="3"/>
  <c r="ND22" i="3"/>
  <c r="MZ22" i="3"/>
  <c r="MV22" i="3"/>
  <c r="MR22" i="3"/>
  <c r="MN22" i="3"/>
  <c r="MJ22" i="3"/>
  <c r="MF22" i="3"/>
  <c r="MB22" i="3"/>
  <c r="LX22" i="3"/>
  <c r="LT22" i="3"/>
  <c r="LP22" i="3"/>
  <c r="LL22" i="3"/>
  <c r="LH22" i="3"/>
  <c r="LD22" i="3"/>
  <c r="KZ22" i="3"/>
  <c r="KV22" i="3"/>
  <c r="KR22" i="3"/>
  <c r="KN22" i="3"/>
  <c r="KJ22" i="3"/>
  <c r="KF22" i="3"/>
  <c r="KB22" i="3"/>
  <c r="JX22" i="3"/>
  <c r="JT22" i="3"/>
  <c r="JP22" i="3"/>
  <c r="JL22" i="3"/>
  <c r="JH22" i="3"/>
  <c r="JD22" i="3"/>
  <c r="IZ22" i="3"/>
  <c r="IV22" i="3"/>
  <c r="IR22" i="3"/>
  <c r="IN22" i="3"/>
  <c r="IJ22" i="3"/>
  <c r="IF22" i="3"/>
  <c r="IB22" i="3"/>
  <c r="HX22" i="3"/>
  <c r="HT22" i="3"/>
  <c r="HP22" i="3"/>
  <c r="HL22" i="3"/>
  <c r="HH22" i="3"/>
  <c r="HD22" i="3"/>
  <c r="GZ22" i="3"/>
  <c r="GV22" i="3"/>
  <c r="GR22" i="3"/>
  <c r="GN22" i="3"/>
  <c r="GJ22" i="3"/>
  <c r="GF22" i="3"/>
  <c r="GB22" i="3"/>
  <c r="FX22" i="3"/>
  <c r="FT22" i="3"/>
  <c r="FP22" i="3"/>
  <c r="FL22" i="3"/>
  <c r="FH22" i="3"/>
  <c r="FD22" i="3"/>
  <c r="EZ22" i="3"/>
  <c r="EV22" i="3"/>
  <c r="ER22" i="3"/>
  <c r="EN22" i="3"/>
  <c r="EJ22" i="3"/>
  <c r="EF22" i="3"/>
  <c r="EB22" i="3"/>
  <c r="DX22" i="3"/>
  <c r="DT22" i="3"/>
  <c r="DP22" i="3"/>
  <c r="DL22" i="3"/>
  <c r="DH22" i="3"/>
  <c r="DD22" i="3"/>
  <c r="CZ22" i="3"/>
  <c r="CV22" i="3"/>
  <c r="CR22" i="3"/>
  <c r="CN22" i="3"/>
  <c r="CJ22" i="3"/>
  <c r="CF22" i="3"/>
  <c r="CB22" i="3"/>
  <c r="BX22" i="3"/>
  <c r="BT22" i="3"/>
  <c r="BP22" i="3"/>
  <c r="BL22" i="3"/>
  <c r="BH22" i="3"/>
  <c r="BD22" i="3"/>
  <c r="AZ22" i="3"/>
  <c r="AV22" i="3"/>
  <c r="AR22" i="3"/>
  <c r="AN22" i="3"/>
  <c r="AJ22" i="3"/>
  <c r="AF22" i="3"/>
  <c r="AB22" i="3"/>
  <c r="X22" i="3"/>
  <c r="T22" i="3"/>
  <c r="P22" i="3"/>
  <c r="L22" i="3"/>
  <c r="H22" i="3"/>
  <c r="ALN22" i="3"/>
  <c r="ALF22" i="3"/>
  <c r="AKX22" i="3"/>
  <c r="AKP22" i="3"/>
  <c r="AKH22" i="3"/>
  <c r="AJZ22" i="3"/>
  <c r="AJR22" i="3"/>
  <c r="AJJ22" i="3"/>
  <c r="AJB22" i="3"/>
  <c r="AIT22" i="3"/>
  <c r="AIL22" i="3"/>
  <c r="AID22" i="3"/>
  <c r="AHV22" i="3"/>
  <c r="AHN22" i="3"/>
  <c r="AHF22" i="3"/>
  <c r="AGX22" i="3"/>
  <c r="AGP22" i="3"/>
  <c r="AGH22" i="3"/>
  <c r="AFZ22" i="3"/>
  <c r="AFR22" i="3"/>
  <c r="AFJ22" i="3"/>
  <c r="AFB22" i="3"/>
  <c r="AET22" i="3"/>
  <c r="AEL22" i="3"/>
  <c r="AED22" i="3"/>
  <c r="ADV22" i="3"/>
  <c r="ADN22" i="3"/>
  <c r="ADF22" i="3"/>
  <c r="ACX22" i="3"/>
  <c r="ACP22" i="3"/>
  <c r="ACH22" i="3"/>
  <c r="ABZ22" i="3"/>
  <c r="ABR22" i="3"/>
  <c r="ABJ22" i="3"/>
  <c r="ABB22" i="3"/>
  <c r="AAT22" i="3"/>
  <c r="AAL22" i="3"/>
  <c r="AAD22" i="3"/>
  <c r="ZV22" i="3"/>
  <c r="ZN22" i="3"/>
  <c r="ZF22" i="3"/>
  <c r="YX22" i="3"/>
  <c r="YP22" i="3"/>
  <c r="YH22" i="3"/>
  <c r="XZ22" i="3"/>
  <c r="XR22" i="3"/>
  <c r="XJ22" i="3"/>
  <c r="XB22" i="3"/>
  <c r="WT22" i="3"/>
  <c r="WL22" i="3"/>
  <c r="WD22" i="3"/>
  <c r="VV22" i="3"/>
  <c r="VN22" i="3"/>
  <c r="VF22" i="3"/>
  <c r="UX22" i="3"/>
  <c r="UP22" i="3"/>
  <c r="UH22" i="3"/>
  <c r="TZ22" i="3"/>
  <c r="TR22" i="3"/>
  <c r="TJ22" i="3"/>
  <c r="TB22" i="3"/>
  <c r="ST22" i="3"/>
  <c r="SL22" i="3"/>
  <c r="SD22" i="3"/>
  <c r="RV22" i="3"/>
  <c r="RN22" i="3"/>
  <c r="RF22" i="3"/>
  <c r="QX22" i="3"/>
  <c r="QP22" i="3"/>
  <c r="QH22" i="3"/>
  <c r="PZ22" i="3"/>
  <c r="PR22" i="3"/>
  <c r="PJ22" i="3"/>
  <c r="PB22" i="3"/>
  <c r="OT22" i="3"/>
  <c r="OL22" i="3"/>
  <c r="OD22" i="3"/>
  <c r="NV22" i="3"/>
  <c r="NN22" i="3"/>
  <c r="NF22" i="3"/>
  <c r="MX22" i="3"/>
  <c r="MP22" i="3"/>
  <c r="MH22" i="3"/>
  <c r="LZ22" i="3"/>
  <c r="LR22" i="3"/>
  <c r="LJ22" i="3"/>
  <c r="LB22" i="3"/>
  <c r="KT22" i="3"/>
  <c r="KL22" i="3"/>
  <c r="KD22" i="3"/>
  <c r="JV22" i="3"/>
  <c r="JN22" i="3"/>
  <c r="JF22" i="3"/>
  <c r="IX22" i="3"/>
  <c r="IP22" i="3"/>
  <c r="IH22" i="3"/>
  <c r="HZ22" i="3"/>
  <c r="HR22" i="3"/>
  <c r="HJ22" i="3"/>
  <c r="HB22" i="3"/>
  <c r="GT22" i="3"/>
  <c r="GL22" i="3"/>
  <c r="GD22" i="3"/>
  <c r="FV22" i="3"/>
  <c r="FN22" i="3"/>
  <c r="FF22" i="3"/>
  <c r="EX22" i="3"/>
  <c r="EP22" i="3"/>
  <c r="EH22" i="3"/>
  <c r="DZ22" i="3"/>
  <c r="DR22" i="3"/>
  <c r="DJ22" i="3"/>
  <c r="DB22" i="3"/>
  <c r="CT22" i="3"/>
  <c r="CL22" i="3"/>
  <c r="CD22" i="3"/>
  <c r="BV22" i="3"/>
  <c r="BN22" i="3"/>
  <c r="BF22" i="3"/>
  <c r="AX22" i="3"/>
  <c r="AP22" i="3"/>
  <c r="AH22" i="3"/>
  <c r="Z22" i="3"/>
  <c r="R22" i="3"/>
  <c r="J22" i="3"/>
  <c r="ALK22" i="3"/>
  <c r="ALC22" i="3"/>
  <c r="AKU22" i="3"/>
  <c r="AKM22" i="3"/>
  <c r="AKE22" i="3"/>
  <c r="AJW22" i="3"/>
  <c r="AJO22" i="3"/>
  <c r="AJG22" i="3"/>
  <c r="AIY22" i="3"/>
  <c r="AIQ22" i="3"/>
  <c r="AII22" i="3"/>
  <c r="AIA22" i="3"/>
  <c r="AHS22" i="3"/>
  <c r="AHK22" i="3"/>
  <c r="AHC22" i="3"/>
  <c r="AGU22" i="3"/>
  <c r="AGM22" i="3"/>
  <c r="AGE22" i="3"/>
  <c r="AFW22" i="3"/>
  <c r="AFO22" i="3"/>
  <c r="AFG22" i="3"/>
  <c r="AEY22" i="3"/>
  <c r="AEQ22" i="3"/>
  <c r="AEI22" i="3"/>
  <c r="AEA22" i="3"/>
  <c r="ADS22" i="3"/>
  <c r="ADK22" i="3"/>
  <c r="ADC22" i="3"/>
  <c r="ACU22" i="3"/>
  <c r="ACM22" i="3"/>
  <c r="ACE22" i="3"/>
  <c r="ABW22" i="3"/>
  <c r="ABO22" i="3"/>
  <c r="ABG22" i="3"/>
  <c r="AAY22" i="3"/>
  <c r="AAQ22" i="3"/>
  <c r="AAI22" i="3"/>
  <c r="AAA22" i="3"/>
  <c r="ZS22" i="3"/>
  <c r="ZK22" i="3"/>
  <c r="ZC22" i="3"/>
  <c r="YU22" i="3"/>
  <c r="YM22" i="3"/>
  <c r="YE22" i="3"/>
  <c r="XW22" i="3"/>
  <c r="XO22" i="3"/>
  <c r="XG22" i="3"/>
  <c r="WY22" i="3"/>
  <c r="WQ22" i="3"/>
  <c r="WI22" i="3"/>
  <c r="WA22" i="3"/>
  <c r="VS22" i="3"/>
  <c r="VK22" i="3"/>
  <c r="VC22" i="3"/>
  <c r="UU22" i="3"/>
  <c r="UM22" i="3"/>
  <c r="UE22" i="3"/>
  <c r="TW22" i="3"/>
  <c r="TO22" i="3"/>
  <c r="TG22" i="3"/>
  <c r="SY22" i="3"/>
  <c r="SQ22" i="3"/>
  <c r="SI22" i="3"/>
  <c r="SA22" i="3"/>
  <c r="RS22" i="3"/>
  <c r="RK22" i="3"/>
  <c r="RC22" i="3"/>
  <c r="QU22" i="3"/>
  <c r="QM22" i="3"/>
  <c r="QE22" i="3"/>
  <c r="PW22" i="3"/>
  <c r="PO22" i="3"/>
  <c r="PG22" i="3"/>
  <c r="OY22" i="3"/>
  <c r="OQ22" i="3"/>
  <c r="OI22" i="3"/>
  <c r="OA22" i="3"/>
  <c r="NS22" i="3"/>
  <c r="NK22" i="3"/>
  <c r="NC22" i="3"/>
  <c r="MU22" i="3"/>
  <c r="MM22" i="3"/>
  <c r="ME22" i="3"/>
  <c r="LW22" i="3"/>
  <c r="LO22" i="3"/>
  <c r="LG22" i="3"/>
  <c r="KY22" i="3"/>
  <c r="KQ22" i="3"/>
  <c r="KI22" i="3"/>
  <c r="KA22" i="3"/>
  <c r="JS22" i="3"/>
  <c r="JK22" i="3"/>
  <c r="JC22" i="3"/>
  <c r="IU22" i="3"/>
  <c r="IM22" i="3"/>
  <c r="IE22" i="3"/>
  <c r="HW22" i="3"/>
  <c r="HO22" i="3"/>
  <c r="HG22" i="3"/>
  <c r="GY22" i="3"/>
  <c r="GQ22" i="3"/>
  <c r="GI22" i="3"/>
  <c r="GA22" i="3"/>
  <c r="FS22" i="3"/>
  <c r="FK22" i="3"/>
  <c r="FC22" i="3"/>
  <c r="EU22" i="3"/>
  <c r="EM22" i="3"/>
  <c r="EE22" i="3"/>
  <c r="DW22" i="3"/>
  <c r="DO22" i="3"/>
  <c r="DG22" i="3"/>
  <c r="CY22" i="3"/>
  <c r="CQ22" i="3"/>
  <c r="CI22" i="3"/>
  <c r="CA22" i="3"/>
  <c r="BS22" i="3"/>
  <c r="BK22" i="3"/>
  <c r="BC22" i="3"/>
  <c r="AU22" i="3"/>
  <c r="AM22" i="3"/>
  <c r="AE22" i="3"/>
  <c r="W22" i="3"/>
  <c r="O22" i="3"/>
  <c r="G22" i="3"/>
  <c r="ALJ22" i="3"/>
  <c r="ALB22" i="3"/>
  <c r="AKT22" i="3"/>
  <c r="AKL22" i="3"/>
  <c r="AKD22" i="3"/>
  <c r="AJV22" i="3"/>
  <c r="AJN22" i="3"/>
  <c r="AJF22" i="3"/>
  <c r="AIX22" i="3"/>
  <c r="AIP22" i="3"/>
  <c r="AIH22" i="3"/>
  <c r="AHZ22" i="3"/>
  <c r="AHR22" i="3"/>
  <c r="AHJ22" i="3"/>
  <c r="AHB22" i="3"/>
  <c r="AGT22" i="3"/>
  <c r="AGL22" i="3"/>
  <c r="AGD22" i="3"/>
  <c r="AFV22" i="3"/>
  <c r="AFN22" i="3"/>
  <c r="AFF22" i="3"/>
  <c r="AEX22" i="3"/>
  <c r="AEP22" i="3"/>
  <c r="AEH22" i="3"/>
  <c r="ADZ22" i="3"/>
  <c r="ADR22" i="3"/>
  <c r="ADJ22" i="3"/>
  <c r="ADB22" i="3"/>
  <c r="ACT22" i="3"/>
  <c r="ACL22" i="3"/>
  <c r="ACD22" i="3"/>
  <c r="ABV22" i="3"/>
  <c r="ABN22" i="3"/>
  <c r="ABF22" i="3"/>
  <c r="AAX22" i="3"/>
  <c r="AAP22" i="3"/>
  <c r="AAH22" i="3"/>
  <c r="ZZ22" i="3"/>
  <c r="ZR22" i="3"/>
  <c r="ZJ22" i="3"/>
  <c r="ZB22" i="3"/>
  <c r="YT22" i="3"/>
  <c r="YL22" i="3"/>
  <c r="YD22" i="3"/>
  <c r="XV22" i="3"/>
  <c r="XN22" i="3"/>
  <c r="XF22" i="3"/>
  <c r="WX22" i="3"/>
  <c r="WP22" i="3"/>
  <c r="WH22" i="3"/>
  <c r="VZ22" i="3"/>
  <c r="VR22" i="3"/>
  <c r="VJ22" i="3"/>
  <c r="VB22" i="3"/>
  <c r="UT22" i="3"/>
  <c r="UL22" i="3"/>
  <c r="UD22" i="3"/>
  <c r="TV22" i="3"/>
  <c r="TN22" i="3"/>
  <c r="TF22" i="3"/>
  <c r="SX22" i="3"/>
  <c r="SP22" i="3"/>
  <c r="SH22" i="3"/>
  <c r="RZ22" i="3"/>
  <c r="RR22" i="3"/>
  <c r="RJ22" i="3"/>
  <c r="RB22" i="3"/>
  <c r="QT22" i="3"/>
  <c r="QL22" i="3"/>
  <c r="QD22" i="3"/>
  <c r="PV22" i="3"/>
  <c r="PN22" i="3"/>
  <c r="PF22" i="3"/>
  <c r="OX22" i="3"/>
  <c r="OP22" i="3"/>
  <c r="OH22" i="3"/>
  <c r="NZ22" i="3"/>
  <c r="NR22" i="3"/>
  <c r="NJ22" i="3"/>
  <c r="NB22" i="3"/>
  <c r="MT22" i="3"/>
  <c r="ML22" i="3"/>
  <c r="MD22" i="3"/>
  <c r="LV22" i="3"/>
  <c r="LN22" i="3"/>
  <c r="LF22" i="3"/>
  <c r="KX22" i="3"/>
  <c r="KP22" i="3"/>
  <c r="KH22" i="3"/>
  <c r="JZ22" i="3"/>
  <c r="JR22" i="3"/>
  <c r="JJ22" i="3"/>
  <c r="JB22" i="3"/>
  <c r="IT22" i="3"/>
  <c r="IL22" i="3"/>
  <c r="ID22" i="3"/>
  <c r="HV22" i="3"/>
  <c r="HN22" i="3"/>
  <c r="HF22" i="3"/>
  <c r="GX22" i="3"/>
  <c r="GP22" i="3"/>
  <c r="GH22" i="3"/>
  <c r="FZ22" i="3"/>
  <c r="FR22" i="3"/>
  <c r="FJ22" i="3"/>
  <c r="FB22" i="3"/>
  <c r="ET22" i="3"/>
  <c r="EL22" i="3"/>
  <c r="ED22" i="3"/>
  <c r="DV22" i="3"/>
  <c r="DN22" i="3"/>
  <c r="DF22" i="3"/>
  <c r="CX22" i="3"/>
  <c r="CP22" i="3"/>
  <c r="CH22" i="3"/>
  <c r="BZ22" i="3"/>
  <c r="BR22" i="3"/>
  <c r="BJ22" i="3"/>
  <c r="BB22" i="3"/>
  <c r="AT22" i="3"/>
  <c r="AL22" i="3"/>
  <c r="AD22" i="3"/>
  <c r="V22" i="3"/>
  <c r="N22" i="3"/>
  <c r="P3" i="3"/>
  <c r="AF3" i="3"/>
  <c r="AV3" i="3"/>
  <c r="BL3" i="3"/>
  <c r="CB3" i="3"/>
  <c r="CR3" i="3"/>
  <c r="DH3" i="3"/>
  <c r="DX3" i="3"/>
  <c r="EN3" i="3"/>
  <c r="FD3" i="3"/>
  <c r="FT3" i="3"/>
  <c r="GJ3" i="3"/>
  <c r="GZ3" i="3"/>
  <c r="HP3" i="3"/>
  <c r="IF3" i="3"/>
  <c r="IV3" i="3"/>
  <c r="JL3" i="3"/>
  <c r="KB3" i="3"/>
  <c r="KR3" i="3"/>
  <c r="LH3" i="3"/>
  <c r="LX3" i="3"/>
  <c r="MN3" i="3"/>
  <c r="ND3" i="3"/>
  <c r="NT3" i="3"/>
  <c r="OJ3" i="3"/>
  <c r="OZ3" i="3"/>
  <c r="PP3" i="3"/>
  <c r="QF3" i="3"/>
  <c r="QV3" i="3"/>
  <c r="RL3" i="3"/>
  <c r="SB3" i="3"/>
  <c r="SR3" i="3"/>
  <c r="TH3" i="3"/>
  <c r="TX3" i="3"/>
  <c r="UN3" i="3"/>
  <c r="VD3" i="3"/>
  <c r="VT3" i="3"/>
  <c r="WJ3" i="3"/>
  <c r="WZ3" i="3"/>
  <c r="XP3" i="3"/>
  <c r="YF3" i="3"/>
  <c r="YV3" i="3"/>
  <c r="ZL3" i="3"/>
  <c r="AAB3" i="3"/>
  <c r="AAR3" i="3"/>
  <c r="ABH3" i="3"/>
  <c r="ABX3" i="3"/>
  <c r="ACN3" i="3"/>
  <c r="ADD3" i="3"/>
  <c r="ADT3" i="3"/>
  <c r="AEJ3" i="3"/>
  <c r="AEZ3" i="3"/>
  <c r="AFP3" i="3"/>
  <c r="AGF3" i="3"/>
  <c r="AGV3" i="3"/>
  <c r="AHL3" i="3"/>
  <c r="AIB3" i="3"/>
  <c r="AIR3" i="3"/>
  <c r="AJH3" i="3"/>
  <c r="AJX3" i="3"/>
  <c r="AKN3" i="3"/>
  <c r="ALD3" i="3"/>
  <c r="L16" i="3"/>
  <c r="AB16" i="3"/>
  <c r="AR16" i="3"/>
  <c r="BH16" i="3"/>
  <c r="BX16" i="3"/>
  <c r="CN16" i="3"/>
  <c r="DD16" i="3"/>
  <c r="DT16" i="3"/>
  <c r="EJ16" i="3"/>
  <c r="EZ16" i="3"/>
  <c r="FP16" i="3"/>
  <c r="GF16" i="3"/>
  <c r="GV16" i="3"/>
  <c r="HL16" i="3"/>
  <c r="IB16" i="3"/>
  <c r="IR16" i="3"/>
  <c r="JH16" i="3"/>
  <c r="JX16" i="3"/>
  <c r="KN16" i="3"/>
  <c r="LD16" i="3"/>
  <c r="LT16" i="3"/>
  <c r="MJ16" i="3"/>
  <c r="MZ16" i="3"/>
  <c r="NP16" i="3"/>
  <c r="OF16" i="3"/>
  <c r="OV16" i="3"/>
  <c r="PL16" i="3"/>
  <c r="QB16" i="3"/>
  <c r="QR16" i="3"/>
  <c r="RH16" i="3"/>
  <c r="RX16" i="3"/>
  <c r="SN16" i="3"/>
  <c r="TD16" i="3"/>
  <c r="TT16" i="3"/>
  <c r="UJ16" i="3"/>
  <c r="UZ16" i="3"/>
  <c r="VP16" i="3"/>
  <c r="WF16" i="3"/>
  <c r="WV16" i="3"/>
  <c r="XL16" i="3"/>
  <c r="YB16" i="3"/>
  <c r="YR16" i="3"/>
  <c r="ZH16" i="3"/>
  <c r="ZX16" i="3"/>
  <c r="AAN16" i="3"/>
  <c r="ABD16" i="3"/>
  <c r="ABT16" i="3"/>
  <c r="ACJ16" i="3"/>
  <c r="ACZ16" i="3"/>
  <c r="ADP16" i="3"/>
  <c r="AEF16" i="3"/>
  <c r="AEV16" i="3"/>
  <c r="AFL16" i="3"/>
  <c r="AGB16" i="3"/>
  <c r="AGR16" i="3"/>
  <c r="AHH16" i="3"/>
  <c r="AHX16" i="3"/>
  <c r="AIN16" i="3"/>
  <c r="AJD16" i="3"/>
  <c r="AJT16" i="3"/>
  <c r="AKJ16" i="3"/>
  <c r="AKZ16" i="3"/>
  <c r="ALP16" i="3"/>
  <c r="S17" i="3"/>
  <c r="AI17" i="3"/>
  <c r="AY17" i="3"/>
  <c r="BO17" i="3"/>
  <c r="CE17" i="3"/>
  <c r="CU17" i="3"/>
  <c r="DK17" i="3"/>
  <c r="EA17" i="3"/>
  <c r="EQ17" i="3"/>
  <c r="FG17" i="3"/>
  <c r="FW17" i="3"/>
  <c r="GM17" i="3"/>
  <c r="HC17" i="3"/>
  <c r="HS17" i="3"/>
  <c r="II17" i="3"/>
  <c r="IY17" i="3"/>
  <c r="JO17" i="3"/>
  <c r="KE17" i="3"/>
  <c r="KU17" i="3"/>
  <c r="LK17" i="3"/>
  <c r="MA17" i="3"/>
  <c r="MQ17" i="3"/>
  <c r="NG17" i="3"/>
  <c r="NW17" i="3"/>
  <c r="OM17" i="3"/>
  <c r="PC17" i="3"/>
  <c r="PS17" i="3"/>
  <c r="QI17" i="3"/>
  <c r="QY17" i="3"/>
  <c r="RO17" i="3"/>
  <c r="SE17" i="3"/>
  <c r="SU17" i="3"/>
  <c r="TK17" i="3"/>
  <c r="UA17" i="3"/>
  <c r="UQ17" i="3"/>
  <c r="VG17" i="3"/>
  <c r="VW17" i="3"/>
  <c r="WM17" i="3"/>
  <c r="XC17" i="3"/>
  <c r="XS17" i="3"/>
  <c r="YI17" i="3"/>
  <c r="YY17" i="3"/>
  <c r="ZO17" i="3"/>
  <c r="AAE17" i="3"/>
  <c r="AAU17" i="3"/>
  <c r="ABK17" i="3"/>
  <c r="ACA17" i="3"/>
  <c r="ACQ17" i="3"/>
  <c r="ADG17" i="3"/>
  <c r="ADW17" i="3"/>
  <c r="AEM17" i="3"/>
  <c r="AFC17" i="3"/>
  <c r="AFS17" i="3"/>
  <c r="AGI17" i="3"/>
  <c r="AGY17" i="3"/>
  <c r="AHO17" i="3"/>
  <c r="AIE17" i="3"/>
  <c r="AIU17" i="3"/>
  <c r="AJK17" i="3"/>
  <c r="AKA17" i="3"/>
  <c r="AKQ17" i="3"/>
  <c r="ALG17" i="3"/>
  <c r="J18" i="3"/>
  <c r="Z18" i="3"/>
  <c r="AP18" i="3"/>
  <c r="BF18" i="3"/>
  <c r="BV18" i="3"/>
  <c r="CL18" i="3"/>
  <c r="DB18" i="3"/>
  <c r="DR18" i="3"/>
  <c r="EH18" i="3"/>
  <c r="EX18" i="3"/>
  <c r="FN18" i="3"/>
  <c r="GD18" i="3"/>
  <c r="GT18" i="3"/>
  <c r="HJ18" i="3"/>
  <c r="HZ18" i="3"/>
  <c r="IP18" i="3"/>
  <c r="JF18" i="3"/>
  <c r="JV18" i="3"/>
  <c r="KL18" i="3"/>
  <c r="LB18" i="3"/>
  <c r="LR18" i="3"/>
  <c r="MH18" i="3"/>
  <c r="MX18" i="3"/>
  <c r="NN18" i="3"/>
  <c r="OD18" i="3"/>
  <c r="OT18" i="3"/>
  <c r="PJ18" i="3"/>
  <c r="PZ18" i="3"/>
  <c r="QP18" i="3"/>
  <c r="RF18" i="3"/>
  <c r="RV18" i="3"/>
  <c r="SL18" i="3"/>
  <c r="TG18" i="3"/>
  <c r="UB18" i="3"/>
  <c r="UX18" i="3"/>
  <c r="VS18" i="3"/>
  <c r="WN18" i="3"/>
  <c r="XJ18" i="3"/>
  <c r="YE18" i="3"/>
  <c r="YZ18" i="3"/>
  <c r="ZV18" i="3"/>
  <c r="AAQ18" i="3"/>
  <c r="ABL18" i="3"/>
  <c r="ACH18" i="3"/>
  <c r="ADC18" i="3"/>
  <c r="ADX18" i="3"/>
  <c r="AET18" i="3"/>
  <c r="AFO18" i="3"/>
  <c r="AGJ18" i="3"/>
  <c r="AHF18" i="3"/>
  <c r="AIA18" i="3"/>
  <c r="AIV18" i="3"/>
  <c r="AJR18" i="3"/>
  <c r="AKM18" i="3"/>
  <c r="ALH18" i="3"/>
  <c r="S22" i="3"/>
  <c r="AY22" i="3"/>
  <c r="CE22" i="3"/>
  <c r="DK22" i="3"/>
  <c r="EQ22" i="3"/>
  <c r="FW22" i="3"/>
  <c r="HC22" i="3"/>
  <c r="II22" i="3"/>
  <c r="JO22" i="3"/>
  <c r="KU22" i="3"/>
  <c r="MA22" i="3"/>
  <c r="NG22" i="3"/>
  <c r="OM22" i="3"/>
  <c r="PS22" i="3"/>
  <c r="QY22" i="3"/>
  <c r="SE22" i="3"/>
  <c r="TK22" i="3"/>
  <c r="UQ22" i="3"/>
  <c r="VW22" i="3"/>
  <c r="XC22" i="3"/>
  <c r="YI22" i="3"/>
  <c r="ZO22" i="3"/>
  <c r="AAU22" i="3"/>
  <c r="ACA22" i="3"/>
  <c r="ADG22" i="3"/>
  <c r="AEM22" i="3"/>
  <c r="AFS22" i="3"/>
  <c r="AGY22" i="3"/>
  <c r="AIE22" i="3"/>
  <c r="AJK22" i="3"/>
  <c r="AKQ22" i="3"/>
  <c r="Q23" i="3"/>
  <c r="CC23" i="3"/>
  <c r="EO23" i="3"/>
  <c r="HA23" i="3"/>
  <c r="JM23" i="3"/>
  <c r="LY23" i="3"/>
  <c r="OK23" i="3"/>
  <c r="QW23" i="3"/>
  <c r="TI23" i="3"/>
  <c r="VU23" i="3"/>
  <c r="YG23" i="3"/>
  <c r="AAS23" i="3"/>
  <c r="ADE23" i="3"/>
  <c r="AFQ23" i="3"/>
  <c r="AIC23" i="3"/>
  <c r="V26" i="3"/>
  <c r="CH26" i="3"/>
  <c r="ET26" i="3"/>
  <c r="HF26" i="3"/>
  <c r="JR26" i="3"/>
  <c r="MD26" i="3"/>
  <c r="OP26" i="3"/>
  <c r="RB26" i="3"/>
  <c r="TN26" i="3"/>
  <c r="VZ26" i="3"/>
  <c r="YL26" i="3"/>
  <c r="AAX26" i="3"/>
  <c r="ADJ26" i="3"/>
  <c r="AFV26" i="3"/>
  <c r="AIH26" i="3"/>
  <c r="AKT26" i="3"/>
  <c r="AS27" i="3"/>
  <c r="DE27" i="3"/>
  <c r="FQ27" i="3"/>
  <c r="IC27" i="3"/>
  <c r="KO27" i="3"/>
  <c r="NA27" i="3"/>
  <c r="PM27" i="3"/>
  <c r="ALP23" i="3"/>
  <c r="ALL23" i="3"/>
  <c r="ALH23" i="3"/>
  <c r="ALD23" i="3"/>
  <c r="AKZ23" i="3"/>
  <c r="AKV23" i="3"/>
  <c r="AKR23" i="3"/>
  <c r="AKN23" i="3"/>
  <c r="AKJ23" i="3"/>
  <c r="AKF23" i="3"/>
  <c r="AKB23" i="3"/>
  <c r="AJX23" i="3"/>
  <c r="AJT23" i="3"/>
  <c r="AJP23" i="3"/>
  <c r="AJL23" i="3"/>
  <c r="AJH23" i="3"/>
  <c r="AJD23" i="3"/>
  <c r="AIZ23" i="3"/>
  <c r="AIV23" i="3"/>
  <c r="AIR23" i="3"/>
  <c r="AIN23" i="3"/>
  <c r="AIJ23" i="3"/>
  <c r="AIF23" i="3"/>
  <c r="AIB23" i="3"/>
  <c r="AHX23" i="3"/>
  <c r="AHT23" i="3"/>
  <c r="AHP23" i="3"/>
  <c r="AHL23" i="3"/>
  <c r="AHH23" i="3"/>
  <c r="AHD23" i="3"/>
  <c r="AGZ23" i="3"/>
  <c r="AGV23" i="3"/>
  <c r="AGR23" i="3"/>
  <c r="AGN23" i="3"/>
  <c r="AGJ23" i="3"/>
  <c r="AGF23" i="3"/>
  <c r="AGB23" i="3"/>
  <c r="AFX23" i="3"/>
  <c r="AFT23" i="3"/>
  <c r="AFP23" i="3"/>
  <c r="AFL23" i="3"/>
  <c r="AFH23" i="3"/>
  <c r="AFD23" i="3"/>
  <c r="AEZ23" i="3"/>
  <c r="AEV23" i="3"/>
  <c r="AER23" i="3"/>
  <c r="AEN23" i="3"/>
  <c r="AEJ23" i="3"/>
  <c r="AEF23" i="3"/>
  <c r="AEB23" i="3"/>
  <c r="ADX23" i="3"/>
  <c r="ADT23" i="3"/>
  <c r="ADP23" i="3"/>
  <c r="ADL23" i="3"/>
  <c r="ADH23" i="3"/>
  <c r="ADD23" i="3"/>
  <c r="ACZ23" i="3"/>
  <c r="ACV23" i="3"/>
  <c r="ACR23" i="3"/>
  <c r="ACN23" i="3"/>
  <c r="ACJ23" i="3"/>
  <c r="ACF23" i="3"/>
  <c r="ACB23" i="3"/>
  <c r="ABX23" i="3"/>
  <c r="ABT23" i="3"/>
  <c r="ABP23" i="3"/>
  <c r="ABL23" i="3"/>
  <c r="ABH23" i="3"/>
  <c r="ABD23" i="3"/>
  <c r="AAZ23" i="3"/>
  <c r="AAV23" i="3"/>
  <c r="AAR23" i="3"/>
  <c r="AAN23" i="3"/>
  <c r="AAJ23" i="3"/>
  <c r="AAF23" i="3"/>
  <c r="AAB23" i="3"/>
  <c r="ZX23" i="3"/>
  <c r="ZT23" i="3"/>
  <c r="ZP23" i="3"/>
  <c r="ZL23" i="3"/>
  <c r="ZH23" i="3"/>
  <c r="ZD23" i="3"/>
  <c r="YZ23" i="3"/>
  <c r="YV23" i="3"/>
  <c r="YR23" i="3"/>
  <c r="YN23" i="3"/>
  <c r="YJ23" i="3"/>
  <c r="YF23" i="3"/>
  <c r="YB23" i="3"/>
  <c r="XX23" i="3"/>
  <c r="XT23" i="3"/>
  <c r="XP23" i="3"/>
  <c r="XL23" i="3"/>
  <c r="XH23" i="3"/>
  <c r="XD23" i="3"/>
  <c r="WZ23" i="3"/>
  <c r="WV23" i="3"/>
  <c r="WR23" i="3"/>
  <c r="WN23" i="3"/>
  <c r="WJ23" i="3"/>
  <c r="WF23" i="3"/>
  <c r="WB23" i="3"/>
  <c r="VX23" i="3"/>
  <c r="VT23" i="3"/>
  <c r="VP23" i="3"/>
  <c r="VL23" i="3"/>
  <c r="VH23" i="3"/>
  <c r="VD23" i="3"/>
  <c r="UZ23" i="3"/>
  <c r="UV23" i="3"/>
  <c r="UR23" i="3"/>
  <c r="UN23" i="3"/>
  <c r="UJ23" i="3"/>
  <c r="UF23" i="3"/>
  <c r="UB23" i="3"/>
  <c r="TX23" i="3"/>
  <c r="TT23" i="3"/>
  <c r="TP23" i="3"/>
  <c r="TL23" i="3"/>
  <c r="TH23" i="3"/>
  <c r="TD23" i="3"/>
  <c r="SZ23" i="3"/>
  <c r="SV23" i="3"/>
  <c r="SR23" i="3"/>
  <c r="SN23" i="3"/>
  <c r="SJ23" i="3"/>
  <c r="SF23" i="3"/>
  <c r="SB23" i="3"/>
  <c r="RX23" i="3"/>
  <c r="RT23" i="3"/>
  <c r="RP23" i="3"/>
  <c r="RL23" i="3"/>
  <c r="RH23" i="3"/>
  <c r="RD23" i="3"/>
  <c r="QZ23" i="3"/>
  <c r="QV23" i="3"/>
  <c r="QR23" i="3"/>
  <c r="QN23" i="3"/>
  <c r="QJ23" i="3"/>
  <c r="QF23" i="3"/>
  <c r="QB23" i="3"/>
  <c r="PX23" i="3"/>
  <c r="PT23" i="3"/>
  <c r="PP23" i="3"/>
  <c r="PL23" i="3"/>
  <c r="PH23" i="3"/>
  <c r="PD23" i="3"/>
  <c r="OZ23" i="3"/>
  <c r="OV23" i="3"/>
  <c r="OR23" i="3"/>
  <c r="ON23" i="3"/>
  <c r="OJ23" i="3"/>
  <c r="OF23" i="3"/>
  <c r="OB23" i="3"/>
  <c r="NX23" i="3"/>
  <c r="NT23" i="3"/>
  <c r="NP23" i="3"/>
  <c r="NL23" i="3"/>
  <c r="NH23" i="3"/>
  <c r="ND23" i="3"/>
  <c r="MZ23" i="3"/>
  <c r="MV23" i="3"/>
  <c r="MR23" i="3"/>
  <c r="MN23" i="3"/>
  <c r="MJ23" i="3"/>
  <c r="MF23" i="3"/>
  <c r="MB23" i="3"/>
  <c r="LX23" i="3"/>
  <c r="LT23" i="3"/>
  <c r="LP23" i="3"/>
  <c r="LL23" i="3"/>
  <c r="LH23" i="3"/>
  <c r="LD23" i="3"/>
  <c r="KZ23" i="3"/>
  <c r="KV23" i="3"/>
  <c r="KR23" i="3"/>
  <c r="KN23" i="3"/>
  <c r="KJ23" i="3"/>
  <c r="KF23" i="3"/>
  <c r="KB23" i="3"/>
  <c r="JX23" i="3"/>
  <c r="JT23" i="3"/>
  <c r="JP23" i="3"/>
  <c r="JL23" i="3"/>
  <c r="JH23" i="3"/>
  <c r="JD23" i="3"/>
  <c r="IZ23" i="3"/>
  <c r="IV23" i="3"/>
  <c r="IR23" i="3"/>
  <c r="IN23" i="3"/>
  <c r="IJ23" i="3"/>
  <c r="IF23" i="3"/>
  <c r="IB23" i="3"/>
  <c r="HX23" i="3"/>
  <c r="HT23" i="3"/>
  <c r="HP23" i="3"/>
  <c r="HL23" i="3"/>
  <c r="HH23" i="3"/>
  <c r="HD23" i="3"/>
  <c r="GZ23" i="3"/>
  <c r="GV23" i="3"/>
  <c r="GR23" i="3"/>
  <c r="GN23" i="3"/>
  <c r="GJ23" i="3"/>
  <c r="GF23" i="3"/>
  <c r="GB23" i="3"/>
  <c r="FX23" i="3"/>
  <c r="FT23" i="3"/>
  <c r="FP23" i="3"/>
  <c r="FL23" i="3"/>
  <c r="FH23" i="3"/>
  <c r="FD23" i="3"/>
  <c r="EZ23" i="3"/>
  <c r="EV23" i="3"/>
  <c r="ER23" i="3"/>
  <c r="EN23" i="3"/>
  <c r="EJ23" i="3"/>
  <c r="EF23" i="3"/>
  <c r="EB23" i="3"/>
  <c r="DX23" i="3"/>
  <c r="DT23" i="3"/>
  <c r="DP23" i="3"/>
  <c r="DL23" i="3"/>
  <c r="DH23" i="3"/>
  <c r="DD23" i="3"/>
  <c r="CZ23" i="3"/>
  <c r="CV23" i="3"/>
  <c r="CR23" i="3"/>
  <c r="CN23" i="3"/>
  <c r="CJ23" i="3"/>
  <c r="CF23" i="3"/>
  <c r="CB23" i="3"/>
  <c r="BX23" i="3"/>
  <c r="BT23" i="3"/>
  <c r="BP23" i="3"/>
  <c r="BL23" i="3"/>
  <c r="BH23" i="3"/>
  <c r="BD23" i="3"/>
  <c r="AZ23" i="3"/>
  <c r="AV23" i="3"/>
  <c r="AR23" i="3"/>
  <c r="AN23" i="3"/>
  <c r="AJ23" i="3"/>
  <c r="AF23" i="3"/>
  <c r="AB23" i="3"/>
  <c r="X23" i="3"/>
  <c r="T23" i="3"/>
  <c r="P23" i="3"/>
  <c r="L23" i="3"/>
  <c r="H23" i="3"/>
  <c r="ALO23" i="3"/>
  <c r="ALK23" i="3"/>
  <c r="ALG23" i="3"/>
  <c r="ALC23" i="3"/>
  <c r="AKY23" i="3"/>
  <c r="AKU23" i="3"/>
  <c r="AKQ23" i="3"/>
  <c r="AKM23" i="3"/>
  <c r="AKI23" i="3"/>
  <c r="AKE23" i="3"/>
  <c r="AKA23" i="3"/>
  <c r="AJW23" i="3"/>
  <c r="AJS23" i="3"/>
  <c r="AJO23" i="3"/>
  <c r="AJK23" i="3"/>
  <c r="AJG23" i="3"/>
  <c r="AJC23" i="3"/>
  <c r="AIY23" i="3"/>
  <c r="AIU23" i="3"/>
  <c r="AIQ23" i="3"/>
  <c r="AIM23" i="3"/>
  <c r="AII23" i="3"/>
  <c r="AIE23" i="3"/>
  <c r="AIA23" i="3"/>
  <c r="AHW23" i="3"/>
  <c r="AHS23" i="3"/>
  <c r="AHO23" i="3"/>
  <c r="AHK23" i="3"/>
  <c r="AHG23" i="3"/>
  <c r="AHC23" i="3"/>
  <c r="AGY23" i="3"/>
  <c r="AGU23" i="3"/>
  <c r="AGQ23" i="3"/>
  <c r="AGM23" i="3"/>
  <c r="AGI23" i="3"/>
  <c r="AGE23" i="3"/>
  <c r="AGA23" i="3"/>
  <c r="AFW23" i="3"/>
  <c r="AFS23" i="3"/>
  <c r="AFO23" i="3"/>
  <c r="AFK23" i="3"/>
  <c r="AFG23" i="3"/>
  <c r="AFC23" i="3"/>
  <c r="AEY23" i="3"/>
  <c r="AEU23" i="3"/>
  <c r="AEQ23" i="3"/>
  <c r="AEM23" i="3"/>
  <c r="AEI23" i="3"/>
  <c r="AEE23" i="3"/>
  <c r="AEA23" i="3"/>
  <c r="ADW23" i="3"/>
  <c r="ADS23" i="3"/>
  <c r="ADO23" i="3"/>
  <c r="ADK23" i="3"/>
  <c r="ADG23" i="3"/>
  <c r="ADC23" i="3"/>
  <c r="ACY23" i="3"/>
  <c r="ACU23" i="3"/>
  <c r="ACQ23" i="3"/>
  <c r="ACM23" i="3"/>
  <c r="ACI23" i="3"/>
  <c r="ACE23" i="3"/>
  <c r="ACA23" i="3"/>
  <c r="ABW23" i="3"/>
  <c r="ABS23" i="3"/>
  <c r="ABO23" i="3"/>
  <c r="ABK23" i="3"/>
  <c r="ABG23" i="3"/>
  <c r="ABC23" i="3"/>
  <c r="AAY23" i="3"/>
  <c r="AAU23" i="3"/>
  <c r="AAQ23" i="3"/>
  <c r="AAM23" i="3"/>
  <c r="AAI23" i="3"/>
  <c r="AAE23" i="3"/>
  <c r="AAA23" i="3"/>
  <c r="ZW23" i="3"/>
  <c r="ZS23" i="3"/>
  <c r="ZO23" i="3"/>
  <c r="ZK23" i="3"/>
  <c r="ZG23" i="3"/>
  <c r="ZC23" i="3"/>
  <c r="YY23" i="3"/>
  <c r="YU23" i="3"/>
  <c r="YQ23" i="3"/>
  <c r="YM23" i="3"/>
  <c r="YI23" i="3"/>
  <c r="YE23" i="3"/>
  <c r="YA23" i="3"/>
  <c r="XW23" i="3"/>
  <c r="XS23" i="3"/>
  <c r="XO23" i="3"/>
  <c r="XK23" i="3"/>
  <c r="XG23" i="3"/>
  <c r="XC23" i="3"/>
  <c r="WY23" i="3"/>
  <c r="WU23" i="3"/>
  <c r="WQ23" i="3"/>
  <c r="WM23" i="3"/>
  <c r="WI23" i="3"/>
  <c r="WE23" i="3"/>
  <c r="WA23" i="3"/>
  <c r="VW23" i="3"/>
  <c r="VS23" i="3"/>
  <c r="VO23" i="3"/>
  <c r="VK23" i="3"/>
  <c r="VG23" i="3"/>
  <c r="VC23" i="3"/>
  <c r="UY23" i="3"/>
  <c r="UU23" i="3"/>
  <c r="UQ23" i="3"/>
  <c r="UM23" i="3"/>
  <c r="UI23" i="3"/>
  <c r="UE23" i="3"/>
  <c r="UA23" i="3"/>
  <c r="TW23" i="3"/>
  <c r="TS23" i="3"/>
  <c r="TO23" i="3"/>
  <c r="TK23" i="3"/>
  <c r="TG23" i="3"/>
  <c r="TC23" i="3"/>
  <c r="SY23" i="3"/>
  <c r="SU23" i="3"/>
  <c r="SQ23" i="3"/>
  <c r="SM23" i="3"/>
  <c r="SI23" i="3"/>
  <c r="SE23" i="3"/>
  <c r="SA23" i="3"/>
  <c r="RW23" i="3"/>
  <c r="RS23" i="3"/>
  <c r="RO23" i="3"/>
  <c r="RK23" i="3"/>
  <c r="RG23" i="3"/>
  <c r="RC23" i="3"/>
  <c r="QY23" i="3"/>
  <c r="QU23" i="3"/>
  <c r="QQ23" i="3"/>
  <c r="QM23" i="3"/>
  <c r="QI23" i="3"/>
  <c r="QE23" i="3"/>
  <c r="QA23" i="3"/>
  <c r="PW23" i="3"/>
  <c r="PS23" i="3"/>
  <c r="PO23" i="3"/>
  <c r="PK23" i="3"/>
  <c r="PG23" i="3"/>
  <c r="PC23" i="3"/>
  <c r="OY23" i="3"/>
  <c r="OU23" i="3"/>
  <c r="OQ23" i="3"/>
  <c r="OM23" i="3"/>
  <c r="OI23" i="3"/>
  <c r="OE23" i="3"/>
  <c r="OA23" i="3"/>
  <c r="NW23" i="3"/>
  <c r="NS23" i="3"/>
  <c r="NO23" i="3"/>
  <c r="NK23" i="3"/>
  <c r="NG23" i="3"/>
  <c r="NC23" i="3"/>
  <c r="MY23" i="3"/>
  <c r="MU23" i="3"/>
  <c r="MQ23" i="3"/>
  <c r="MM23" i="3"/>
  <c r="MI23" i="3"/>
  <c r="ME23" i="3"/>
  <c r="MA23" i="3"/>
  <c r="LW23" i="3"/>
  <c r="LS23" i="3"/>
  <c r="LO23" i="3"/>
  <c r="LK23" i="3"/>
  <c r="LG23" i="3"/>
  <c r="LC23" i="3"/>
  <c r="KY23" i="3"/>
  <c r="KU23" i="3"/>
  <c r="KQ23" i="3"/>
  <c r="KM23" i="3"/>
  <c r="KI23" i="3"/>
  <c r="KE23" i="3"/>
  <c r="KA23" i="3"/>
  <c r="JW23" i="3"/>
  <c r="JS23" i="3"/>
  <c r="JO23" i="3"/>
  <c r="JK23" i="3"/>
  <c r="JG23" i="3"/>
  <c r="JC23" i="3"/>
  <c r="IY23" i="3"/>
  <c r="IU23" i="3"/>
  <c r="IQ23" i="3"/>
  <c r="IM23" i="3"/>
  <c r="II23" i="3"/>
  <c r="IE23" i="3"/>
  <c r="IA23" i="3"/>
  <c r="HW23" i="3"/>
  <c r="HS23" i="3"/>
  <c r="HO23" i="3"/>
  <c r="HK23" i="3"/>
  <c r="HG23" i="3"/>
  <c r="HC23" i="3"/>
  <c r="GY23" i="3"/>
  <c r="GU23" i="3"/>
  <c r="GQ23" i="3"/>
  <c r="GM23" i="3"/>
  <c r="GI23" i="3"/>
  <c r="GE23" i="3"/>
  <c r="GA23" i="3"/>
  <c r="FW23" i="3"/>
  <c r="FS23" i="3"/>
  <c r="FO23" i="3"/>
  <c r="FK23" i="3"/>
  <c r="FG23" i="3"/>
  <c r="FC23" i="3"/>
  <c r="EY23" i="3"/>
  <c r="EU23" i="3"/>
  <c r="EQ23" i="3"/>
  <c r="EM23" i="3"/>
  <c r="EI23" i="3"/>
  <c r="EE23" i="3"/>
  <c r="EA23" i="3"/>
  <c r="DW23" i="3"/>
  <c r="DS23" i="3"/>
  <c r="DO23" i="3"/>
  <c r="DK23" i="3"/>
  <c r="DG23" i="3"/>
  <c r="DC23" i="3"/>
  <c r="CY23" i="3"/>
  <c r="CU23" i="3"/>
  <c r="CQ23" i="3"/>
  <c r="CM23" i="3"/>
  <c r="CI23" i="3"/>
  <c r="CE23" i="3"/>
  <c r="CA23" i="3"/>
  <c r="BW23" i="3"/>
  <c r="BS23" i="3"/>
  <c r="BO23" i="3"/>
  <c r="BK23" i="3"/>
  <c r="BG23" i="3"/>
  <c r="BC23" i="3"/>
  <c r="AY23" i="3"/>
  <c r="AU23" i="3"/>
  <c r="AQ23" i="3"/>
  <c r="AM23" i="3"/>
  <c r="AI23" i="3"/>
  <c r="AE23" i="3"/>
  <c r="AA23" i="3"/>
  <c r="W23" i="3"/>
  <c r="S23" i="3"/>
  <c r="O23" i="3"/>
  <c r="K23" i="3"/>
  <c r="G23" i="3"/>
  <c r="ALN23" i="3"/>
  <c r="ALJ23" i="3"/>
  <c r="ALF23" i="3"/>
  <c r="ALB23" i="3"/>
  <c r="AKX23" i="3"/>
  <c r="AKT23" i="3"/>
  <c r="AKP23" i="3"/>
  <c r="AKL23" i="3"/>
  <c r="AKH23" i="3"/>
  <c r="AKD23" i="3"/>
  <c r="AJZ23" i="3"/>
  <c r="AJV23" i="3"/>
  <c r="AJR23" i="3"/>
  <c r="AJN23" i="3"/>
  <c r="AJJ23" i="3"/>
  <c r="AJF23" i="3"/>
  <c r="AJB23" i="3"/>
  <c r="AIX23" i="3"/>
  <c r="AIT23" i="3"/>
  <c r="AIP23" i="3"/>
  <c r="AIL23" i="3"/>
  <c r="AIH23" i="3"/>
  <c r="AID23" i="3"/>
  <c r="AHZ23" i="3"/>
  <c r="AHV23" i="3"/>
  <c r="AHR23" i="3"/>
  <c r="AHN23" i="3"/>
  <c r="AHJ23" i="3"/>
  <c r="AHF23" i="3"/>
  <c r="AHB23" i="3"/>
  <c r="AGX23" i="3"/>
  <c r="AGT23" i="3"/>
  <c r="AGP23" i="3"/>
  <c r="AGL23" i="3"/>
  <c r="AGH23" i="3"/>
  <c r="AGD23" i="3"/>
  <c r="AFZ23" i="3"/>
  <c r="AFV23" i="3"/>
  <c r="AFR23" i="3"/>
  <c r="AFN23" i="3"/>
  <c r="AFJ23" i="3"/>
  <c r="AFF23" i="3"/>
  <c r="AFB23" i="3"/>
  <c r="AEX23" i="3"/>
  <c r="AET23" i="3"/>
  <c r="AEP23" i="3"/>
  <c r="AEL23" i="3"/>
  <c r="AEH23" i="3"/>
  <c r="AED23" i="3"/>
  <c r="ADZ23" i="3"/>
  <c r="ADV23" i="3"/>
  <c r="ADR23" i="3"/>
  <c r="ADN23" i="3"/>
  <c r="ADJ23" i="3"/>
  <c r="ADF23" i="3"/>
  <c r="ADB23" i="3"/>
  <c r="ACX23" i="3"/>
  <c r="ACT23" i="3"/>
  <c r="ACP23" i="3"/>
  <c r="ACL23" i="3"/>
  <c r="ACH23" i="3"/>
  <c r="ACD23" i="3"/>
  <c r="ABZ23" i="3"/>
  <c r="ABV23" i="3"/>
  <c r="ABR23" i="3"/>
  <c r="ABN23" i="3"/>
  <c r="ABJ23" i="3"/>
  <c r="ABF23" i="3"/>
  <c r="ABB23" i="3"/>
  <c r="AAX23" i="3"/>
  <c r="AAT23" i="3"/>
  <c r="AAP23" i="3"/>
  <c r="AAL23" i="3"/>
  <c r="AAH23" i="3"/>
  <c r="AAD23" i="3"/>
  <c r="ZZ23" i="3"/>
  <c r="ZV23" i="3"/>
  <c r="ZR23" i="3"/>
  <c r="ZN23" i="3"/>
  <c r="ZJ23" i="3"/>
  <c r="ZF23" i="3"/>
  <c r="ZB23" i="3"/>
  <c r="YX23" i="3"/>
  <c r="YT23" i="3"/>
  <c r="YP23" i="3"/>
  <c r="YL23" i="3"/>
  <c r="YH23" i="3"/>
  <c r="YD23" i="3"/>
  <c r="XZ23" i="3"/>
  <c r="XV23" i="3"/>
  <c r="XR23" i="3"/>
  <c r="XN23" i="3"/>
  <c r="XJ23" i="3"/>
  <c r="XF23" i="3"/>
  <c r="XB23" i="3"/>
  <c r="WX23" i="3"/>
  <c r="WT23" i="3"/>
  <c r="WP23" i="3"/>
  <c r="WL23" i="3"/>
  <c r="WH23" i="3"/>
  <c r="WD23" i="3"/>
  <c r="VZ23" i="3"/>
  <c r="VV23" i="3"/>
  <c r="VR23" i="3"/>
  <c r="VN23" i="3"/>
  <c r="VJ23" i="3"/>
  <c r="VF23" i="3"/>
  <c r="VB23" i="3"/>
  <c r="UX23" i="3"/>
  <c r="UT23" i="3"/>
  <c r="UP23" i="3"/>
  <c r="UL23" i="3"/>
  <c r="UH23" i="3"/>
  <c r="UD23" i="3"/>
  <c r="TZ23" i="3"/>
  <c r="TV23" i="3"/>
  <c r="TR23" i="3"/>
  <c r="TN23" i="3"/>
  <c r="TJ23" i="3"/>
  <c r="TF23" i="3"/>
  <c r="TB23" i="3"/>
  <c r="SX23" i="3"/>
  <c r="ST23" i="3"/>
  <c r="SP23" i="3"/>
  <c r="SL23" i="3"/>
  <c r="SH23" i="3"/>
  <c r="SD23" i="3"/>
  <c r="RZ23" i="3"/>
  <c r="RV23" i="3"/>
  <c r="RR23" i="3"/>
  <c r="RN23" i="3"/>
  <c r="RJ23" i="3"/>
  <c r="RF23" i="3"/>
  <c r="RB23" i="3"/>
  <c r="QX23" i="3"/>
  <c r="QT23" i="3"/>
  <c r="QP23" i="3"/>
  <c r="QL23" i="3"/>
  <c r="QH23" i="3"/>
  <c r="QD23" i="3"/>
  <c r="PZ23" i="3"/>
  <c r="PV23" i="3"/>
  <c r="PR23" i="3"/>
  <c r="PN23" i="3"/>
  <c r="PJ23" i="3"/>
  <c r="PF23" i="3"/>
  <c r="PB23" i="3"/>
  <c r="OX23" i="3"/>
  <c r="OT23" i="3"/>
  <c r="OP23" i="3"/>
  <c r="OL23" i="3"/>
  <c r="OH23" i="3"/>
  <c r="OD23" i="3"/>
  <c r="NZ23" i="3"/>
  <c r="NV23" i="3"/>
  <c r="NR23" i="3"/>
  <c r="NN23" i="3"/>
  <c r="NJ23" i="3"/>
  <c r="NF23" i="3"/>
  <c r="NB23" i="3"/>
  <c r="MX23" i="3"/>
  <c r="MT23" i="3"/>
  <c r="MP23" i="3"/>
  <c r="ML23" i="3"/>
  <c r="MH23" i="3"/>
  <c r="MD23" i="3"/>
  <c r="LZ23" i="3"/>
  <c r="LV23" i="3"/>
  <c r="LR23" i="3"/>
  <c r="LN23" i="3"/>
  <c r="LJ23" i="3"/>
  <c r="LF23" i="3"/>
  <c r="LB23" i="3"/>
  <c r="KX23" i="3"/>
  <c r="KT23" i="3"/>
  <c r="KP23" i="3"/>
  <c r="KL23" i="3"/>
  <c r="KH23" i="3"/>
  <c r="KD23" i="3"/>
  <c r="JZ23" i="3"/>
  <c r="JV23" i="3"/>
  <c r="JR23" i="3"/>
  <c r="JN23" i="3"/>
  <c r="JJ23" i="3"/>
  <c r="JF23" i="3"/>
  <c r="JB23" i="3"/>
  <c r="IX23" i="3"/>
  <c r="IT23" i="3"/>
  <c r="IP23" i="3"/>
  <c r="IL23" i="3"/>
  <c r="IH23" i="3"/>
  <c r="ID23" i="3"/>
  <c r="HZ23" i="3"/>
  <c r="HV23" i="3"/>
  <c r="HR23" i="3"/>
  <c r="HN23" i="3"/>
  <c r="HJ23" i="3"/>
  <c r="HF23" i="3"/>
  <c r="HB23" i="3"/>
  <c r="GX23" i="3"/>
  <c r="GT23" i="3"/>
  <c r="GP23" i="3"/>
  <c r="GL23" i="3"/>
  <c r="GH23" i="3"/>
  <c r="GD23" i="3"/>
  <c r="FZ23" i="3"/>
  <c r="FV23" i="3"/>
  <c r="FR23" i="3"/>
  <c r="FN23" i="3"/>
  <c r="FJ23" i="3"/>
  <c r="FF23" i="3"/>
  <c r="FB23" i="3"/>
  <c r="EX23" i="3"/>
  <c r="ET23" i="3"/>
  <c r="EP23" i="3"/>
  <c r="EL23" i="3"/>
  <c r="EH23" i="3"/>
  <c r="ED23" i="3"/>
  <c r="DZ23" i="3"/>
  <c r="DV23" i="3"/>
  <c r="DR23" i="3"/>
  <c r="DN23" i="3"/>
  <c r="DJ23" i="3"/>
  <c r="DF23" i="3"/>
  <c r="DB23" i="3"/>
  <c r="CX23" i="3"/>
  <c r="CT23" i="3"/>
  <c r="CP23" i="3"/>
  <c r="CL23" i="3"/>
  <c r="CH23" i="3"/>
  <c r="CD23" i="3"/>
  <c r="BZ23" i="3"/>
  <c r="BV23" i="3"/>
  <c r="BR23" i="3"/>
  <c r="BN23" i="3"/>
  <c r="BJ23" i="3"/>
  <c r="BF23" i="3"/>
  <c r="BB23" i="3"/>
  <c r="AX23" i="3"/>
  <c r="AT23" i="3"/>
  <c r="AP23" i="3"/>
  <c r="AL23" i="3"/>
  <c r="AH23" i="3"/>
  <c r="AD23" i="3"/>
  <c r="Z23" i="3"/>
  <c r="V23" i="3"/>
  <c r="R23" i="3"/>
  <c r="N23" i="3"/>
  <c r="J23" i="3"/>
  <c r="ALQ23" i="3"/>
  <c r="ALA23" i="3"/>
  <c r="AKK23" i="3"/>
  <c r="AJU23" i="3"/>
  <c r="AJE23" i="3"/>
  <c r="AIO23" i="3"/>
  <c r="AHY23" i="3"/>
  <c r="AHI23" i="3"/>
  <c r="AGS23" i="3"/>
  <c r="AGC23" i="3"/>
  <c r="AFM23" i="3"/>
  <c r="AEW23" i="3"/>
  <c r="AEG23" i="3"/>
  <c r="ADQ23" i="3"/>
  <c r="ADA23" i="3"/>
  <c r="ACK23" i="3"/>
  <c r="ABU23" i="3"/>
  <c r="ABE23" i="3"/>
  <c r="AAO23" i="3"/>
  <c r="ZY23" i="3"/>
  <c r="ZI23" i="3"/>
  <c r="YS23" i="3"/>
  <c r="YC23" i="3"/>
  <c r="XM23" i="3"/>
  <c r="WW23" i="3"/>
  <c r="WG23" i="3"/>
  <c r="VQ23" i="3"/>
  <c r="VA23" i="3"/>
  <c r="UK23" i="3"/>
  <c r="TU23" i="3"/>
  <c r="TE23" i="3"/>
  <c r="SO23" i="3"/>
  <c r="RY23" i="3"/>
  <c r="RI23" i="3"/>
  <c r="QS23" i="3"/>
  <c r="QC23" i="3"/>
  <c r="PM23" i="3"/>
  <c r="OW23" i="3"/>
  <c r="OG23" i="3"/>
  <c r="NQ23" i="3"/>
  <c r="NA23" i="3"/>
  <c r="MK23" i="3"/>
  <c r="LU23" i="3"/>
  <c r="LE23" i="3"/>
  <c r="KO23" i="3"/>
  <c r="JY23" i="3"/>
  <c r="JI23" i="3"/>
  <c r="IS23" i="3"/>
  <c r="IC23" i="3"/>
  <c r="HM23" i="3"/>
  <c r="GW23" i="3"/>
  <c r="GG23" i="3"/>
  <c r="FQ23" i="3"/>
  <c r="FA23" i="3"/>
  <c r="EK23" i="3"/>
  <c r="DU23" i="3"/>
  <c r="DE23" i="3"/>
  <c r="CO23" i="3"/>
  <c r="BY23" i="3"/>
  <c r="BI23" i="3"/>
  <c r="AS23" i="3"/>
  <c r="AC23" i="3"/>
  <c r="M23" i="3"/>
  <c r="ALM23" i="3"/>
  <c r="AKW23" i="3"/>
  <c r="AKG23" i="3"/>
  <c r="AJQ23" i="3"/>
  <c r="AJA23" i="3"/>
  <c r="AIK23" i="3"/>
  <c r="AHU23" i="3"/>
  <c r="AHE23" i="3"/>
  <c r="AGO23" i="3"/>
  <c r="AFY23" i="3"/>
  <c r="AFI23" i="3"/>
  <c r="AES23" i="3"/>
  <c r="AEC23" i="3"/>
  <c r="ADM23" i="3"/>
  <c r="ACW23" i="3"/>
  <c r="ACG23" i="3"/>
  <c r="ABQ23" i="3"/>
  <c r="ABA23" i="3"/>
  <c r="AAK23" i="3"/>
  <c r="ZU23" i="3"/>
  <c r="ZE23" i="3"/>
  <c r="YO23" i="3"/>
  <c r="XY23" i="3"/>
  <c r="XI23" i="3"/>
  <c r="WS23" i="3"/>
  <c r="WC23" i="3"/>
  <c r="VM23" i="3"/>
  <c r="UW23" i="3"/>
  <c r="UG23" i="3"/>
  <c r="TQ23" i="3"/>
  <c r="TA23" i="3"/>
  <c r="SK23" i="3"/>
  <c r="RU23" i="3"/>
  <c r="RE23" i="3"/>
  <c r="QO23" i="3"/>
  <c r="PY23" i="3"/>
  <c r="PI23" i="3"/>
  <c r="OS23" i="3"/>
  <c r="OC23" i="3"/>
  <c r="NM23" i="3"/>
  <c r="MW23" i="3"/>
  <c r="MG23" i="3"/>
  <c r="LQ23" i="3"/>
  <c r="LA23" i="3"/>
  <c r="KK23" i="3"/>
  <c r="JU23" i="3"/>
  <c r="JE23" i="3"/>
  <c r="IO23" i="3"/>
  <c r="HY23" i="3"/>
  <c r="HI23" i="3"/>
  <c r="GS23" i="3"/>
  <c r="GC23" i="3"/>
  <c r="FM23" i="3"/>
  <c r="EW23" i="3"/>
  <c r="EG23" i="3"/>
  <c r="DQ23" i="3"/>
  <c r="DA23" i="3"/>
  <c r="CK23" i="3"/>
  <c r="BU23" i="3"/>
  <c r="BE23" i="3"/>
  <c r="AO23" i="3"/>
  <c r="Y23" i="3"/>
  <c r="I23" i="3"/>
  <c r="ALI23" i="3"/>
  <c r="AKS23" i="3"/>
  <c r="AKC23" i="3"/>
  <c r="AJM23" i="3"/>
  <c r="AIW23" i="3"/>
  <c r="AIG23" i="3"/>
  <c r="AHQ23" i="3"/>
  <c r="AHA23" i="3"/>
  <c r="AGK23" i="3"/>
  <c r="AFU23" i="3"/>
  <c r="AFE23" i="3"/>
  <c r="AEO23" i="3"/>
  <c r="ADY23" i="3"/>
  <c r="ADI23" i="3"/>
  <c r="ACS23" i="3"/>
  <c r="ACC23" i="3"/>
  <c r="ABM23" i="3"/>
  <c r="AAW23" i="3"/>
  <c r="AAG23" i="3"/>
  <c r="ZQ23" i="3"/>
  <c r="ZA23" i="3"/>
  <c r="YK23" i="3"/>
  <c r="XU23" i="3"/>
  <c r="XE23" i="3"/>
  <c r="WO23" i="3"/>
  <c r="VY23" i="3"/>
  <c r="VI23" i="3"/>
  <c r="US23" i="3"/>
  <c r="UC23" i="3"/>
  <c r="TM23" i="3"/>
  <c r="SW23" i="3"/>
  <c r="SG23" i="3"/>
  <c r="RQ23" i="3"/>
  <c r="RA23" i="3"/>
  <c r="QK23" i="3"/>
  <c r="PU23" i="3"/>
  <c r="PE23" i="3"/>
  <c r="OO23" i="3"/>
  <c r="NY23" i="3"/>
  <c r="NI23" i="3"/>
  <c r="MS23" i="3"/>
  <c r="MC23" i="3"/>
  <c r="LM23" i="3"/>
  <c r="KW23" i="3"/>
  <c r="KG23" i="3"/>
  <c r="JQ23" i="3"/>
  <c r="JA23" i="3"/>
  <c r="IK23" i="3"/>
  <c r="HU23" i="3"/>
  <c r="HE23" i="3"/>
  <c r="GO23" i="3"/>
  <c r="FY23" i="3"/>
  <c r="FI23" i="3"/>
  <c r="ES23" i="3"/>
  <c r="EC23" i="3"/>
  <c r="DM23" i="3"/>
  <c r="CW23" i="3"/>
  <c r="CG23" i="3"/>
  <c r="BQ23" i="3"/>
  <c r="BA23" i="3"/>
  <c r="AK23" i="3"/>
  <c r="U23" i="3"/>
  <c r="F23" i="3"/>
  <c r="ALP39" i="3"/>
  <c r="ALL39" i="3"/>
  <c r="ALH39" i="3"/>
  <c r="ALD39" i="3"/>
  <c r="AKZ39" i="3"/>
  <c r="AKV39" i="3"/>
  <c r="AKR39" i="3"/>
  <c r="AKN39" i="3"/>
  <c r="AKJ39" i="3"/>
  <c r="ALN39" i="3"/>
  <c r="ALI39" i="3"/>
  <c r="ALC39" i="3"/>
  <c r="AKX39" i="3"/>
  <c r="AKS39" i="3"/>
  <c r="AKM39" i="3"/>
  <c r="AKH39" i="3"/>
  <c r="AKD39" i="3"/>
  <c r="AJZ39" i="3"/>
  <c r="AJV39" i="3"/>
  <c r="AJR39" i="3"/>
  <c r="AJN39" i="3"/>
  <c r="AJJ39" i="3"/>
  <c r="AJF39" i="3"/>
  <c r="AJB39" i="3"/>
  <c r="AIX39" i="3"/>
  <c r="AIT39" i="3"/>
  <c r="AIP39" i="3"/>
  <c r="AIL39" i="3"/>
  <c r="AIH39" i="3"/>
  <c r="AID39" i="3"/>
  <c r="AHZ39" i="3"/>
  <c r="AHV39" i="3"/>
  <c r="AHR39" i="3"/>
  <c r="AHN39" i="3"/>
  <c r="AHJ39" i="3"/>
  <c r="AHF39" i="3"/>
  <c r="AHB39" i="3"/>
  <c r="AGX39" i="3"/>
  <c r="AGT39" i="3"/>
  <c r="AGP39" i="3"/>
  <c r="AGL39" i="3"/>
  <c r="AGH39" i="3"/>
  <c r="AGD39" i="3"/>
  <c r="AFZ39" i="3"/>
  <c r="AFV39" i="3"/>
  <c r="AFR39" i="3"/>
  <c r="AFN39" i="3"/>
  <c r="AFJ39" i="3"/>
  <c r="AFF39" i="3"/>
  <c r="AFB39" i="3"/>
  <c r="AEX39" i="3"/>
  <c r="AET39" i="3"/>
  <c r="AEP39" i="3"/>
  <c r="AEL39" i="3"/>
  <c r="AEH39" i="3"/>
  <c r="AED39" i="3"/>
  <c r="ADZ39" i="3"/>
  <c r="ADV39" i="3"/>
  <c r="ADR39" i="3"/>
  <c r="ADN39" i="3"/>
  <c r="ADJ39" i="3"/>
  <c r="ADF39" i="3"/>
  <c r="ADB39" i="3"/>
  <c r="ACX39" i="3"/>
  <c r="ACT39" i="3"/>
  <c r="ACP39" i="3"/>
  <c r="ACL39" i="3"/>
  <c r="ACH39" i="3"/>
  <c r="ACD39" i="3"/>
  <c r="ABZ39" i="3"/>
  <c r="ABV39" i="3"/>
  <c r="ABR39" i="3"/>
  <c r="ABN39" i="3"/>
  <c r="ABJ39" i="3"/>
  <c r="ABF39" i="3"/>
  <c r="ABB39" i="3"/>
  <c r="AAX39" i="3"/>
  <c r="AAT39" i="3"/>
  <c r="AAP39" i="3"/>
  <c r="AAL39" i="3"/>
  <c r="AAH39" i="3"/>
  <c r="AAD39" i="3"/>
  <c r="ZZ39" i="3"/>
  <c r="ZV39" i="3"/>
  <c r="ZR39" i="3"/>
  <c r="ZN39" i="3"/>
  <c r="ZJ39" i="3"/>
  <c r="ZF39" i="3"/>
  <c r="ZB39" i="3"/>
  <c r="YX39" i="3"/>
  <c r="YT39" i="3"/>
  <c r="YP39" i="3"/>
  <c r="YL39" i="3"/>
  <c r="YH39" i="3"/>
  <c r="YD39" i="3"/>
  <c r="XZ39" i="3"/>
  <c r="XV39" i="3"/>
  <c r="XR39" i="3"/>
  <c r="XN39" i="3"/>
  <c r="XJ39" i="3"/>
  <c r="ALM39" i="3"/>
  <c r="ALG39" i="3"/>
  <c r="ALB39" i="3"/>
  <c r="AKW39" i="3"/>
  <c r="AKQ39" i="3"/>
  <c r="AKL39" i="3"/>
  <c r="AKG39" i="3"/>
  <c r="AKC39" i="3"/>
  <c r="AJY39" i="3"/>
  <c r="AJU39" i="3"/>
  <c r="AJQ39" i="3"/>
  <c r="AJM39" i="3"/>
  <c r="AJI39" i="3"/>
  <c r="AJE39" i="3"/>
  <c r="AJA39" i="3"/>
  <c r="AIW39" i="3"/>
  <c r="AIS39" i="3"/>
  <c r="AIO39" i="3"/>
  <c r="AIK39" i="3"/>
  <c r="AIG39" i="3"/>
  <c r="AIC39" i="3"/>
  <c r="AHY39" i="3"/>
  <c r="AHU39" i="3"/>
  <c r="AHQ39" i="3"/>
  <c r="AHM39" i="3"/>
  <c r="AHI39" i="3"/>
  <c r="AHE39" i="3"/>
  <c r="AHA39" i="3"/>
  <c r="AGW39" i="3"/>
  <c r="AGS39" i="3"/>
  <c r="AGO39" i="3"/>
  <c r="AGK39" i="3"/>
  <c r="AGG39" i="3"/>
  <c r="AGC39" i="3"/>
  <c r="AFY39" i="3"/>
  <c r="AFU39" i="3"/>
  <c r="AFQ39" i="3"/>
  <c r="AFM39" i="3"/>
  <c r="AFI39" i="3"/>
  <c r="AFE39" i="3"/>
  <c r="AFA39" i="3"/>
  <c r="AEW39" i="3"/>
  <c r="AES39" i="3"/>
  <c r="AEO39" i="3"/>
  <c r="AEK39" i="3"/>
  <c r="AEG39" i="3"/>
  <c r="AEC39" i="3"/>
  <c r="ADY39" i="3"/>
  <c r="ADU39" i="3"/>
  <c r="ADQ39" i="3"/>
  <c r="ADM39" i="3"/>
  <c r="ADI39" i="3"/>
  <c r="ADE39" i="3"/>
  <c r="ADA39" i="3"/>
  <c r="ACW39" i="3"/>
  <c r="ACS39" i="3"/>
  <c r="ACO39" i="3"/>
  <c r="ACK39" i="3"/>
  <c r="ACG39" i="3"/>
  <c r="ACC39" i="3"/>
  <c r="ABY39" i="3"/>
  <c r="ABU39" i="3"/>
  <c r="ABQ39" i="3"/>
  <c r="ABM39" i="3"/>
  <c r="ABI39" i="3"/>
  <c r="ABE39" i="3"/>
  <c r="ABA39" i="3"/>
  <c r="AAW39" i="3"/>
  <c r="AAS39" i="3"/>
  <c r="AAO39" i="3"/>
  <c r="AAK39" i="3"/>
  <c r="AAG39" i="3"/>
  <c r="AAC39" i="3"/>
  <c r="ZY39" i="3"/>
  <c r="ZU39" i="3"/>
  <c r="ZQ39" i="3"/>
  <c r="ZM39" i="3"/>
  <c r="ZI39" i="3"/>
  <c r="ZE39" i="3"/>
  <c r="ZA39" i="3"/>
  <c r="YW39" i="3"/>
  <c r="YS39" i="3"/>
  <c r="YO39" i="3"/>
  <c r="YK39" i="3"/>
  <c r="YG39" i="3"/>
  <c r="YC39" i="3"/>
  <c r="XY39" i="3"/>
  <c r="XU39" i="3"/>
  <c r="XQ39" i="3"/>
  <c r="XM39" i="3"/>
  <c r="XI39" i="3"/>
  <c r="XE39" i="3"/>
  <c r="XA39" i="3"/>
  <c r="WW39" i="3"/>
  <c r="WS39" i="3"/>
  <c r="WO39" i="3"/>
  <c r="WK39" i="3"/>
  <c r="WG39" i="3"/>
  <c r="WC39" i="3"/>
  <c r="VY39" i="3"/>
  <c r="VU39" i="3"/>
  <c r="VQ39" i="3"/>
  <c r="VM39" i="3"/>
  <c r="VI39" i="3"/>
  <c r="VE39" i="3"/>
  <c r="VA39" i="3"/>
  <c r="UW39" i="3"/>
  <c r="US39" i="3"/>
  <c r="UO39" i="3"/>
  <c r="UK39" i="3"/>
  <c r="UG39" i="3"/>
  <c r="UC39" i="3"/>
  <c r="TY39" i="3"/>
  <c r="TU39" i="3"/>
  <c r="TQ39" i="3"/>
  <c r="TM39" i="3"/>
  <c r="TI39" i="3"/>
  <c r="TE39" i="3"/>
  <c r="TA39" i="3"/>
  <c r="SW39" i="3"/>
  <c r="SS39" i="3"/>
  <c r="SO39" i="3"/>
  <c r="SK39" i="3"/>
  <c r="SG39" i="3"/>
  <c r="SC39" i="3"/>
  <c r="RY39" i="3"/>
  <c r="RU39" i="3"/>
  <c r="RQ39" i="3"/>
  <c r="RM39" i="3"/>
  <c r="RI39" i="3"/>
  <c r="RE39" i="3"/>
  <c r="RA39" i="3"/>
  <c r="QW39" i="3"/>
  <c r="QS39" i="3"/>
  <c r="QO39" i="3"/>
  <c r="QK39" i="3"/>
  <c r="QG39" i="3"/>
  <c r="QC39" i="3"/>
  <c r="PY39" i="3"/>
  <c r="PU39" i="3"/>
  <c r="PQ39" i="3"/>
  <c r="PM39" i="3"/>
  <c r="PI39" i="3"/>
  <c r="PE39" i="3"/>
  <c r="PA39" i="3"/>
  <c r="OW39" i="3"/>
  <c r="OS39" i="3"/>
  <c r="OO39" i="3"/>
  <c r="OK39" i="3"/>
  <c r="OG39" i="3"/>
  <c r="OC39" i="3"/>
  <c r="NY39" i="3"/>
  <c r="NU39" i="3"/>
  <c r="NQ39" i="3"/>
  <c r="NM39" i="3"/>
  <c r="NI39" i="3"/>
  <c r="NE39" i="3"/>
  <c r="NA39" i="3"/>
  <c r="MW39" i="3"/>
  <c r="MS39" i="3"/>
  <c r="MO39" i="3"/>
  <c r="MK39" i="3"/>
  <c r="MG39" i="3"/>
  <c r="MC39" i="3"/>
  <c r="LY39" i="3"/>
  <c r="LU39" i="3"/>
  <c r="LQ39" i="3"/>
  <c r="LM39" i="3"/>
  <c r="LI39" i="3"/>
  <c r="LE39" i="3"/>
  <c r="LA39" i="3"/>
  <c r="KW39" i="3"/>
  <c r="KS39" i="3"/>
  <c r="KO39" i="3"/>
  <c r="KK39" i="3"/>
  <c r="KG39" i="3"/>
  <c r="KC39" i="3"/>
  <c r="JY39" i="3"/>
  <c r="JU39" i="3"/>
  <c r="JQ39" i="3"/>
  <c r="JM39" i="3"/>
  <c r="JI39" i="3"/>
  <c r="JE39" i="3"/>
  <c r="JA39" i="3"/>
  <c r="IW39" i="3"/>
  <c r="IS39" i="3"/>
  <c r="IO39" i="3"/>
  <c r="IK39" i="3"/>
  <c r="IG39" i="3"/>
  <c r="IC39" i="3"/>
  <c r="HY39" i="3"/>
  <c r="HU39" i="3"/>
  <c r="HQ39" i="3"/>
  <c r="HM39" i="3"/>
  <c r="HI39" i="3"/>
  <c r="HE39" i="3"/>
  <c r="HA39" i="3"/>
  <c r="GW39" i="3"/>
  <c r="GS39" i="3"/>
  <c r="GO39" i="3"/>
  <c r="GK39" i="3"/>
  <c r="GG39" i="3"/>
  <c r="GC39" i="3"/>
  <c r="FY39" i="3"/>
  <c r="FU39" i="3"/>
  <c r="FQ39" i="3"/>
  <c r="FM39" i="3"/>
  <c r="FI39" i="3"/>
  <c r="FE39" i="3"/>
  <c r="FA39" i="3"/>
  <c r="EW39" i="3"/>
  <c r="ES39" i="3"/>
  <c r="EO39" i="3"/>
  <c r="EK39" i="3"/>
  <c r="EG39" i="3"/>
  <c r="EC39" i="3"/>
  <c r="DY39" i="3"/>
  <c r="DU39" i="3"/>
  <c r="DQ39" i="3"/>
  <c r="DM39" i="3"/>
  <c r="DI39" i="3"/>
  <c r="DE39" i="3"/>
  <c r="DA39" i="3"/>
  <c r="CW39" i="3"/>
  <c r="CS39" i="3"/>
  <c r="CO39" i="3"/>
  <c r="CK39" i="3"/>
  <c r="CG39" i="3"/>
  <c r="CC39" i="3"/>
  <c r="BY39" i="3"/>
  <c r="BU39" i="3"/>
  <c r="BQ39" i="3"/>
  <c r="BM39" i="3"/>
  <c r="BI39" i="3"/>
  <c r="BE39" i="3"/>
  <c r="BA39" i="3"/>
  <c r="AW39" i="3"/>
  <c r="AS39" i="3"/>
  <c r="AO39" i="3"/>
  <c r="AK39" i="3"/>
  <c r="AG39" i="3"/>
  <c r="AC39" i="3"/>
  <c r="Y39" i="3"/>
  <c r="U39" i="3"/>
  <c r="Q39" i="3"/>
  <c r="M39" i="3"/>
  <c r="I39" i="3"/>
  <c r="F39" i="3"/>
  <c r="ALQ39" i="3"/>
  <c r="ALF39" i="3"/>
  <c r="AKU39" i="3"/>
  <c r="AKK39" i="3"/>
  <c r="AKB39" i="3"/>
  <c r="AJT39" i="3"/>
  <c r="AJL39" i="3"/>
  <c r="AJD39" i="3"/>
  <c r="AIV39" i="3"/>
  <c r="AIN39" i="3"/>
  <c r="AIF39" i="3"/>
  <c r="AHX39" i="3"/>
  <c r="AHP39" i="3"/>
  <c r="AHH39" i="3"/>
  <c r="AGZ39" i="3"/>
  <c r="AGR39" i="3"/>
  <c r="AGJ39" i="3"/>
  <c r="AGB39" i="3"/>
  <c r="AFT39" i="3"/>
  <c r="AFL39" i="3"/>
  <c r="AFD39" i="3"/>
  <c r="AEV39" i="3"/>
  <c r="AEN39" i="3"/>
  <c r="AEF39" i="3"/>
  <c r="ADX39" i="3"/>
  <c r="ADP39" i="3"/>
  <c r="ADH39" i="3"/>
  <c r="ACZ39" i="3"/>
  <c r="ACR39" i="3"/>
  <c r="ACJ39" i="3"/>
  <c r="ACB39" i="3"/>
  <c r="ABT39" i="3"/>
  <c r="ABL39" i="3"/>
  <c r="ABD39" i="3"/>
  <c r="AAV39" i="3"/>
  <c r="AAN39" i="3"/>
  <c r="AAF39" i="3"/>
  <c r="ZX39" i="3"/>
  <c r="ZP39" i="3"/>
  <c r="ZH39" i="3"/>
  <c r="YZ39" i="3"/>
  <c r="YR39" i="3"/>
  <c r="YJ39" i="3"/>
  <c r="YB39" i="3"/>
  <c r="XT39" i="3"/>
  <c r="XL39" i="3"/>
  <c r="XF39" i="3"/>
  <c r="WZ39" i="3"/>
  <c r="WU39" i="3"/>
  <c r="WP39" i="3"/>
  <c r="WJ39" i="3"/>
  <c r="WE39" i="3"/>
  <c r="VZ39" i="3"/>
  <c r="VT39" i="3"/>
  <c r="VO39" i="3"/>
  <c r="VJ39" i="3"/>
  <c r="VD39" i="3"/>
  <c r="UY39" i="3"/>
  <c r="UT39" i="3"/>
  <c r="UN39" i="3"/>
  <c r="UI39" i="3"/>
  <c r="UD39" i="3"/>
  <c r="TX39" i="3"/>
  <c r="TS39" i="3"/>
  <c r="TN39" i="3"/>
  <c r="TH39" i="3"/>
  <c r="TC39" i="3"/>
  <c r="SX39" i="3"/>
  <c r="SR39" i="3"/>
  <c r="SM39" i="3"/>
  <c r="SH39" i="3"/>
  <c r="SB39" i="3"/>
  <c r="RW39" i="3"/>
  <c r="RR39" i="3"/>
  <c r="RL39" i="3"/>
  <c r="RG39" i="3"/>
  <c r="RB39" i="3"/>
  <c r="QV39" i="3"/>
  <c r="QQ39" i="3"/>
  <c r="QL39" i="3"/>
  <c r="QF39" i="3"/>
  <c r="QA39" i="3"/>
  <c r="PV39" i="3"/>
  <c r="PP39" i="3"/>
  <c r="PK39" i="3"/>
  <c r="PF39" i="3"/>
  <c r="OZ39" i="3"/>
  <c r="OU39" i="3"/>
  <c r="OP39" i="3"/>
  <c r="OJ39" i="3"/>
  <c r="OE39" i="3"/>
  <c r="NZ39" i="3"/>
  <c r="NT39" i="3"/>
  <c r="NO39" i="3"/>
  <c r="NJ39" i="3"/>
  <c r="ND39" i="3"/>
  <c r="MY39" i="3"/>
  <c r="MT39" i="3"/>
  <c r="MN39" i="3"/>
  <c r="MI39" i="3"/>
  <c r="MD39" i="3"/>
  <c r="LX39" i="3"/>
  <c r="LS39" i="3"/>
  <c r="LN39" i="3"/>
  <c r="LH39" i="3"/>
  <c r="LC39" i="3"/>
  <c r="KX39" i="3"/>
  <c r="KR39" i="3"/>
  <c r="KM39" i="3"/>
  <c r="KH39" i="3"/>
  <c r="KB39" i="3"/>
  <c r="JW39" i="3"/>
  <c r="JR39" i="3"/>
  <c r="JL39" i="3"/>
  <c r="JG39" i="3"/>
  <c r="JB39" i="3"/>
  <c r="IV39" i="3"/>
  <c r="IQ39" i="3"/>
  <c r="IL39" i="3"/>
  <c r="IF39" i="3"/>
  <c r="IA39" i="3"/>
  <c r="HV39" i="3"/>
  <c r="HP39" i="3"/>
  <c r="HK39" i="3"/>
  <c r="HF39" i="3"/>
  <c r="GZ39" i="3"/>
  <c r="GU39" i="3"/>
  <c r="GP39" i="3"/>
  <c r="GJ39" i="3"/>
  <c r="GE39" i="3"/>
  <c r="FZ39" i="3"/>
  <c r="FT39" i="3"/>
  <c r="FO39" i="3"/>
  <c r="FJ39" i="3"/>
  <c r="FD39" i="3"/>
  <c r="EY39" i="3"/>
  <c r="ET39" i="3"/>
  <c r="EN39" i="3"/>
  <c r="EI39" i="3"/>
  <c r="ED39" i="3"/>
  <c r="DX39" i="3"/>
  <c r="DS39" i="3"/>
  <c r="DN39" i="3"/>
  <c r="DH39" i="3"/>
  <c r="DC39" i="3"/>
  <c r="CX39" i="3"/>
  <c r="CR39" i="3"/>
  <c r="CM39" i="3"/>
  <c r="CH39" i="3"/>
  <c r="CB39" i="3"/>
  <c r="BW39" i="3"/>
  <c r="BR39" i="3"/>
  <c r="BL39" i="3"/>
  <c r="BG39" i="3"/>
  <c r="BB39" i="3"/>
  <c r="AV39" i="3"/>
  <c r="AQ39" i="3"/>
  <c r="AL39" i="3"/>
  <c r="AF39" i="3"/>
  <c r="AA39" i="3"/>
  <c r="V39" i="3"/>
  <c r="P39" i="3"/>
  <c r="K39" i="3"/>
  <c r="ALK39" i="3"/>
  <c r="ALA39" i="3"/>
  <c r="AKP39" i="3"/>
  <c r="AKF39" i="3"/>
  <c r="AJX39" i="3"/>
  <c r="AJP39" i="3"/>
  <c r="AJH39" i="3"/>
  <c r="AIZ39" i="3"/>
  <c r="AIR39" i="3"/>
  <c r="AIJ39" i="3"/>
  <c r="AIB39" i="3"/>
  <c r="AHT39" i="3"/>
  <c r="AHL39" i="3"/>
  <c r="AHD39" i="3"/>
  <c r="AGV39" i="3"/>
  <c r="AGN39" i="3"/>
  <c r="AGF39" i="3"/>
  <c r="AFX39" i="3"/>
  <c r="AFP39" i="3"/>
  <c r="AFH39" i="3"/>
  <c r="AEZ39" i="3"/>
  <c r="AER39" i="3"/>
  <c r="AEJ39" i="3"/>
  <c r="AEB39" i="3"/>
  <c r="ADT39" i="3"/>
  <c r="ADL39" i="3"/>
  <c r="ADD39" i="3"/>
  <c r="ACV39" i="3"/>
  <c r="ACN39" i="3"/>
  <c r="ACF39" i="3"/>
  <c r="ABX39" i="3"/>
  <c r="ABP39" i="3"/>
  <c r="ABH39" i="3"/>
  <c r="AAZ39" i="3"/>
  <c r="AAR39" i="3"/>
  <c r="AAJ39" i="3"/>
  <c r="AAB39" i="3"/>
  <c r="ZT39" i="3"/>
  <c r="ZL39" i="3"/>
  <c r="ZD39" i="3"/>
  <c r="YV39" i="3"/>
  <c r="YN39" i="3"/>
  <c r="YF39" i="3"/>
  <c r="XX39" i="3"/>
  <c r="XP39" i="3"/>
  <c r="XH39" i="3"/>
  <c r="XC39" i="3"/>
  <c r="WX39" i="3"/>
  <c r="WR39" i="3"/>
  <c r="WM39" i="3"/>
  <c r="WH39" i="3"/>
  <c r="WB39" i="3"/>
  <c r="VW39" i="3"/>
  <c r="VR39" i="3"/>
  <c r="VL39" i="3"/>
  <c r="VG39" i="3"/>
  <c r="VB39" i="3"/>
  <c r="UV39" i="3"/>
  <c r="UQ39" i="3"/>
  <c r="UL39" i="3"/>
  <c r="UF39" i="3"/>
  <c r="UA39" i="3"/>
  <c r="TV39" i="3"/>
  <c r="TP39" i="3"/>
  <c r="TK39" i="3"/>
  <c r="TF39" i="3"/>
  <c r="SZ39" i="3"/>
  <c r="SU39" i="3"/>
  <c r="SP39" i="3"/>
  <c r="SJ39" i="3"/>
  <c r="SE39" i="3"/>
  <c r="RZ39" i="3"/>
  <c r="RT39" i="3"/>
  <c r="RO39" i="3"/>
  <c r="RJ39" i="3"/>
  <c r="RD39" i="3"/>
  <c r="QY39" i="3"/>
  <c r="QT39" i="3"/>
  <c r="QN39" i="3"/>
  <c r="QI39" i="3"/>
  <c r="QD39" i="3"/>
  <c r="PX39" i="3"/>
  <c r="PS39" i="3"/>
  <c r="PN39" i="3"/>
  <c r="PH39" i="3"/>
  <c r="PC39" i="3"/>
  <c r="OX39" i="3"/>
  <c r="OR39" i="3"/>
  <c r="OM39" i="3"/>
  <c r="OH39" i="3"/>
  <c r="OB39" i="3"/>
  <c r="NW39" i="3"/>
  <c r="NR39" i="3"/>
  <c r="NL39" i="3"/>
  <c r="NG39" i="3"/>
  <c r="NB39" i="3"/>
  <c r="MV39" i="3"/>
  <c r="MQ39" i="3"/>
  <c r="ML39" i="3"/>
  <c r="MF39" i="3"/>
  <c r="MA39" i="3"/>
  <c r="LV39" i="3"/>
  <c r="LP39" i="3"/>
  <c r="LK39" i="3"/>
  <c r="LF39" i="3"/>
  <c r="KZ39" i="3"/>
  <c r="KU39" i="3"/>
  <c r="KP39" i="3"/>
  <c r="KJ39" i="3"/>
  <c r="KE39" i="3"/>
  <c r="JZ39" i="3"/>
  <c r="JT39" i="3"/>
  <c r="JO39" i="3"/>
  <c r="JJ39" i="3"/>
  <c r="JD39" i="3"/>
  <c r="IY39" i="3"/>
  <c r="IT39" i="3"/>
  <c r="IN39" i="3"/>
  <c r="II39" i="3"/>
  <c r="ID39" i="3"/>
  <c r="HX39" i="3"/>
  <c r="HS39" i="3"/>
  <c r="HN39" i="3"/>
  <c r="HH39" i="3"/>
  <c r="HC39" i="3"/>
  <c r="GX39" i="3"/>
  <c r="GR39" i="3"/>
  <c r="GM39" i="3"/>
  <c r="GH39" i="3"/>
  <c r="GB39" i="3"/>
  <c r="AKY39" i="3"/>
  <c r="AKE39" i="3"/>
  <c r="AJO39" i="3"/>
  <c r="AIY39" i="3"/>
  <c r="AII39" i="3"/>
  <c r="AHS39" i="3"/>
  <c r="AHC39" i="3"/>
  <c r="AGM39" i="3"/>
  <c r="AFW39" i="3"/>
  <c r="AFG39" i="3"/>
  <c r="AEQ39" i="3"/>
  <c r="AEA39" i="3"/>
  <c r="ADK39" i="3"/>
  <c r="ACU39" i="3"/>
  <c r="ACE39" i="3"/>
  <c r="ABO39" i="3"/>
  <c r="AAY39" i="3"/>
  <c r="AAI39" i="3"/>
  <c r="ZS39" i="3"/>
  <c r="ZC39" i="3"/>
  <c r="YM39" i="3"/>
  <c r="XW39" i="3"/>
  <c r="XG39" i="3"/>
  <c r="WV39" i="3"/>
  <c r="WL39" i="3"/>
  <c r="WA39" i="3"/>
  <c r="VP39" i="3"/>
  <c r="VF39" i="3"/>
  <c r="UU39" i="3"/>
  <c r="UJ39" i="3"/>
  <c r="TZ39" i="3"/>
  <c r="TO39" i="3"/>
  <c r="TD39" i="3"/>
  <c r="ST39" i="3"/>
  <c r="SI39" i="3"/>
  <c r="RX39" i="3"/>
  <c r="RN39" i="3"/>
  <c r="RC39" i="3"/>
  <c r="QR39" i="3"/>
  <c r="QH39" i="3"/>
  <c r="PW39" i="3"/>
  <c r="PL39" i="3"/>
  <c r="PB39" i="3"/>
  <c r="OQ39" i="3"/>
  <c r="OF39" i="3"/>
  <c r="NV39" i="3"/>
  <c r="NK39" i="3"/>
  <c r="MZ39" i="3"/>
  <c r="MP39" i="3"/>
  <c r="ME39" i="3"/>
  <c r="LT39" i="3"/>
  <c r="LJ39" i="3"/>
  <c r="KY39" i="3"/>
  <c r="KN39" i="3"/>
  <c r="KD39" i="3"/>
  <c r="JS39" i="3"/>
  <c r="JH39" i="3"/>
  <c r="IX39" i="3"/>
  <c r="IM39" i="3"/>
  <c r="IB39" i="3"/>
  <c r="HR39" i="3"/>
  <c r="HG39" i="3"/>
  <c r="GV39" i="3"/>
  <c r="GL39" i="3"/>
  <c r="GA39" i="3"/>
  <c r="FS39" i="3"/>
  <c r="FL39" i="3"/>
  <c r="FF39" i="3"/>
  <c r="EX39" i="3"/>
  <c r="EQ39" i="3"/>
  <c r="EJ39" i="3"/>
  <c r="EB39" i="3"/>
  <c r="DV39" i="3"/>
  <c r="DO39" i="3"/>
  <c r="DG39" i="3"/>
  <c r="CZ39" i="3"/>
  <c r="CT39" i="3"/>
  <c r="CL39" i="3"/>
  <c r="CE39" i="3"/>
  <c r="BX39" i="3"/>
  <c r="BP39" i="3"/>
  <c r="BJ39" i="3"/>
  <c r="BC39" i="3"/>
  <c r="AU39" i="3"/>
  <c r="AN39" i="3"/>
  <c r="AH39" i="3"/>
  <c r="Z39" i="3"/>
  <c r="S39" i="3"/>
  <c r="L39" i="3"/>
  <c r="ALO39" i="3"/>
  <c r="AKT39" i="3"/>
  <c r="AKA39" i="3"/>
  <c r="AJK39" i="3"/>
  <c r="AIU39" i="3"/>
  <c r="AIE39" i="3"/>
  <c r="AHO39" i="3"/>
  <c r="AGY39" i="3"/>
  <c r="AGI39" i="3"/>
  <c r="AFS39" i="3"/>
  <c r="AFC39" i="3"/>
  <c r="AEM39" i="3"/>
  <c r="ADW39" i="3"/>
  <c r="ADG39" i="3"/>
  <c r="ACQ39" i="3"/>
  <c r="ACA39" i="3"/>
  <c r="ABK39" i="3"/>
  <c r="AAU39" i="3"/>
  <c r="AAE39" i="3"/>
  <c r="ZO39" i="3"/>
  <c r="YY39" i="3"/>
  <c r="YI39" i="3"/>
  <c r="XS39" i="3"/>
  <c r="XD39" i="3"/>
  <c r="WT39" i="3"/>
  <c r="WI39" i="3"/>
  <c r="VX39" i="3"/>
  <c r="VN39" i="3"/>
  <c r="VC39" i="3"/>
  <c r="UR39" i="3"/>
  <c r="UH39" i="3"/>
  <c r="TW39" i="3"/>
  <c r="TL39" i="3"/>
  <c r="TB39" i="3"/>
  <c r="SQ39" i="3"/>
  <c r="SF39" i="3"/>
  <c r="RV39" i="3"/>
  <c r="RK39" i="3"/>
  <c r="QZ39" i="3"/>
  <c r="QP39" i="3"/>
  <c r="QE39" i="3"/>
  <c r="PT39" i="3"/>
  <c r="PJ39" i="3"/>
  <c r="OY39" i="3"/>
  <c r="ON39" i="3"/>
  <c r="OD39" i="3"/>
  <c r="NS39" i="3"/>
  <c r="NH39" i="3"/>
  <c r="MX39" i="3"/>
  <c r="MM39" i="3"/>
  <c r="MB39" i="3"/>
  <c r="LR39" i="3"/>
  <c r="LG39" i="3"/>
  <c r="KV39" i="3"/>
  <c r="KL39" i="3"/>
  <c r="KA39" i="3"/>
  <c r="JP39" i="3"/>
  <c r="JF39" i="3"/>
  <c r="IU39" i="3"/>
  <c r="IJ39" i="3"/>
  <c r="HZ39" i="3"/>
  <c r="HO39" i="3"/>
  <c r="HD39" i="3"/>
  <c r="GT39" i="3"/>
  <c r="GI39" i="3"/>
  <c r="FX39" i="3"/>
  <c r="FR39" i="3"/>
  <c r="FK39" i="3"/>
  <c r="FC39" i="3"/>
  <c r="EV39" i="3"/>
  <c r="EP39" i="3"/>
  <c r="EH39" i="3"/>
  <c r="EA39" i="3"/>
  <c r="DT39" i="3"/>
  <c r="DL39" i="3"/>
  <c r="DF39" i="3"/>
  <c r="CY39" i="3"/>
  <c r="CQ39" i="3"/>
  <c r="CJ39" i="3"/>
  <c r="CD39" i="3"/>
  <c r="BV39" i="3"/>
  <c r="BO39" i="3"/>
  <c r="BH39" i="3"/>
  <c r="AZ39" i="3"/>
  <c r="AT39" i="3"/>
  <c r="AM39" i="3"/>
  <c r="AE39" i="3"/>
  <c r="X39" i="3"/>
  <c r="R39" i="3"/>
  <c r="J39" i="3"/>
  <c r="ALJ39" i="3"/>
  <c r="AKO39" i="3"/>
  <c r="AJW39" i="3"/>
  <c r="AJG39" i="3"/>
  <c r="AIQ39" i="3"/>
  <c r="AIA39" i="3"/>
  <c r="AHK39" i="3"/>
  <c r="AGU39" i="3"/>
  <c r="AGE39" i="3"/>
  <c r="AFO39" i="3"/>
  <c r="AEY39" i="3"/>
  <c r="AEI39" i="3"/>
  <c r="ADS39" i="3"/>
  <c r="ADC39" i="3"/>
  <c r="ACM39" i="3"/>
  <c r="ABW39" i="3"/>
  <c r="ABG39" i="3"/>
  <c r="AAQ39" i="3"/>
  <c r="AAA39" i="3"/>
  <c r="ZK39" i="3"/>
  <c r="YU39" i="3"/>
  <c r="YE39" i="3"/>
  <c r="XO39" i="3"/>
  <c r="XB39" i="3"/>
  <c r="WQ39" i="3"/>
  <c r="WF39" i="3"/>
  <c r="VV39" i="3"/>
  <c r="VK39" i="3"/>
  <c r="UZ39" i="3"/>
  <c r="UP39" i="3"/>
  <c r="UE39" i="3"/>
  <c r="TT39" i="3"/>
  <c r="TJ39" i="3"/>
  <c r="SY39" i="3"/>
  <c r="SN39" i="3"/>
  <c r="SD39" i="3"/>
  <c r="RS39" i="3"/>
  <c r="RH39" i="3"/>
  <c r="QX39" i="3"/>
  <c r="QM39" i="3"/>
  <c r="QB39" i="3"/>
  <c r="PR39" i="3"/>
  <c r="PG39" i="3"/>
  <c r="OV39" i="3"/>
  <c r="OL39" i="3"/>
  <c r="OA39" i="3"/>
  <c r="NP39" i="3"/>
  <c r="NF39" i="3"/>
  <c r="MU39" i="3"/>
  <c r="MJ39" i="3"/>
  <c r="LZ39" i="3"/>
  <c r="LO39" i="3"/>
  <c r="LD39" i="3"/>
  <c r="KT39" i="3"/>
  <c r="KI39" i="3"/>
  <c r="JX39" i="3"/>
  <c r="JN39" i="3"/>
  <c r="JC39" i="3"/>
  <c r="IR39" i="3"/>
  <c r="IH39" i="3"/>
  <c r="HW39" i="3"/>
  <c r="HL39" i="3"/>
  <c r="HB39" i="3"/>
  <c r="GQ39" i="3"/>
  <c r="GF39" i="3"/>
  <c r="FW39" i="3"/>
  <c r="FP39" i="3"/>
  <c r="FH39" i="3"/>
  <c r="FB39" i="3"/>
  <c r="EU39" i="3"/>
  <c r="EM39" i="3"/>
  <c r="EF39" i="3"/>
  <c r="DZ39" i="3"/>
  <c r="DR39" i="3"/>
  <c r="DK39" i="3"/>
  <c r="DD39" i="3"/>
  <c r="CV39" i="3"/>
  <c r="CP39" i="3"/>
  <c r="CI39" i="3"/>
  <c r="CA39" i="3"/>
  <c r="BT39" i="3"/>
  <c r="BN39" i="3"/>
  <c r="ALE39" i="3"/>
  <c r="AKI39" i="3"/>
  <c r="AJS39" i="3"/>
  <c r="AJC39" i="3"/>
  <c r="AIM39" i="3"/>
  <c r="AHW39" i="3"/>
  <c r="AHG39" i="3"/>
  <c r="AGQ39" i="3"/>
  <c r="AGA39" i="3"/>
  <c r="AFK39" i="3"/>
  <c r="AEU39" i="3"/>
  <c r="AEE39" i="3"/>
  <c r="ADO39" i="3"/>
  <c r="ACY39" i="3"/>
  <c r="ACI39" i="3"/>
  <c r="ABS39" i="3"/>
  <c r="ABC39" i="3"/>
  <c r="AAM39" i="3"/>
  <c r="ZW39" i="3"/>
  <c r="ZG39" i="3"/>
  <c r="YQ39" i="3"/>
  <c r="YA39" i="3"/>
  <c r="XK39" i="3"/>
  <c r="WY39" i="3"/>
  <c r="WN39" i="3"/>
  <c r="WD39" i="3"/>
  <c r="VS39" i="3"/>
  <c r="VH39" i="3"/>
  <c r="UX39" i="3"/>
  <c r="UM39" i="3"/>
  <c r="UB39" i="3"/>
  <c r="TR39" i="3"/>
  <c r="TG39" i="3"/>
  <c r="SV39" i="3"/>
  <c r="SL39" i="3"/>
  <c r="SA39" i="3"/>
  <c r="RP39" i="3"/>
  <c r="RF39" i="3"/>
  <c r="QU39" i="3"/>
  <c r="QJ39" i="3"/>
  <c r="PZ39" i="3"/>
  <c r="PO39" i="3"/>
  <c r="PD39" i="3"/>
  <c r="OT39" i="3"/>
  <c r="OI39" i="3"/>
  <c r="NX39" i="3"/>
  <c r="NN39" i="3"/>
  <c r="NC39" i="3"/>
  <c r="MR39" i="3"/>
  <c r="MH39" i="3"/>
  <c r="LW39" i="3"/>
  <c r="LL39" i="3"/>
  <c r="LB39" i="3"/>
  <c r="KQ39" i="3"/>
  <c r="KF39" i="3"/>
  <c r="JV39" i="3"/>
  <c r="JK39" i="3"/>
  <c r="IZ39" i="3"/>
  <c r="IP39" i="3"/>
  <c r="IE39" i="3"/>
  <c r="HT39" i="3"/>
  <c r="HJ39" i="3"/>
  <c r="GY39" i="3"/>
  <c r="GN39" i="3"/>
  <c r="GD39" i="3"/>
  <c r="FV39" i="3"/>
  <c r="FN39" i="3"/>
  <c r="FG39" i="3"/>
  <c r="EZ39" i="3"/>
  <c r="ER39" i="3"/>
  <c r="EL39" i="3"/>
  <c r="EE39" i="3"/>
  <c r="DW39" i="3"/>
  <c r="DP39" i="3"/>
  <c r="DJ39" i="3"/>
  <c r="DB39" i="3"/>
  <c r="CU39" i="3"/>
  <c r="CN39" i="3"/>
  <c r="CF39" i="3"/>
  <c r="BZ39" i="3"/>
  <c r="BS39" i="3"/>
  <c r="BD39" i="3"/>
  <c r="AP39" i="3"/>
  <c r="AB39" i="3"/>
  <c r="N39" i="3"/>
  <c r="AY39" i="3"/>
  <c r="AJ39" i="3"/>
  <c r="W39" i="3"/>
  <c r="H39" i="3"/>
  <c r="BK39" i="3"/>
  <c r="AX39" i="3"/>
  <c r="AI39" i="3"/>
  <c r="T39" i="3"/>
  <c r="G39" i="3"/>
  <c r="BF39" i="3"/>
  <c r="AR39" i="3"/>
  <c r="AD39" i="3"/>
  <c r="O39" i="3"/>
  <c r="T3" i="3"/>
  <c r="AJ3" i="3"/>
  <c r="AZ3" i="3"/>
  <c r="BP3" i="3"/>
  <c r="CF3" i="3"/>
  <c r="CV3" i="3"/>
  <c r="DL3" i="3"/>
  <c r="EB3" i="3"/>
  <c r="ER3" i="3"/>
  <c r="FH3" i="3"/>
  <c r="FX3" i="3"/>
  <c r="GN3" i="3"/>
  <c r="HD3" i="3"/>
  <c r="HT3" i="3"/>
  <c r="IJ3" i="3"/>
  <c r="IZ3" i="3"/>
  <c r="JP3" i="3"/>
  <c r="KF3" i="3"/>
  <c r="KV3" i="3"/>
  <c r="LL3" i="3"/>
  <c r="MB3" i="3"/>
  <c r="MR3" i="3"/>
  <c r="NH3" i="3"/>
  <c r="NX3" i="3"/>
  <c r="ON3" i="3"/>
  <c r="PD3" i="3"/>
  <c r="PT3" i="3"/>
  <c r="QJ3" i="3"/>
  <c r="QZ3" i="3"/>
  <c r="RP3" i="3"/>
  <c r="SF3" i="3"/>
  <c r="SV3" i="3"/>
  <c r="TL3" i="3"/>
  <c r="UB3" i="3"/>
  <c r="UR3" i="3"/>
  <c r="VH3" i="3"/>
  <c r="VX3" i="3"/>
  <c r="WN3" i="3"/>
  <c r="XD3" i="3"/>
  <c r="XT3" i="3"/>
  <c r="YJ3" i="3"/>
  <c r="YZ3" i="3"/>
  <c r="ZP3" i="3"/>
  <c r="AAF3" i="3"/>
  <c r="AAV3" i="3"/>
  <c r="ABL3" i="3"/>
  <c r="ACB3" i="3"/>
  <c r="ACR3" i="3"/>
  <c r="ADH3" i="3"/>
  <c r="ADX3" i="3"/>
  <c r="AEN3" i="3"/>
  <c r="AFD3" i="3"/>
  <c r="AFT3" i="3"/>
  <c r="AGJ3" i="3"/>
  <c r="AGZ3" i="3"/>
  <c r="AHP3" i="3"/>
  <c r="AIF3" i="3"/>
  <c r="AIV3" i="3"/>
  <c r="AJL3" i="3"/>
  <c r="AKB3" i="3"/>
  <c r="AKR3" i="3"/>
  <c r="ALH3" i="3"/>
  <c r="R8" i="3"/>
  <c r="AH8" i="3"/>
  <c r="AX8" i="3"/>
  <c r="BN8" i="3"/>
  <c r="CD8" i="3"/>
  <c r="CT8" i="3"/>
  <c r="DJ8" i="3"/>
  <c r="DZ8" i="3"/>
  <c r="EP8" i="3"/>
  <c r="FF8" i="3"/>
  <c r="FV8" i="3"/>
  <c r="GL8" i="3"/>
  <c r="HB8" i="3"/>
  <c r="HR8" i="3"/>
  <c r="IH8" i="3"/>
  <c r="IX8" i="3"/>
  <c r="JN8" i="3"/>
  <c r="KD8" i="3"/>
  <c r="KT8" i="3"/>
  <c r="LJ8" i="3"/>
  <c r="LZ8" i="3"/>
  <c r="MP8" i="3"/>
  <c r="NF8" i="3"/>
  <c r="NV8" i="3"/>
  <c r="OL8" i="3"/>
  <c r="PB8" i="3"/>
  <c r="PR8" i="3"/>
  <c r="QH8" i="3"/>
  <c r="QX8" i="3"/>
  <c r="RN8" i="3"/>
  <c r="SD8" i="3"/>
  <c r="ST8" i="3"/>
  <c r="TJ8" i="3"/>
  <c r="TZ8" i="3"/>
  <c r="UP8" i="3"/>
  <c r="VF8" i="3"/>
  <c r="VV8" i="3"/>
  <c r="WL8" i="3"/>
  <c r="XB8" i="3"/>
  <c r="XR8" i="3"/>
  <c r="YH8" i="3"/>
  <c r="YX8" i="3"/>
  <c r="ZN8" i="3"/>
  <c r="AAD8" i="3"/>
  <c r="AAT8" i="3"/>
  <c r="ABJ8" i="3"/>
  <c r="ABZ8" i="3"/>
  <c r="ACP8" i="3"/>
  <c r="ADF8" i="3"/>
  <c r="ADV8" i="3"/>
  <c r="AEL8" i="3"/>
  <c r="AFB8" i="3"/>
  <c r="AFR8" i="3"/>
  <c r="AGH8" i="3"/>
  <c r="AGX8" i="3"/>
  <c r="AHN8" i="3"/>
  <c r="AID8" i="3"/>
  <c r="AIT8" i="3"/>
  <c r="AJJ8" i="3"/>
  <c r="AJZ8" i="3"/>
  <c r="AKP8" i="3"/>
  <c r="P16" i="3"/>
  <c r="AF16" i="3"/>
  <c r="AV16" i="3"/>
  <c r="BL16" i="3"/>
  <c r="CB16" i="3"/>
  <c r="CR16" i="3"/>
  <c r="DH16" i="3"/>
  <c r="DX16" i="3"/>
  <c r="EN16" i="3"/>
  <c r="FD16" i="3"/>
  <c r="FT16" i="3"/>
  <c r="GJ16" i="3"/>
  <c r="GZ16" i="3"/>
  <c r="HP16" i="3"/>
  <c r="IF16" i="3"/>
  <c r="IV16" i="3"/>
  <c r="JL16" i="3"/>
  <c r="KB16" i="3"/>
  <c r="KR16" i="3"/>
  <c r="LH16" i="3"/>
  <c r="LX16" i="3"/>
  <c r="MN16" i="3"/>
  <c r="ND16" i="3"/>
  <c r="NT16" i="3"/>
  <c r="OJ16" i="3"/>
  <c r="OZ16" i="3"/>
  <c r="PP16" i="3"/>
  <c r="QF16" i="3"/>
  <c r="QV16" i="3"/>
  <c r="RL16" i="3"/>
  <c r="SB16" i="3"/>
  <c r="SR16" i="3"/>
  <c r="TH16" i="3"/>
  <c r="TX16" i="3"/>
  <c r="UN16" i="3"/>
  <c r="VD16" i="3"/>
  <c r="VT16" i="3"/>
  <c r="WJ16" i="3"/>
  <c r="WZ16" i="3"/>
  <c r="XP16" i="3"/>
  <c r="YF16" i="3"/>
  <c r="YV16" i="3"/>
  <c r="ZL16" i="3"/>
  <c r="AAB16" i="3"/>
  <c r="AAR16" i="3"/>
  <c r="ABH16" i="3"/>
  <c r="ABX16" i="3"/>
  <c r="ACN16" i="3"/>
  <c r="ADD16" i="3"/>
  <c r="ADT16" i="3"/>
  <c r="AEJ16" i="3"/>
  <c r="AEZ16" i="3"/>
  <c r="AFP16" i="3"/>
  <c r="AGF16" i="3"/>
  <c r="AGV16" i="3"/>
  <c r="AHL16" i="3"/>
  <c r="AIB16" i="3"/>
  <c r="AIR16" i="3"/>
  <c r="AJH16" i="3"/>
  <c r="AJX16" i="3"/>
  <c r="AKN16" i="3"/>
  <c r="G17" i="3"/>
  <c r="W17" i="3"/>
  <c r="AM17" i="3"/>
  <c r="BC17" i="3"/>
  <c r="BS17" i="3"/>
  <c r="CI17" i="3"/>
  <c r="CY17" i="3"/>
  <c r="DO17" i="3"/>
  <c r="EE17" i="3"/>
  <c r="EU17" i="3"/>
  <c r="FK17" i="3"/>
  <c r="GA17" i="3"/>
  <c r="GQ17" i="3"/>
  <c r="HG17" i="3"/>
  <c r="HW17" i="3"/>
  <c r="IM17" i="3"/>
  <c r="JC17" i="3"/>
  <c r="JS17" i="3"/>
  <c r="KI17" i="3"/>
  <c r="KY17" i="3"/>
  <c r="LO17" i="3"/>
  <c r="ME17" i="3"/>
  <c r="MU17" i="3"/>
  <c r="NK17" i="3"/>
  <c r="OA17" i="3"/>
  <c r="OQ17" i="3"/>
  <c r="PG17" i="3"/>
  <c r="PW17" i="3"/>
  <c r="QM17" i="3"/>
  <c r="RC17" i="3"/>
  <c r="RS17" i="3"/>
  <c r="SI17" i="3"/>
  <c r="SY17" i="3"/>
  <c r="TO17" i="3"/>
  <c r="UE17" i="3"/>
  <c r="UU17" i="3"/>
  <c r="VK17" i="3"/>
  <c r="WA17" i="3"/>
  <c r="WQ17" i="3"/>
  <c r="XG17" i="3"/>
  <c r="XW17" i="3"/>
  <c r="YM17" i="3"/>
  <c r="ZC17" i="3"/>
  <c r="ZS17" i="3"/>
  <c r="AAI17" i="3"/>
  <c r="AAY17" i="3"/>
  <c r="ABO17" i="3"/>
  <c r="ACE17" i="3"/>
  <c r="ACU17" i="3"/>
  <c r="ADK17" i="3"/>
  <c r="AEA17" i="3"/>
  <c r="AEQ17" i="3"/>
  <c r="AFG17" i="3"/>
  <c r="AFW17" i="3"/>
  <c r="AGM17" i="3"/>
  <c r="AHC17" i="3"/>
  <c r="AHS17" i="3"/>
  <c r="AII17" i="3"/>
  <c r="AIY17" i="3"/>
  <c r="AJO17" i="3"/>
  <c r="AKE17" i="3"/>
  <c r="AKU17" i="3"/>
  <c r="ALK17" i="3"/>
  <c r="N18" i="3"/>
  <c r="AD18" i="3"/>
  <c r="AT18" i="3"/>
  <c r="BJ18" i="3"/>
  <c r="BZ18" i="3"/>
  <c r="CP18" i="3"/>
  <c r="DF18" i="3"/>
  <c r="DV18" i="3"/>
  <c r="EL18" i="3"/>
  <c r="FB18" i="3"/>
  <c r="FR18" i="3"/>
  <c r="GH18" i="3"/>
  <c r="GX18" i="3"/>
  <c r="HN18" i="3"/>
  <c r="ID18" i="3"/>
  <c r="IT18" i="3"/>
  <c r="JJ18" i="3"/>
  <c r="JZ18" i="3"/>
  <c r="KP18" i="3"/>
  <c r="LF18" i="3"/>
  <c r="LV18" i="3"/>
  <c r="ML18" i="3"/>
  <c r="NB18" i="3"/>
  <c r="NR18" i="3"/>
  <c r="OH18" i="3"/>
  <c r="OX18" i="3"/>
  <c r="PN18" i="3"/>
  <c r="QD18" i="3"/>
  <c r="QT18" i="3"/>
  <c r="RJ18" i="3"/>
  <c r="RZ18" i="3"/>
  <c r="SQ18" i="3"/>
  <c r="TL18" i="3"/>
  <c r="UH18" i="3"/>
  <c r="VC18" i="3"/>
  <c r="VX18" i="3"/>
  <c r="WT18" i="3"/>
  <c r="XO18" i="3"/>
  <c r="YJ18" i="3"/>
  <c r="ZF18" i="3"/>
  <c r="AAA18" i="3"/>
  <c r="AAV18" i="3"/>
  <c r="ABR18" i="3"/>
  <c r="ACM18" i="3"/>
  <c r="ADH18" i="3"/>
  <c r="AED18" i="3"/>
  <c r="AEY18" i="3"/>
  <c r="AFT18" i="3"/>
  <c r="AGP18" i="3"/>
  <c r="AHK18" i="3"/>
  <c r="AIF18" i="3"/>
  <c r="AJB18" i="3"/>
  <c r="AJW18" i="3"/>
  <c r="AKR18" i="3"/>
  <c r="ALN18" i="3"/>
  <c r="AA22" i="3"/>
  <c r="BG22" i="3"/>
  <c r="CM22" i="3"/>
  <c r="DS22" i="3"/>
  <c r="EY22" i="3"/>
  <c r="GE22" i="3"/>
  <c r="HK22" i="3"/>
  <c r="IQ22" i="3"/>
  <c r="JW22" i="3"/>
  <c r="LC22" i="3"/>
  <c r="MI22" i="3"/>
  <c r="NO22" i="3"/>
  <c r="OU22" i="3"/>
  <c r="QA22" i="3"/>
  <c r="RG22" i="3"/>
  <c r="SM22" i="3"/>
  <c r="TS22" i="3"/>
  <c r="UY22" i="3"/>
  <c r="WE22" i="3"/>
  <c r="XK22" i="3"/>
  <c r="YQ22" i="3"/>
  <c r="ZW22" i="3"/>
  <c r="ABC22" i="3"/>
  <c r="ACI22" i="3"/>
  <c r="ADO22" i="3"/>
  <c r="AEU22" i="3"/>
  <c r="AGA22" i="3"/>
  <c r="AHG22" i="3"/>
  <c r="AIM22" i="3"/>
  <c r="AJS22" i="3"/>
  <c r="AKY22" i="3"/>
  <c r="AG23" i="3"/>
  <c r="CS23" i="3"/>
  <c r="FE23" i="3"/>
  <c r="HQ23" i="3"/>
  <c r="KC23" i="3"/>
  <c r="MO23" i="3"/>
  <c r="PA23" i="3"/>
  <c r="RM23" i="3"/>
  <c r="TY23" i="3"/>
  <c r="WK23" i="3"/>
  <c r="YW23" i="3"/>
  <c r="ABI23" i="3"/>
  <c r="ADU23" i="3"/>
  <c r="AGG23" i="3"/>
  <c r="AIS23" i="3"/>
  <c r="ALE23" i="3"/>
  <c r="AL26" i="3"/>
  <c r="CX26" i="3"/>
  <c r="FJ26" i="3"/>
  <c r="HV26" i="3"/>
  <c r="KH26" i="3"/>
  <c r="MT26" i="3"/>
  <c r="PF26" i="3"/>
  <c r="RR26" i="3"/>
  <c r="UD26" i="3"/>
  <c r="WP26" i="3"/>
  <c r="ZB26" i="3"/>
  <c r="ABN26" i="3"/>
  <c r="ADZ26" i="3"/>
  <c r="AGL26" i="3"/>
  <c r="AIX26" i="3"/>
  <c r="ALJ26" i="3"/>
  <c r="BI27" i="3"/>
  <c r="DU27" i="3"/>
  <c r="GG27" i="3"/>
  <c r="IS27" i="3"/>
  <c r="LE27" i="3"/>
  <c r="E10" i="4"/>
  <c r="F15" i="3" a="1"/>
  <c r="ALP27" i="3"/>
  <c r="ALL27" i="3"/>
  <c r="ALH27" i="3"/>
  <c r="ALD27" i="3"/>
  <c r="AKZ27" i="3"/>
  <c r="AKV27" i="3"/>
  <c r="AKR27" i="3"/>
  <c r="AKN27" i="3"/>
  <c r="AKJ27" i="3"/>
  <c r="AKF27" i="3"/>
  <c r="AKB27" i="3"/>
  <c r="AJX27" i="3"/>
  <c r="AJT27" i="3"/>
  <c r="AJP27" i="3"/>
  <c r="AJL27" i="3"/>
  <c r="AJH27" i="3"/>
  <c r="AJD27" i="3"/>
  <c r="AIZ27" i="3"/>
  <c r="AIV27" i="3"/>
  <c r="AIR27" i="3"/>
  <c r="AIN27" i="3"/>
  <c r="AIJ27" i="3"/>
  <c r="AIF27" i="3"/>
  <c r="AIB27" i="3"/>
  <c r="AHX27" i="3"/>
  <c r="AHT27" i="3"/>
  <c r="AHP27" i="3"/>
  <c r="AHL27" i="3"/>
  <c r="AHH27" i="3"/>
  <c r="AHD27" i="3"/>
  <c r="AGZ27" i="3"/>
  <c r="AGV27" i="3"/>
  <c r="AGR27" i="3"/>
  <c r="AGN27" i="3"/>
  <c r="AGJ27" i="3"/>
  <c r="AGF27" i="3"/>
  <c r="AGB27" i="3"/>
  <c r="AFX27" i="3"/>
  <c r="AFT27" i="3"/>
  <c r="AFP27" i="3"/>
  <c r="AFL27" i="3"/>
  <c r="AFH27" i="3"/>
  <c r="AFD27" i="3"/>
  <c r="AEZ27" i="3"/>
  <c r="AEV27" i="3"/>
  <c r="AER27" i="3"/>
  <c r="AEN27" i="3"/>
  <c r="AEJ27" i="3"/>
  <c r="AEF27" i="3"/>
  <c r="AEB27" i="3"/>
  <c r="ADX27" i="3"/>
  <c r="ADT27" i="3"/>
  <c r="ADP27" i="3"/>
  <c r="ADL27" i="3"/>
  <c r="ADH27" i="3"/>
  <c r="ADD27" i="3"/>
  <c r="ACZ27" i="3"/>
  <c r="ACV27" i="3"/>
  <c r="ACR27" i="3"/>
  <c r="ACN27" i="3"/>
  <c r="ACJ27" i="3"/>
  <c r="ACF27" i="3"/>
  <c r="ACB27" i="3"/>
  <c r="ABX27" i="3"/>
  <c r="ABT27" i="3"/>
  <c r="ABP27" i="3"/>
  <c r="ABL27" i="3"/>
  <c r="ABH27" i="3"/>
  <c r="ABD27" i="3"/>
  <c r="AAZ27" i="3"/>
  <c r="AAV27" i="3"/>
  <c r="AAR27" i="3"/>
  <c r="AAN27" i="3"/>
  <c r="AAJ27" i="3"/>
  <c r="AAF27" i="3"/>
  <c r="AAB27" i="3"/>
  <c r="ZX27" i="3"/>
  <c r="ZT27" i="3"/>
  <c r="ZP27" i="3"/>
  <c r="ZL27" i="3"/>
  <c r="ZH27" i="3"/>
  <c r="ZD27" i="3"/>
  <c r="YZ27" i="3"/>
  <c r="YV27" i="3"/>
  <c r="YR27" i="3"/>
  <c r="YN27" i="3"/>
  <c r="YJ27" i="3"/>
  <c r="YF27" i="3"/>
  <c r="YB27" i="3"/>
  <c r="XX27" i="3"/>
  <c r="XT27" i="3"/>
  <c r="XP27" i="3"/>
  <c r="XL27" i="3"/>
  <c r="XH27" i="3"/>
  <c r="XD27" i="3"/>
  <c r="WZ27" i="3"/>
  <c r="WV27" i="3"/>
  <c r="WR27" i="3"/>
  <c r="WN27" i="3"/>
  <c r="WJ27" i="3"/>
  <c r="WF27" i="3"/>
  <c r="WB27" i="3"/>
  <c r="VX27" i="3"/>
  <c r="VT27" i="3"/>
  <c r="VP27" i="3"/>
  <c r="VL27" i="3"/>
  <c r="VH27" i="3"/>
  <c r="VD27" i="3"/>
  <c r="UZ27" i="3"/>
  <c r="UV27" i="3"/>
  <c r="UR27" i="3"/>
  <c r="UN27" i="3"/>
  <c r="UJ27" i="3"/>
  <c r="UF27" i="3"/>
  <c r="UB27" i="3"/>
  <c r="TX27" i="3"/>
  <c r="TT27" i="3"/>
  <c r="TP27" i="3"/>
  <c r="TL27" i="3"/>
  <c r="TH27" i="3"/>
  <c r="TD27" i="3"/>
  <c r="SZ27" i="3"/>
  <c r="SV27" i="3"/>
  <c r="SR27" i="3"/>
  <c r="SN27" i="3"/>
  <c r="SJ27" i="3"/>
  <c r="SF27" i="3"/>
  <c r="SB27" i="3"/>
  <c r="RX27" i="3"/>
  <c r="RT27" i="3"/>
  <c r="RP27" i="3"/>
  <c r="RL27" i="3"/>
  <c r="RH27" i="3"/>
  <c r="RD27" i="3"/>
  <c r="QZ27" i="3"/>
  <c r="QV27" i="3"/>
  <c r="QR27" i="3"/>
  <c r="QN27" i="3"/>
  <c r="QJ27" i="3"/>
  <c r="QF27" i="3"/>
  <c r="QB27" i="3"/>
  <c r="PX27" i="3"/>
  <c r="PT27" i="3"/>
  <c r="PP27" i="3"/>
  <c r="PL27" i="3"/>
  <c r="PH27" i="3"/>
  <c r="PD27" i="3"/>
  <c r="OZ27" i="3"/>
  <c r="OV27" i="3"/>
  <c r="OR27" i="3"/>
  <c r="ON27" i="3"/>
  <c r="OJ27" i="3"/>
  <c r="OF27" i="3"/>
  <c r="OB27" i="3"/>
  <c r="NX27" i="3"/>
  <c r="NT27" i="3"/>
  <c r="NP27" i="3"/>
  <c r="NL27" i="3"/>
  <c r="NH27" i="3"/>
  <c r="ND27" i="3"/>
  <c r="MZ27" i="3"/>
  <c r="MV27" i="3"/>
  <c r="MR27" i="3"/>
  <c r="MN27" i="3"/>
  <c r="MJ27" i="3"/>
  <c r="MF27" i="3"/>
  <c r="MB27" i="3"/>
  <c r="LX27" i="3"/>
  <c r="LT27" i="3"/>
  <c r="LP27" i="3"/>
  <c r="LL27" i="3"/>
  <c r="LH27" i="3"/>
  <c r="LD27" i="3"/>
  <c r="KZ27" i="3"/>
  <c r="KV27" i="3"/>
  <c r="KR27" i="3"/>
  <c r="KN27" i="3"/>
  <c r="KJ27" i="3"/>
  <c r="KF27" i="3"/>
  <c r="KB27" i="3"/>
  <c r="JX27" i="3"/>
  <c r="JT27" i="3"/>
  <c r="JP27" i="3"/>
  <c r="JL27" i="3"/>
  <c r="JH27" i="3"/>
  <c r="JD27" i="3"/>
  <c r="IZ27" i="3"/>
  <c r="IV27" i="3"/>
  <c r="IR27" i="3"/>
  <c r="IN27" i="3"/>
  <c r="IJ27" i="3"/>
  <c r="IF27" i="3"/>
  <c r="IB27" i="3"/>
  <c r="HX27" i="3"/>
  <c r="HT27" i="3"/>
  <c r="HP27" i="3"/>
  <c r="HL27" i="3"/>
  <c r="HH27" i="3"/>
  <c r="HD27" i="3"/>
  <c r="GZ27" i="3"/>
  <c r="GV27" i="3"/>
  <c r="GR27" i="3"/>
  <c r="GN27" i="3"/>
  <c r="GJ27" i="3"/>
  <c r="GF27" i="3"/>
  <c r="GB27" i="3"/>
  <c r="FX27" i="3"/>
  <c r="FT27" i="3"/>
  <c r="FP27" i="3"/>
  <c r="FL27" i="3"/>
  <c r="FH27" i="3"/>
  <c r="FD27" i="3"/>
  <c r="EZ27" i="3"/>
  <c r="EV27" i="3"/>
  <c r="ER27" i="3"/>
  <c r="EN27" i="3"/>
  <c r="EJ27" i="3"/>
  <c r="EF27" i="3"/>
  <c r="EB27" i="3"/>
  <c r="DX27" i="3"/>
  <c r="DT27" i="3"/>
  <c r="DP27" i="3"/>
  <c r="DL27" i="3"/>
  <c r="DH27" i="3"/>
  <c r="DD27" i="3"/>
  <c r="CZ27" i="3"/>
  <c r="CV27" i="3"/>
  <c r="CR27" i="3"/>
  <c r="CN27" i="3"/>
  <c r="CJ27" i="3"/>
  <c r="CF27" i="3"/>
  <c r="CB27" i="3"/>
  <c r="BX27" i="3"/>
  <c r="BT27" i="3"/>
  <c r="BP27" i="3"/>
  <c r="BL27" i="3"/>
  <c r="BH27" i="3"/>
  <c r="BD27" i="3"/>
  <c r="AZ27" i="3"/>
  <c r="AV27" i="3"/>
  <c r="AR27" i="3"/>
  <c r="AN27" i="3"/>
  <c r="AJ27" i="3"/>
  <c r="AF27" i="3"/>
  <c r="AB27" i="3"/>
  <c r="X27" i="3"/>
  <c r="T27" i="3"/>
  <c r="P27" i="3"/>
  <c r="L27" i="3"/>
  <c r="H27" i="3"/>
  <c r="ALO27" i="3"/>
  <c r="ALK27" i="3"/>
  <c r="ALG27" i="3"/>
  <c r="ALC27" i="3"/>
  <c r="AKY27" i="3"/>
  <c r="AKU27" i="3"/>
  <c r="AKQ27" i="3"/>
  <c r="AKM27" i="3"/>
  <c r="AKI27" i="3"/>
  <c r="AKE27" i="3"/>
  <c r="AKA27" i="3"/>
  <c r="AJW27" i="3"/>
  <c r="AJS27" i="3"/>
  <c r="AJO27" i="3"/>
  <c r="AJK27" i="3"/>
  <c r="AJG27" i="3"/>
  <c r="AJC27" i="3"/>
  <c r="AIY27" i="3"/>
  <c r="AIU27" i="3"/>
  <c r="AIQ27" i="3"/>
  <c r="AIM27" i="3"/>
  <c r="AII27" i="3"/>
  <c r="AIE27" i="3"/>
  <c r="AIA27" i="3"/>
  <c r="AHW27" i="3"/>
  <c r="AHS27" i="3"/>
  <c r="AHO27" i="3"/>
  <c r="AHK27" i="3"/>
  <c r="AHG27" i="3"/>
  <c r="AHC27" i="3"/>
  <c r="AGY27" i="3"/>
  <c r="AGU27" i="3"/>
  <c r="AGQ27" i="3"/>
  <c r="AGM27" i="3"/>
  <c r="AGI27" i="3"/>
  <c r="AGE27" i="3"/>
  <c r="AGA27" i="3"/>
  <c r="AFW27" i="3"/>
  <c r="AFS27" i="3"/>
  <c r="AFO27" i="3"/>
  <c r="AFK27" i="3"/>
  <c r="AFG27" i="3"/>
  <c r="AFC27" i="3"/>
  <c r="AEY27" i="3"/>
  <c r="AEU27" i="3"/>
  <c r="AEQ27" i="3"/>
  <c r="AEM27" i="3"/>
  <c r="AEI27" i="3"/>
  <c r="AEE27" i="3"/>
  <c r="AEA27" i="3"/>
  <c r="ADW27" i="3"/>
  <c r="ADS27" i="3"/>
  <c r="ADO27" i="3"/>
  <c r="ADK27" i="3"/>
  <c r="ADG27" i="3"/>
  <c r="ADC27" i="3"/>
  <c r="ACY27" i="3"/>
  <c r="ACU27" i="3"/>
  <c r="ACQ27" i="3"/>
  <c r="ACM27" i="3"/>
  <c r="ACI27" i="3"/>
  <c r="ACE27" i="3"/>
  <c r="ACA27" i="3"/>
  <c r="ABW27" i="3"/>
  <c r="ABS27" i="3"/>
  <c r="ABO27" i="3"/>
  <c r="ABK27" i="3"/>
  <c r="ABG27" i="3"/>
  <c r="ABC27" i="3"/>
  <c r="AAY27" i="3"/>
  <c r="AAU27" i="3"/>
  <c r="AAQ27" i="3"/>
  <c r="AAM27" i="3"/>
  <c r="AAI27" i="3"/>
  <c r="AAE27" i="3"/>
  <c r="AAA27" i="3"/>
  <c r="ZW27" i="3"/>
  <c r="ZS27" i="3"/>
  <c r="ZO27" i="3"/>
  <c r="ZK27" i="3"/>
  <c r="ZG27" i="3"/>
  <c r="ZC27" i="3"/>
  <c r="YY27" i="3"/>
  <c r="YU27" i="3"/>
  <c r="YQ27" i="3"/>
  <c r="YM27" i="3"/>
  <c r="YI27" i="3"/>
  <c r="YE27" i="3"/>
  <c r="YA27" i="3"/>
  <c r="XW27" i="3"/>
  <c r="XS27" i="3"/>
  <c r="XO27" i="3"/>
  <c r="XK27" i="3"/>
  <c r="XG27" i="3"/>
  <c r="XC27" i="3"/>
  <c r="WY27" i="3"/>
  <c r="WU27" i="3"/>
  <c r="WQ27" i="3"/>
  <c r="WM27" i="3"/>
  <c r="WI27" i="3"/>
  <c r="WE27" i="3"/>
  <c r="WA27" i="3"/>
  <c r="VW27" i="3"/>
  <c r="VS27" i="3"/>
  <c r="VO27" i="3"/>
  <c r="VK27" i="3"/>
  <c r="VG27" i="3"/>
  <c r="VC27" i="3"/>
  <c r="UY27" i="3"/>
  <c r="UU27" i="3"/>
  <c r="UQ27" i="3"/>
  <c r="UM27" i="3"/>
  <c r="UI27" i="3"/>
  <c r="UE27" i="3"/>
  <c r="UA27" i="3"/>
  <c r="TW27" i="3"/>
  <c r="TS27" i="3"/>
  <c r="TO27" i="3"/>
  <c r="TK27" i="3"/>
  <c r="TG27" i="3"/>
  <c r="TC27" i="3"/>
  <c r="SY27" i="3"/>
  <c r="SU27" i="3"/>
  <c r="SQ27" i="3"/>
  <c r="SM27" i="3"/>
  <c r="SI27" i="3"/>
  <c r="SE27" i="3"/>
  <c r="SA27" i="3"/>
  <c r="RW27" i="3"/>
  <c r="RS27" i="3"/>
  <c r="RO27" i="3"/>
  <c r="RK27" i="3"/>
  <c r="RG27" i="3"/>
  <c r="RC27" i="3"/>
  <c r="QY27" i="3"/>
  <c r="QU27" i="3"/>
  <c r="QQ27" i="3"/>
  <c r="QM27" i="3"/>
  <c r="QI27" i="3"/>
  <c r="QE27" i="3"/>
  <c r="QA27" i="3"/>
  <c r="PW27" i="3"/>
  <c r="PS27" i="3"/>
  <c r="PO27" i="3"/>
  <c r="PK27" i="3"/>
  <c r="PG27" i="3"/>
  <c r="PC27" i="3"/>
  <c r="OY27" i="3"/>
  <c r="OU27" i="3"/>
  <c r="OQ27" i="3"/>
  <c r="OM27" i="3"/>
  <c r="OI27" i="3"/>
  <c r="OE27" i="3"/>
  <c r="OA27" i="3"/>
  <c r="NW27" i="3"/>
  <c r="NS27" i="3"/>
  <c r="NO27" i="3"/>
  <c r="NK27" i="3"/>
  <c r="NG27" i="3"/>
  <c r="NC27" i="3"/>
  <c r="MY27" i="3"/>
  <c r="MU27" i="3"/>
  <c r="MQ27" i="3"/>
  <c r="MM27" i="3"/>
  <c r="MI27" i="3"/>
  <c r="ME27" i="3"/>
  <c r="MA27" i="3"/>
  <c r="LW27" i="3"/>
  <c r="LS27" i="3"/>
  <c r="LO27" i="3"/>
  <c r="LK27" i="3"/>
  <c r="LG27" i="3"/>
  <c r="LC27" i="3"/>
  <c r="KY27" i="3"/>
  <c r="KU27" i="3"/>
  <c r="KQ27" i="3"/>
  <c r="KM27" i="3"/>
  <c r="KI27" i="3"/>
  <c r="KE27" i="3"/>
  <c r="KA27" i="3"/>
  <c r="JW27" i="3"/>
  <c r="JS27" i="3"/>
  <c r="JO27" i="3"/>
  <c r="JK27" i="3"/>
  <c r="JG27" i="3"/>
  <c r="JC27" i="3"/>
  <c r="IY27" i="3"/>
  <c r="IU27" i="3"/>
  <c r="IQ27" i="3"/>
  <c r="IM27" i="3"/>
  <c r="II27" i="3"/>
  <c r="IE27" i="3"/>
  <c r="IA27" i="3"/>
  <c r="HW27" i="3"/>
  <c r="HS27" i="3"/>
  <c r="HO27" i="3"/>
  <c r="HK27" i="3"/>
  <c r="HG27" i="3"/>
  <c r="HC27" i="3"/>
  <c r="GY27" i="3"/>
  <c r="GU27" i="3"/>
  <c r="GQ27" i="3"/>
  <c r="GM27" i="3"/>
  <c r="GI27" i="3"/>
  <c r="GE27" i="3"/>
  <c r="GA27" i="3"/>
  <c r="FW27" i="3"/>
  <c r="FS27" i="3"/>
  <c r="FO27" i="3"/>
  <c r="FK27" i="3"/>
  <c r="FG27" i="3"/>
  <c r="FC27" i="3"/>
  <c r="EY27" i="3"/>
  <c r="EU27" i="3"/>
  <c r="EQ27" i="3"/>
  <c r="EM27" i="3"/>
  <c r="EI27" i="3"/>
  <c r="EE27" i="3"/>
  <c r="EA27" i="3"/>
  <c r="DW27" i="3"/>
  <c r="DS27" i="3"/>
  <c r="DO27" i="3"/>
  <c r="DK27" i="3"/>
  <c r="DG27" i="3"/>
  <c r="DC27" i="3"/>
  <c r="CY27" i="3"/>
  <c r="CU27" i="3"/>
  <c r="CQ27" i="3"/>
  <c r="CM27" i="3"/>
  <c r="CI27" i="3"/>
  <c r="CE27" i="3"/>
  <c r="CA27" i="3"/>
  <c r="BW27" i="3"/>
  <c r="BS27" i="3"/>
  <c r="BO27" i="3"/>
  <c r="BK27" i="3"/>
  <c r="BG27" i="3"/>
  <c r="BC27" i="3"/>
  <c r="AY27" i="3"/>
  <c r="AU27" i="3"/>
  <c r="AQ27" i="3"/>
  <c r="AM27" i="3"/>
  <c r="AI27" i="3"/>
  <c r="AE27" i="3"/>
  <c r="AA27" i="3"/>
  <c r="W27" i="3"/>
  <c r="S27" i="3"/>
  <c r="O27" i="3"/>
  <c r="K27" i="3"/>
  <c r="G27" i="3"/>
  <c r="ALN27" i="3"/>
  <c r="ALJ27" i="3"/>
  <c r="ALF27" i="3"/>
  <c r="ALB27" i="3"/>
  <c r="AKX27" i="3"/>
  <c r="AKT27" i="3"/>
  <c r="AKP27" i="3"/>
  <c r="AKL27" i="3"/>
  <c r="AKH27" i="3"/>
  <c r="AKD27" i="3"/>
  <c r="AJZ27" i="3"/>
  <c r="AJV27" i="3"/>
  <c r="AJR27" i="3"/>
  <c r="AJN27" i="3"/>
  <c r="AJJ27" i="3"/>
  <c r="AJF27" i="3"/>
  <c r="AJB27" i="3"/>
  <c r="AIX27" i="3"/>
  <c r="AIT27" i="3"/>
  <c r="AIP27" i="3"/>
  <c r="AIL27" i="3"/>
  <c r="AIH27" i="3"/>
  <c r="AID27" i="3"/>
  <c r="AHZ27" i="3"/>
  <c r="AHV27" i="3"/>
  <c r="AHR27" i="3"/>
  <c r="AHN27" i="3"/>
  <c r="AHJ27" i="3"/>
  <c r="AHF27" i="3"/>
  <c r="AHB27" i="3"/>
  <c r="AGX27" i="3"/>
  <c r="AGT27" i="3"/>
  <c r="AGP27" i="3"/>
  <c r="AGL27" i="3"/>
  <c r="AGH27" i="3"/>
  <c r="AGD27" i="3"/>
  <c r="AFZ27" i="3"/>
  <c r="AFV27" i="3"/>
  <c r="AFR27" i="3"/>
  <c r="AFN27" i="3"/>
  <c r="AFJ27" i="3"/>
  <c r="AFF27" i="3"/>
  <c r="AFB27" i="3"/>
  <c r="AEX27" i="3"/>
  <c r="AET27" i="3"/>
  <c r="AEP27" i="3"/>
  <c r="AEL27" i="3"/>
  <c r="AEH27" i="3"/>
  <c r="AED27" i="3"/>
  <c r="ADZ27" i="3"/>
  <c r="ADV27" i="3"/>
  <c r="ADR27" i="3"/>
  <c r="ADN27" i="3"/>
  <c r="ADJ27" i="3"/>
  <c r="ADF27" i="3"/>
  <c r="ADB27" i="3"/>
  <c r="ACX27" i="3"/>
  <c r="ACT27" i="3"/>
  <c r="ACP27" i="3"/>
  <c r="ACL27" i="3"/>
  <c r="ACH27" i="3"/>
  <c r="ACD27" i="3"/>
  <c r="ABZ27" i="3"/>
  <c r="ABV27" i="3"/>
  <c r="ABR27" i="3"/>
  <c r="ABN27" i="3"/>
  <c r="ABJ27" i="3"/>
  <c r="ABF27" i="3"/>
  <c r="ABB27" i="3"/>
  <c r="AAX27" i="3"/>
  <c r="AAT27" i="3"/>
  <c r="AAP27" i="3"/>
  <c r="AAL27" i="3"/>
  <c r="AAH27" i="3"/>
  <c r="AAD27" i="3"/>
  <c r="ZZ27" i="3"/>
  <c r="ZV27" i="3"/>
  <c r="ZR27" i="3"/>
  <c r="ZN27" i="3"/>
  <c r="ZJ27" i="3"/>
  <c r="ZF27" i="3"/>
  <c r="ZB27" i="3"/>
  <c r="YX27" i="3"/>
  <c r="YT27" i="3"/>
  <c r="YP27" i="3"/>
  <c r="YL27" i="3"/>
  <c r="YH27" i="3"/>
  <c r="YD27" i="3"/>
  <c r="XZ27" i="3"/>
  <c r="XV27" i="3"/>
  <c r="XR27" i="3"/>
  <c r="XN27" i="3"/>
  <c r="XJ27" i="3"/>
  <c r="XF27" i="3"/>
  <c r="XB27" i="3"/>
  <c r="WX27" i="3"/>
  <c r="WT27" i="3"/>
  <c r="WP27" i="3"/>
  <c r="WL27" i="3"/>
  <c r="WH27" i="3"/>
  <c r="WD27" i="3"/>
  <c r="VZ27" i="3"/>
  <c r="VV27" i="3"/>
  <c r="VR27" i="3"/>
  <c r="VN27" i="3"/>
  <c r="VJ27" i="3"/>
  <c r="VF27" i="3"/>
  <c r="VB27" i="3"/>
  <c r="UX27" i="3"/>
  <c r="UT27" i="3"/>
  <c r="UP27" i="3"/>
  <c r="UL27" i="3"/>
  <c r="UH27" i="3"/>
  <c r="UD27" i="3"/>
  <c r="TZ27" i="3"/>
  <c r="TV27" i="3"/>
  <c r="TR27" i="3"/>
  <c r="TN27" i="3"/>
  <c r="TJ27" i="3"/>
  <c r="TF27" i="3"/>
  <c r="TB27" i="3"/>
  <c r="SX27" i="3"/>
  <c r="ST27" i="3"/>
  <c r="SP27" i="3"/>
  <c r="SL27" i="3"/>
  <c r="SH27" i="3"/>
  <c r="SD27" i="3"/>
  <c r="RZ27" i="3"/>
  <c r="RV27" i="3"/>
  <c r="RR27" i="3"/>
  <c r="RN27" i="3"/>
  <c r="RJ27" i="3"/>
  <c r="RF27" i="3"/>
  <c r="RB27" i="3"/>
  <c r="QX27" i="3"/>
  <c r="QT27" i="3"/>
  <c r="QP27" i="3"/>
  <c r="QL27" i="3"/>
  <c r="QH27" i="3"/>
  <c r="QD27" i="3"/>
  <c r="PZ27" i="3"/>
  <c r="PV27" i="3"/>
  <c r="PR27" i="3"/>
  <c r="PN27" i="3"/>
  <c r="PJ27" i="3"/>
  <c r="PF27" i="3"/>
  <c r="PB27" i="3"/>
  <c r="OX27" i="3"/>
  <c r="OT27" i="3"/>
  <c r="OP27" i="3"/>
  <c r="OL27" i="3"/>
  <c r="OH27" i="3"/>
  <c r="OD27" i="3"/>
  <c r="NZ27" i="3"/>
  <c r="NV27" i="3"/>
  <c r="NR27" i="3"/>
  <c r="NN27" i="3"/>
  <c r="NJ27" i="3"/>
  <c r="NF27" i="3"/>
  <c r="NB27" i="3"/>
  <c r="MX27" i="3"/>
  <c r="MT27" i="3"/>
  <c r="MP27" i="3"/>
  <c r="ML27" i="3"/>
  <c r="MH27" i="3"/>
  <c r="MD27" i="3"/>
  <c r="LZ27" i="3"/>
  <c r="LV27" i="3"/>
  <c r="LR27" i="3"/>
  <c r="LN27" i="3"/>
  <c r="LJ27" i="3"/>
  <c r="LF27" i="3"/>
  <c r="LB27" i="3"/>
  <c r="KX27" i="3"/>
  <c r="KT27" i="3"/>
  <c r="KP27" i="3"/>
  <c r="KL27" i="3"/>
  <c r="KH27" i="3"/>
  <c r="KD27" i="3"/>
  <c r="JZ27" i="3"/>
  <c r="JV27" i="3"/>
  <c r="JR27" i="3"/>
  <c r="JN27" i="3"/>
  <c r="JJ27" i="3"/>
  <c r="JF27" i="3"/>
  <c r="JB27" i="3"/>
  <c r="IX27" i="3"/>
  <c r="IT27" i="3"/>
  <c r="IP27" i="3"/>
  <c r="IL27" i="3"/>
  <c r="IH27" i="3"/>
  <c r="ID27" i="3"/>
  <c r="HZ27" i="3"/>
  <c r="HV27" i="3"/>
  <c r="HR27" i="3"/>
  <c r="HN27" i="3"/>
  <c r="HJ27" i="3"/>
  <c r="HF27" i="3"/>
  <c r="HB27" i="3"/>
  <c r="GX27" i="3"/>
  <c r="GT27" i="3"/>
  <c r="GP27" i="3"/>
  <c r="GL27" i="3"/>
  <c r="GH27" i="3"/>
  <c r="GD27" i="3"/>
  <c r="FZ27" i="3"/>
  <c r="FV27" i="3"/>
  <c r="FR27" i="3"/>
  <c r="FN27" i="3"/>
  <c r="FJ27" i="3"/>
  <c r="FF27" i="3"/>
  <c r="FB27" i="3"/>
  <c r="EX27" i="3"/>
  <c r="ET27" i="3"/>
  <c r="EP27" i="3"/>
  <c r="EL27" i="3"/>
  <c r="EH27" i="3"/>
  <c r="ED27" i="3"/>
  <c r="DZ27" i="3"/>
  <c r="DV27" i="3"/>
  <c r="DR27" i="3"/>
  <c r="DN27" i="3"/>
  <c r="DJ27" i="3"/>
  <c r="DF27" i="3"/>
  <c r="DB27" i="3"/>
  <c r="CX27" i="3"/>
  <c r="CT27" i="3"/>
  <c r="CP27" i="3"/>
  <c r="CL27" i="3"/>
  <c r="CH27" i="3"/>
  <c r="CD27" i="3"/>
  <c r="BZ27" i="3"/>
  <c r="BV27" i="3"/>
  <c r="BR27" i="3"/>
  <c r="BN27" i="3"/>
  <c r="BJ27" i="3"/>
  <c r="BF27" i="3"/>
  <c r="BB27" i="3"/>
  <c r="AX27" i="3"/>
  <c r="AT27" i="3"/>
  <c r="AP27" i="3"/>
  <c r="AL27" i="3"/>
  <c r="AH27" i="3"/>
  <c r="AD27" i="3"/>
  <c r="Z27" i="3"/>
  <c r="V27" i="3"/>
  <c r="R27" i="3"/>
  <c r="N27" i="3"/>
  <c r="J27" i="3"/>
  <c r="ALM27" i="3"/>
  <c r="AKW27" i="3"/>
  <c r="AKG27" i="3"/>
  <c r="AJQ27" i="3"/>
  <c r="AJA27" i="3"/>
  <c r="AIK27" i="3"/>
  <c r="AHU27" i="3"/>
  <c r="AHE27" i="3"/>
  <c r="AGO27" i="3"/>
  <c r="AFY27" i="3"/>
  <c r="AFI27" i="3"/>
  <c r="AES27" i="3"/>
  <c r="AEC27" i="3"/>
  <c r="ADM27" i="3"/>
  <c r="ACW27" i="3"/>
  <c r="ACG27" i="3"/>
  <c r="ABQ27" i="3"/>
  <c r="ABA27" i="3"/>
  <c r="AAK27" i="3"/>
  <c r="ZU27" i="3"/>
  <c r="ZE27" i="3"/>
  <c r="YO27" i="3"/>
  <c r="XY27" i="3"/>
  <c r="XI27" i="3"/>
  <c r="WS27" i="3"/>
  <c r="WC27" i="3"/>
  <c r="VM27" i="3"/>
  <c r="UW27" i="3"/>
  <c r="UG27" i="3"/>
  <c r="TQ27" i="3"/>
  <c r="TA27" i="3"/>
  <c r="SK27" i="3"/>
  <c r="RU27" i="3"/>
  <c r="RE27" i="3"/>
  <c r="QO27" i="3"/>
  <c r="PY27" i="3"/>
  <c r="PI27" i="3"/>
  <c r="OS27" i="3"/>
  <c r="OC27" i="3"/>
  <c r="NM27" i="3"/>
  <c r="MW27" i="3"/>
  <c r="MG27" i="3"/>
  <c r="LQ27" i="3"/>
  <c r="LA27" i="3"/>
  <c r="KK27" i="3"/>
  <c r="JU27" i="3"/>
  <c r="JE27" i="3"/>
  <c r="IO27" i="3"/>
  <c r="HY27" i="3"/>
  <c r="HI27" i="3"/>
  <c r="GS27" i="3"/>
  <c r="GC27" i="3"/>
  <c r="FM27" i="3"/>
  <c r="EW27" i="3"/>
  <c r="EG27" i="3"/>
  <c r="DQ27" i="3"/>
  <c r="DA27" i="3"/>
  <c r="CK27" i="3"/>
  <c r="BU27" i="3"/>
  <c r="BE27" i="3"/>
  <c r="AO27" i="3"/>
  <c r="Y27" i="3"/>
  <c r="I27" i="3"/>
  <c r="ALI27" i="3"/>
  <c r="AKS27" i="3"/>
  <c r="AKC27" i="3"/>
  <c r="AJM27" i="3"/>
  <c r="AIW27" i="3"/>
  <c r="AIG27" i="3"/>
  <c r="AHQ27" i="3"/>
  <c r="AHA27" i="3"/>
  <c r="AGK27" i="3"/>
  <c r="AFU27" i="3"/>
  <c r="AFE27" i="3"/>
  <c r="AEO27" i="3"/>
  <c r="ADY27" i="3"/>
  <c r="ADI27" i="3"/>
  <c r="ACS27" i="3"/>
  <c r="ACC27" i="3"/>
  <c r="ABM27" i="3"/>
  <c r="AAW27" i="3"/>
  <c r="AAG27" i="3"/>
  <c r="ZQ27" i="3"/>
  <c r="ZA27" i="3"/>
  <c r="YK27" i="3"/>
  <c r="XU27" i="3"/>
  <c r="XE27" i="3"/>
  <c r="WO27" i="3"/>
  <c r="VY27" i="3"/>
  <c r="VI27" i="3"/>
  <c r="US27" i="3"/>
  <c r="UC27" i="3"/>
  <c r="TM27" i="3"/>
  <c r="SW27" i="3"/>
  <c r="SG27" i="3"/>
  <c r="RQ27" i="3"/>
  <c r="RA27" i="3"/>
  <c r="QK27" i="3"/>
  <c r="PU27" i="3"/>
  <c r="PE27" i="3"/>
  <c r="OO27" i="3"/>
  <c r="NY27" i="3"/>
  <c r="NI27" i="3"/>
  <c r="MS27" i="3"/>
  <c r="MC27" i="3"/>
  <c r="LM27" i="3"/>
  <c r="KW27" i="3"/>
  <c r="KG27" i="3"/>
  <c r="JQ27" i="3"/>
  <c r="JA27" i="3"/>
  <c r="IK27" i="3"/>
  <c r="HU27" i="3"/>
  <c r="HE27" i="3"/>
  <c r="GO27" i="3"/>
  <c r="FY27" i="3"/>
  <c r="FI27" i="3"/>
  <c r="ES27" i="3"/>
  <c r="EC27" i="3"/>
  <c r="DM27" i="3"/>
  <c r="CW27" i="3"/>
  <c r="CG27" i="3"/>
  <c r="BQ27" i="3"/>
  <c r="BA27" i="3"/>
  <c r="AK27" i="3"/>
  <c r="U27" i="3"/>
  <c r="F27" i="3"/>
  <c r="ALQ27" i="3"/>
  <c r="ALA27" i="3"/>
  <c r="AKK27" i="3"/>
  <c r="AJU27" i="3"/>
  <c r="AJE27" i="3"/>
  <c r="AIO27" i="3"/>
  <c r="AHY27" i="3"/>
  <c r="AHI27" i="3"/>
  <c r="AGS27" i="3"/>
  <c r="AGC27" i="3"/>
  <c r="AFM27" i="3"/>
  <c r="AEW27" i="3"/>
  <c r="AEG27" i="3"/>
  <c r="ADQ27" i="3"/>
  <c r="ADA27" i="3"/>
  <c r="ACK27" i="3"/>
  <c r="ABU27" i="3"/>
  <c r="ABE27" i="3"/>
  <c r="AAO27" i="3"/>
  <c r="ZY27" i="3"/>
  <c r="ZI27" i="3"/>
  <c r="YS27" i="3"/>
  <c r="YC27" i="3"/>
  <c r="XM27" i="3"/>
  <c r="WW27" i="3"/>
  <c r="WG27" i="3"/>
  <c r="VQ27" i="3"/>
  <c r="VA27" i="3"/>
  <c r="UK27" i="3"/>
  <c r="TU27" i="3"/>
  <c r="TE27" i="3"/>
  <c r="SO27" i="3"/>
  <c r="RY27" i="3"/>
  <c r="RI27" i="3"/>
  <c r="QS27" i="3"/>
  <c r="QC27" i="3"/>
  <c r="ALE27" i="3"/>
  <c r="AKO27" i="3"/>
  <c r="AJY27" i="3"/>
  <c r="AJI27" i="3"/>
  <c r="AIS27" i="3"/>
  <c r="AIC27" i="3"/>
  <c r="AHM27" i="3"/>
  <c r="AGW27" i="3"/>
  <c r="AGG27" i="3"/>
  <c r="AFQ27" i="3"/>
  <c r="AFA27" i="3"/>
  <c r="AEK27" i="3"/>
  <c r="ADU27" i="3"/>
  <c r="ADE27" i="3"/>
  <c r="ACO27" i="3"/>
  <c r="ABY27" i="3"/>
  <c r="ABI27" i="3"/>
  <c r="AAS27" i="3"/>
  <c r="AAC27" i="3"/>
  <c r="ZM27" i="3"/>
  <c r="YW27" i="3"/>
  <c r="YG27" i="3"/>
  <c r="XQ27" i="3"/>
  <c r="XA27" i="3"/>
  <c r="WK27" i="3"/>
  <c r="VU27" i="3"/>
  <c r="VE27" i="3"/>
  <c r="UO27" i="3"/>
  <c r="TY27" i="3"/>
  <c r="TI27" i="3"/>
  <c r="SS27" i="3"/>
  <c r="SC27" i="3"/>
  <c r="RM27" i="3"/>
  <c r="QW27" i="3"/>
  <c r="QG27" i="3"/>
  <c r="PQ27" i="3"/>
  <c r="PA27" i="3"/>
  <c r="OK27" i="3"/>
  <c r="NU27" i="3"/>
  <c r="NE27" i="3"/>
  <c r="MO27" i="3"/>
  <c r="LY27" i="3"/>
  <c r="LI27" i="3"/>
  <c r="KS27" i="3"/>
  <c r="KC27" i="3"/>
  <c r="JM27" i="3"/>
  <c r="IW27" i="3"/>
  <c r="IG27" i="3"/>
  <c r="HQ27" i="3"/>
  <c r="HA27" i="3"/>
  <c r="GK27" i="3"/>
  <c r="FU27" i="3"/>
  <c r="FE27" i="3"/>
  <c r="EO27" i="3"/>
  <c r="DY27" i="3"/>
  <c r="DI27" i="3"/>
  <c r="CS27" i="3"/>
  <c r="CC27" i="3"/>
  <c r="BM27" i="3"/>
  <c r="AW27" i="3"/>
  <c r="AG27" i="3"/>
  <c r="Q27" i="3"/>
  <c r="ALN35" i="3"/>
  <c r="ALJ35" i="3"/>
  <c r="ALF35" i="3"/>
  <c r="ALB35" i="3"/>
  <c r="AKX35" i="3"/>
  <c r="AKT35" i="3"/>
  <c r="AKP35" i="3"/>
  <c r="AKL35" i="3"/>
  <c r="AKH35" i="3"/>
  <c r="AKD35" i="3"/>
  <c r="AJZ35" i="3"/>
  <c r="AJV35" i="3"/>
  <c r="AJR35" i="3"/>
  <c r="AJN35" i="3"/>
  <c r="AJJ35" i="3"/>
  <c r="AJF35" i="3"/>
  <c r="AJB35" i="3"/>
  <c r="AIX35" i="3"/>
  <c r="AIT35" i="3"/>
  <c r="AIP35" i="3"/>
  <c r="AIL35" i="3"/>
  <c r="AIH35" i="3"/>
  <c r="AID35" i="3"/>
  <c r="AHZ35" i="3"/>
  <c r="AHV35" i="3"/>
  <c r="AHR35" i="3"/>
  <c r="AHN35" i="3"/>
  <c r="AHJ35" i="3"/>
  <c r="AHF35" i="3"/>
  <c r="AHB35" i="3"/>
  <c r="AGX35" i="3"/>
  <c r="AGT35" i="3"/>
  <c r="AGP35" i="3"/>
  <c r="AGL35" i="3"/>
  <c r="AGH35" i="3"/>
  <c r="AGD35" i="3"/>
  <c r="AFZ35" i="3"/>
  <c r="AFV35" i="3"/>
  <c r="AFR35" i="3"/>
  <c r="AFN35" i="3"/>
  <c r="AFJ35" i="3"/>
  <c r="AFF35" i="3"/>
  <c r="AFB35" i="3"/>
  <c r="AEX35" i="3"/>
  <c r="AET35" i="3"/>
  <c r="AEP35" i="3"/>
  <c r="AEL35" i="3"/>
  <c r="AEH35" i="3"/>
  <c r="AED35" i="3"/>
  <c r="ADZ35" i="3"/>
  <c r="ADV35" i="3"/>
  <c r="ADR35" i="3"/>
  <c r="ADN35" i="3"/>
  <c r="ADJ35" i="3"/>
  <c r="ADF35" i="3"/>
  <c r="ADB35" i="3"/>
  <c r="ACX35" i="3"/>
  <c r="ACT35" i="3"/>
  <c r="ACP35" i="3"/>
  <c r="ACL35" i="3"/>
  <c r="ACH35" i="3"/>
  <c r="ACD35" i="3"/>
  <c r="ABZ35" i="3"/>
  <c r="ABV35" i="3"/>
  <c r="ABR35" i="3"/>
  <c r="ABN35" i="3"/>
  <c r="ABJ35" i="3"/>
  <c r="ABF35" i="3"/>
  <c r="ABB35" i="3"/>
  <c r="AAX35" i="3"/>
  <c r="AAT35" i="3"/>
  <c r="AAP35" i="3"/>
  <c r="AAL35" i="3"/>
  <c r="AAH35" i="3"/>
  <c r="AAD35" i="3"/>
  <c r="ZZ35" i="3"/>
  <c r="ZV35" i="3"/>
  <c r="ZR35" i="3"/>
  <c r="ZN35" i="3"/>
  <c r="ZJ35" i="3"/>
  <c r="ZF35" i="3"/>
  <c r="ZB35" i="3"/>
  <c r="YX35" i="3"/>
  <c r="YT35" i="3"/>
  <c r="YP35" i="3"/>
  <c r="YL35" i="3"/>
  <c r="YH35" i="3"/>
  <c r="YD35" i="3"/>
  <c r="XZ35" i="3"/>
  <c r="XV35" i="3"/>
  <c r="XR35" i="3"/>
  <c r="XN35" i="3"/>
  <c r="XJ35" i="3"/>
  <c r="XF35" i="3"/>
  <c r="XB35" i="3"/>
  <c r="WX35" i="3"/>
  <c r="WT35" i="3"/>
  <c r="WP35" i="3"/>
  <c r="WL35" i="3"/>
  <c r="WH35" i="3"/>
  <c r="WD35" i="3"/>
  <c r="VZ35" i="3"/>
  <c r="VV35" i="3"/>
  <c r="VR35" i="3"/>
  <c r="VN35" i="3"/>
  <c r="VJ35" i="3"/>
  <c r="VF35" i="3"/>
  <c r="VB35" i="3"/>
  <c r="UX35" i="3"/>
  <c r="UT35" i="3"/>
  <c r="UP35" i="3"/>
  <c r="UL35" i="3"/>
  <c r="UH35" i="3"/>
  <c r="UD35" i="3"/>
  <c r="TZ35" i="3"/>
  <c r="TV35" i="3"/>
  <c r="TR35" i="3"/>
  <c r="TN35" i="3"/>
  <c r="TJ35" i="3"/>
  <c r="TF35" i="3"/>
  <c r="TB35" i="3"/>
  <c r="SX35" i="3"/>
  <c r="ST35" i="3"/>
  <c r="SP35" i="3"/>
  <c r="SL35" i="3"/>
  <c r="SH35" i="3"/>
  <c r="SD35" i="3"/>
  <c r="RZ35" i="3"/>
  <c r="RV35" i="3"/>
  <c r="RR35" i="3"/>
  <c r="RN35" i="3"/>
  <c r="RJ35" i="3"/>
  <c r="RF35" i="3"/>
  <c r="RB35" i="3"/>
  <c r="QX35" i="3"/>
  <c r="QT35" i="3"/>
  <c r="QP35" i="3"/>
  <c r="QL35" i="3"/>
  <c r="QH35" i="3"/>
  <c r="QD35" i="3"/>
  <c r="PZ35" i="3"/>
  <c r="PV35" i="3"/>
  <c r="PR35" i="3"/>
  <c r="PN35" i="3"/>
  <c r="PJ35" i="3"/>
  <c r="PF35" i="3"/>
  <c r="PB35" i="3"/>
  <c r="OX35" i="3"/>
  <c r="OT35" i="3"/>
  <c r="OP35" i="3"/>
  <c r="OL35" i="3"/>
  <c r="OH35" i="3"/>
  <c r="OD35" i="3"/>
  <c r="NZ35" i="3"/>
  <c r="NV35" i="3"/>
  <c r="NR35" i="3"/>
  <c r="NN35" i="3"/>
  <c r="NJ35" i="3"/>
  <c r="NF35" i="3"/>
  <c r="NB35" i="3"/>
  <c r="MX35" i="3"/>
  <c r="MT35" i="3"/>
  <c r="MP35" i="3"/>
  <c r="ML35" i="3"/>
  <c r="MH35" i="3"/>
  <c r="MD35" i="3"/>
  <c r="LZ35" i="3"/>
  <c r="LV35" i="3"/>
  <c r="LR35" i="3"/>
  <c r="LN35" i="3"/>
  <c r="LJ35" i="3"/>
  <c r="LF35" i="3"/>
  <c r="LB35" i="3"/>
  <c r="KX35" i="3"/>
  <c r="KT35" i="3"/>
  <c r="KP35" i="3"/>
  <c r="KL35" i="3"/>
  <c r="KH35" i="3"/>
  <c r="KD35" i="3"/>
  <c r="JZ35" i="3"/>
  <c r="JV35" i="3"/>
  <c r="JR35" i="3"/>
  <c r="JN35" i="3"/>
  <c r="JJ35" i="3"/>
  <c r="JF35" i="3"/>
  <c r="JB35" i="3"/>
  <c r="IX35" i="3"/>
  <c r="IT35" i="3"/>
  <c r="IP35" i="3"/>
  <c r="IL35" i="3"/>
  <c r="IH35" i="3"/>
  <c r="ID35" i="3"/>
  <c r="HZ35" i="3"/>
  <c r="HV35" i="3"/>
  <c r="HR35" i="3"/>
  <c r="HN35" i="3"/>
  <c r="HJ35" i="3"/>
  <c r="HF35" i="3"/>
  <c r="HB35" i="3"/>
  <c r="GX35" i="3"/>
  <c r="GT35" i="3"/>
  <c r="GP35" i="3"/>
  <c r="GL35" i="3"/>
  <c r="GH35" i="3"/>
  <c r="GD35" i="3"/>
  <c r="FZ35" i="3"/>
  <c r="FV35" i="3"/>
  <c r="FR35" i="3"/>
  <c r="FN35" i="3"/>
  <c r="FJ35" i="3"/>
  <c r="FF35" i="3"/>
  <c r="FB35" i="3"/>
  <c r="EX35" i="3"/>
  <c r="ET35" i="3"/>
  <c r="EP35" i="3"/>
  <c r="EL35" i="3"/>
  <c r="EH35" i="3"/>
  <c r="ED35" i="3"/>
  <c r="DZ35" i="3"/>
  <c r="DV35" i="3"/>
  <c r="DR35" i="3"/>
  <c r="DN35" i="3"/>
  <c r="DJ35" i="3"/>
  <c r="DF35" i="3"/>
  <c r="DB35" i="3"/>
  <c r="CX35" i="3"/>
  <c r="CT35" i="3"/>
  <c r="CP35" i="3"/>
  <c r="CL35" i="3"/>
  <c r="CH35" i="3"/>
  <c r="CD35" i="3"/>
  <c r="BZ35" i="3"/>
  <c r="BV35" i="3"/>
  <c r="BR35" i="3"/>
  <c r="BN35" i="3"/>
  <c r="BJ35" i="3"/>
  <c r="BF35" i="3"/>
  <c r="BB35" i="3"/>
  <c r="AX35" i="3"/>
  <c r="AT35" i="3"/>
  <c r="AP35" i="3"/>
  <c r="AL35" i="3"/>
  <c r="AH35" i="3"/>
  <c r="ALQ35" i="3"/>
  <c r="ALM35" i="3"/>
  <c r="ALI35" i="3"/>
  <c r="ALE35" i="3"/>
  <c r="ALA35" i="3"/>
  <c r="AKW35" i="3"/>
  <c r="AKS35" i="3"/>
  <c r="AKO35" i="3"/>
  <c r="AKK35" i="3"/>
  <c r="AKG35" i="3"/>
  <c r="AKC35" i="3"/>
  <c r="AJY35" i="3"/>
  <c r="AJU35" i="3"/>
  <c r="AJQ35" i="3"/>
  <c r="AJM35" i="3"/>
  <c r="AJI35" i="3"/>
  <c r="AJE35" i="3"/>
  <c r="AJA35" i="3"/>
  <c r="AIW35" i="3"/>
  <c r="AIS35" i="3"/>
  <c r="AIO35" i="3"/>
  <c r="AIK35" i="3"/>
  <c r="AIG35" i="3"/>
  <c r="AIC35" i="3"/>
  <c r="AHY35" i="3"/>
  <c r="AHU35" i="3"/>
  <c r="AHQ35" i="3"/>
  <c r="AHM35" i="3"/>
  <c r="AHI35" i="3"/>
  <c r="AHE35" i="3"/>
  <c r="AHA35" i="3"/>
  <c r="AGW35" i="3"/>
  <c r="AGS35" i="3"/>
  <c r="AGO35" i="3"/>
  <c r="AGK35" i="3"/>
  <c r="AGG35" i="3"/>
  <c r="AGC35" i="3"/>
  <c r="AFY35" i="3"/>
  <c r="AFU35" i="3"/>
  <c r="AFQ35" i="3"/>
  <c r="AFM35" i="3"/>
  <c r="AFI35" i="3"/>
  <c r="AFE35" i="3"/>
  <c r="AFA35" i="3"/>
  <c r="AEW35" i="3"/>
  <c r="AES35" i="3"/>
  <c r="AEO35" i="3"/>
  <c r="AEK35" i="3"/>
  <c r="AEG35" i="3"/>
  <c r="AEC35" i="3"/>
  <c r="ADY35" i="3"/>
  <c r="ADU35" i="3"/>
  <c r="ADQ35" i="3"/>
  <c r="ADM35" i="3"/>
  <c r="ADI35" i="3"/>
  <c r="ADE35" i="3"/>
  <c r="ADA35" i="3"/>
  <c r="ACW35" i="3"/>
  <c r="ACS35" i="3"/>
  <c r="ACO35" i="3"/>
  <c r="ACK35" i="3"/>
  <c r="ACG35" i="3"/>
  <c r="ACC35" i="3"/>
  <c r="ABY35" i="3"/>
  <c r="ABU35" i="3"/>
  <c r="ABQ35" i="3"/>
  <c r="ABM35" i="3"/>
  <c r="ABI35" i="3"/>
  <c r="ABE35" i="3"/>
  <c r="ABA35" i="3"/>
  <c r="AAW35" i="3"/>
  <c r="AAS35" i="3"/>
  <c r="AAO35" i="3"/>
  <c r="AAK35" i="3"/>
  <c r="AAG35" i="3"/>
  <c r="AAC35" i="3"/>
  <c r="ZY35" i="3"/>
  <c r="ZU35" i="3"/>
  <c r="ZQ35" i="3"/>
  <c r="ZM35" i="3"/>
  <c r="ZI35" i="3"/>
  <c r="ZE35" i="3"/>
  <c r="ZA35" i="3"/>
  <c r="YW35" i="3"/>
  <c r="YS35" i="3"/>
  <c r="YO35" i="3"/>
  <c r="YK35" i="3"/>
  <c r="YG35" i="3"/>
  <c r="YC35" i="3"/>
  <c r="XY35" i="3"/>
  <c r="XU35" i="3"/>
  <c r="XQ35" i="3"/>
  <c r="XM35" i="3"/>
  <c r="XI35" i="3"/>
  <c r="XE35" i="3"/>
  <c r="XA35" i="3"/>
  <c r="WW35" i="3"/>
  <c r="WS35" i="3"/>
  <c r="WO35" i="3"/>
  <c r="WK35" i="3"/>
  <c r="WG35" i="3"/>
  <c r="WC35" i="3"/>
  <c r="VY35" i="3"/>
  <c r="VU35" i="3"/>
  <c r="VQ35" i="3"/>
  <c r="VM35" i="3"/>
  <c r="VI35" i="3"/>
  <c r="VE35" i="3"/>
  <c r="VA35" i="3"/>
  <c r="UW35" i="3"/>
  <c r="US35" i="3"/>
  <c r="UO35" i="3"/>
  <c r="UK35" i="3"/>
  <c r="UG35" i="3"/>
  <c r="UC35" i="3"/>
  <c r="TY35" i="3"/>
  <c r="TU35" i="3"/>
  <c r="TQ35" i="3"/>
  <c r="TM35" i="3"/>
  <c r="TI35" i="3"/>
  <c r="TE35" i="3"/>
  <c r="TA35" i="3"/>
  <c r="SW35" i="3"/>
  <c r="SS35" i="3"/>
  <c r="SO35" i="3"/>
  <c r="SK35" i="3"/>
  <c r="SG35" i="3"/>
  <c r="SC35" i="3"/>
  <c r="RY35" i="3"/>
  <c r="RU35" i="3"/>
  <c r="RQ35" i="3"/>
  <c r="RM35" i="3"/>
  <c r="RI35" i="3"/>
  <c r="RE35" i="3"/>
  <c r="RA35" i="3"/>
  <c r="QW35" i="3"/>
  <c r="QS35" i="3"/>
  <c r="QO35" i="3"/>
  <c r="QK35" i="3"/>
  <c r="QG35" i="3"/>
  <c r="QC35" i="3"/>
  <c r="PY35" i="3"/>
  <c r="PU35" i="3"/>
  <c r="PQ35" i="3"/>
  <c r="PM35" i="3"/>
  <c r="PI35" i="3"/>
  <c r="PE35" i="3"/>
  <c r="PA35" i="3"/>
  <c r="OW35" i="3"/>
  <c r="OS35" i="3"/>
  <c r="OO35" i="3"/>
  <c r="OK35" i="3"/>
  <c r="OG35" i="3"/>
  <c r="OC35" i="3"/>
  <c r="NY35" i="3"/>
  <c r="NU35" i="3"/>
  <c r="NQ35" i="3"/>
  <c r="NM35" i="3"/>
  <c r="NI35" i="3"/>
  <c r="NE35" i="3"/>
  <c r="NA35" i="3"/>
  <c r="MW35" i="3"/>
  <c r="MS35" i="3"/>
  <c r="MO35" i="3"/>
  <c r="MK35" i="3"/>
  <c r="MG35" i="3"/>
  <c r="MC35" i="3"/>
  <c r="LY35" i="3"/>
  <c r="LU35" i="3"/>
  <c r="LQ35" i="3"/>
  <c r="LM35" i="3"/>
  <c r="LI35" i="3"/>
  <c r="LE35" i="3"/>
  <c r="LA35" i="3"/>
  <c r="KW35" i="3"/>
  <c r="KS35" i="3"/>
  <c r="KO35" i="3"/>
  <c r="KK35" i="3"/>
  <c r="KG35" i="3"/>
  <c r="KC35" i="3"/>
  <c r="JY35" i="3"/>
  <c r="JU35" i="3"/>
  <c r="JQ35" i="3"/>
  <c r="JM35" i="3"/>
  <c r="JI35" i="3"/>
  <c r="JE35" i="3"/>
  <c r="JA35" i="3"/>
  <c r="IW35" i="3"/>
  <c r="IS35" i="3"/>
  <c r="IO35" i="3"/>
  <c r="IK35" i="3"/>
  <c r="IG35" i="3"/>
  <c r="IC35" i="3"/>
  <c r="HY35" i="3"/>
  <c r="HU35" i="3"/>
  <c r="HQ35" i="3"/>
  <c r="HM35" i="3"/>
  <c r="HI35" i="3"/>
  <c r="HE35" i="3"/>
  <c r="HA35" i="3"/>
  <c r="GW35" i="3"/>
  <c r="GS35" i="3"/>
  <c r="GO35" i="3"/>
  <c r="GK35" i="3"/>
  <c r="GG35" i="3"/>
  <c r="GC35" i="3"/>
  <c r="FY35" i="3"/>
  <c r="FU35" i="3"/>
  <c r="FQ35" i="3"/>
  <c r="FM35" i="3"/>
  <c r="FI35" i="3"/>
  <c r="FE35" i="3"/>
  <c r="FA35" i="3"/>
  <c r="EW35" i="3"/>
  <c r="ES35" i="3"/>
  <c r="EO35" i="3"/>
  <c r="EK35" i="3"/>
  <c r="EG35" i="3"/>
  <c r="EC35" i="3"/>
  <c r="DY35" i="3"/>
  <c r="DU35" i="3"/>
  <c r="DQ35" i="3"/>
  <c r="DM35" i="3"/>
  <c r="DI35" i="3"/>
  <c r="DE35" i="3"/>
  <c r="DA35" i="3"/>
  <c r="CW35" i="3"/>
  <c r="CS35" i="3"/>
  <c r="CO35" i="3"/>
  <c r="CK35" i="3"/>
  <c r="CG35" i="3"/>
  <c r="CC35" i="3"/>
  <c r="BY35" i="3"/>
  <c r="BU35" i="3"/>
  <c r="BQ35" i="3"/>
  <c r="BM35" i="3"/>
  <c r="BI35" i="3"/>
  <c r="BE35" i="3"/>
  <c r="BA35" i="3"/>
  <c r="AW35" i="3"/>
  <c r="AS35" i="3"/>
  <c r="AO35" i="3"/>
  <c r="AK35" i="3"/>
  <c r="AG35" i="3"/>
  <c r="AC35" i="3"/>
  <c r="Y35" i="3"/>
  <c r="U35" i="3"/>
  <c r="Q35" i="3"/>
  <c r="M35" i="3"/>
  <c r="I35" i="3"/>
  <c r="F35" i="3"/>
  <c r="ALP35" i="3"/>
  <c r="ALH35" i="3"/>
  <c r="AKZ35" i="3"/>
  <c r="AKR35" i="3"/>
  <c r="AKJ35" i="3"/>
  <c r="AKB35" i="3"/>
  <c r="AJT35" i="3"/>
  <c r="AJL35" i="3"/>
  <c r="AJD35" i="3"/>
  <c r="AIV35" i="3"/>
  <c r="AIN35" i="3"/>
  <c r="AIF35" i="3"/>
  <c r="AHX35" i="3"/>
  <c r="AHP35" i="3"/>
  <c r="AHH35" i="3"/>
  <c r="AGZ35" i="3"/>
  <c r="AGR35" i="3"/>
  <c r="AGJ35" i="3"/>
  <c r="AGB35" i="3"/>
  <c r="AFT35" i="3"/>
  <c r="AFL35" i="3"/>
  <c r="AFD35" i="3"/>
  <c r="AEV35" i="3"/>
  <c r="AEN35" i="3"/>
  <c r="AEF35" i="3"/>
  <c r="ADX35" i="3"/>
  <c r="ADP35" i="3"/>
  <c r="ADH35" i="3"/>
  <c r="ACZ35" i="3"/>
  <c r="ACR35" i="3"/>
  <c r="ACJ35" i="3"/>
  <c r="ACB35" i="3"/>
  <c r="ABT35" i="3"/>
  <c r="ABL35" i="3"/>
  <c r="ABD35" i="3"/>
  <c r="AAV35" i="3"/>
  <c r="AAN35" i="3"/>
  <c r="AAF35" i="3"/>
  <c r="ZX35" i="3"/>
  <c r="ZP35" i="3"/>
  <c r="ZH35" i="3"/>
  <c r="YZ35" i="3"/>
  <c r="YR35" i="3"/>
  <c r="YJ35" i="3"/>
  <c r="YB35" i="3"/>
  <c r="XT35" i="3"/>
  <c r="XL35" i="3"/>
  <c r="XD35" i="3"/>
  <c r="WV35" i="3"/>
  <c r="WN35" i="3"/>
  <c r="WF35" i="3"/>
  <c r="VX35" i="3"/>
  <c r="VP35" i="3"/>
  <c r="VH35" i="3"/>
  <c r="UZ35" i="3"/>
  <c r="UR35" i="3"/>
  <c r="UJ35" i="3"/>
  <c r="UB35" i="3"/>
  <c r="TT35" i="3"/>
  <c r="TL35" i="3"/>
  <c r="TD35" i="3"/>
  <c r="SV35" i="3"/>
  <c r="SN35" i="3"/>
  <c r="SF35" i="3"/>
  <c r="RX35" i="3"/>
  <c r="RP35" i="3"/>
  <c r="RH35" i="3"/>
  <c r="QZ35" i="3"/>
  <c r="QR35" i="3"/>
  <c r="QJ35" i="3"/>
  <c r="QB35" i="3"/>
  <c r="PT35" i="3"/>
  <c r="PL35" i="3"/>
  <c r="PD35" i="3"/>
  <c r="OV35" i="3"/>
  <c r="ON35" i="3"/>
  <c r="OF35" i="3"/>
  <c r="NX35" i="3"/>
  <c r="NP35" i="3"/>
  <c r="NH35" i="3"/>
  <c r="MZ35" i="3"/>
  <c r="MR35" i="3"/>
  <c r="MJ35" i="3"/>
  <c r="MB35" i="3"/>
  <c r="LT35" i="3"/>
  <c r="LL35" i="3"/>
  <c r="LD35" i="3"/>
  <c r="KV35" i="3"/>
  <c r="KN35" i="3"/>
  <c r="KF35" i="3"/>
  <c r="JX35" i="3"/>
  <c r="JP35" i="3"/>
  <c r="JH35" i="3"/>
  <c r="IZ35" i="3"/>
  <c r="IR35" i="3"/>
  <c r="IJ35" i="3"/>
  <c r="IB35" i="3"/>
  <c r="HT35" i="3"/>
  <c r="HL35" i="3"/>
  <c r="HD35" i="3"/>
  <c r="GV35" i="3"/>
  <c r="GN35" i="3"/>
  <c r="GF35" i="3"/>
  <c r="FX35" i="3"/>
  <c r="FP35" i="3"/>
  <c r="FH35" i="3"/>
  <c r="EZ35" i="3"/>
  <c r="ER35" i="3"/>
  <c r="EJ35" i="3"/>
  <c r="EB35" i="3"/>
  <c r="DT35" i="3"/>
  <c r="DL35" i="3"/>
  <c r="DD35" i="3"/>
  <c r="CV35" i="3"/>
  <c r="CN35" i="3"/>
  <c r="CF35" i="3"/>
  <c r="BX35" i="3"/>
  <c r="BP35" i="3"/>
  <c r="BH35" i="3"/>
  <c r="AZ35" i="3"/>
  <c r="AR35" i="3"/>
  <c r="AJ35" i="3"/>
  <c r="AD35" i="3"/>
  <c r="X35" i="3"/>
  <c r="S35" i="3"/>
  <c r="N35" i="3"/>
  <c r="H35" i="3"/>
  <c r="ALO35" i="3"/>
  <c r="ALG35" i="3"/>
  <c r="AKY35" i="3"/>
  <c r="AKQ35" i="3"/>
  <c r="AKI35" i="3"/>
  <c r="AKA35" i="3"/>
  <c r="AJS35" i="3"/>
  <c r="AJK35" i="3"/>
  <c r="AJC35" i="3"/>
  <c r="AIU35" i="3"/>
  <c r="AIM35" i="3"/>
  <c r="AIE35" i="3"/>
  <c r="AHW35" i="3"/>
  <c r="AHO35" i="3"/>
  <c r="AHG35" i="3"/>
  <c r="AGY35" i="3"/>
  <c r="AGQ35" i="3"/>
  <c r="AGI35" i="3"/>
  <c r="AGA35" i="3"/>
  <c r="AFS35" i="3"/>
  <c r="AFK35" i="3"/>
  <c r="AFC35" i="3"/>
  <c r="AEU35" i="3"/>
  <c r="AEM35" i="3"/>
  <c r="AEE35" i="3"/>
  <c r="ADW35" i="3"/>
  <c r="ADO35" i="3"/>
  <c r="ADG35" i="3"/>
  <c r="ACY35" i="3"/>
  <c r="ACQ35" i="3"/>
  <c r="ACI35" i="3"/>
  <c r="ACA35" i="3"/>
  <c r="ABS35" i="3"/>
  <c r="ABK35" i="3"/>
  <c r="ABC35" i="3"/>
  <c r="AAU35" i="3"/>
  <c r="AAM35" i="3"/>
  <c r="AAE35" i="3"/>
  <c r="ZW35" i="3"/>
  <c r="ZO35" i="3"/>
  <c r="ZG35" i="3"/>
  <c r="YY35" i="3"/>
  <c r="YQ35" i="3"/>
  <c r="YI35" i="3"/>
  <c r="YA35" i="3"/>
  <c r="XS35" i="3"/>
  <c r="XK35" i="3"/>
  <c r="XC35" i="3"/>
  <c r="WU35" i="3"/>
  <c r="WM35" i="3"/>
  <c r="WE35" i="3"/>
  <c r="VW35" i="3"/>
  <c r="VO35" i="3"/>
  <c r="VG35" i="3"/>
  <c r="UY35" i="3"/>
  <c r="UQ35" i="3"/>
  <c r="UI35" i="3"/>
  <c r="UA35" i="3"/>
  <c r="TS35" i="3"/>
  <c r="TK35" i="3"/>
  <c r="TC35" i="3"/>
  <c r="SU35" i="3"/>
  <c r="SM35" i="3"/>
  <c r="SE35" i="3"/>
  <c r="RW35" i="3"/>
  <c r="RO35" i="3"/>
  <c r="RG35" i="3"/>
  <c r="QY35" i="3"/>
  <c r="QQ35" i="3"/>
  <c r="QI35" i="3"/>
  <c r="QA35" i="3"/>
  <c r="PS35" i="3"/>
  <c r="PK35" i="3"/>
  <c r="PC35" i="3"/>
  <c r="OU35" i="3"/>
  <c r="OM35" i="3"/>
  <c r="OE35" i="3"/>
  <c r="NW35" i="3"/>
  <c r="NO35" i="3"/>
  <c r="NG35" i="3"/>
  <c r="MY35" i="3"/>
  <c r="MQ35" i="3"/>
  <c r="MI35" i="3"/>
  <c r="MA35" i="3"/>
  <c r="LS35" i="3"/>
  <c r="LK35" i="3"/>
  <c r="LC35" i="3"/>
  <c r="KU35" i="3"/>
  <c r="KM35" i="3"/>
  <c r="KE35" i="3"/>
  <c r="JW35" i="3"/>
  <c r="JO35" i="3"/>
  <c r="JG35" i="3"/>
  <c r="IY35" i="3"/>
  <c r="IQ35" i="3"/>
  <c r="II35" i="3"/>
  <c r="IA35" i="3"/>
  <c r="HS35" i="3"/>
  <c r="HK35" i="3"/>
  <c r="HC35" i="3"/>
  <c r="GU35" i="3"/>
  <c r="GM35" i="3"/>
  <c r="GE35" i="3"/>
  <c r="FW35" i="3"/>
  <c r="FO35" i="3"/>
  <c r="FG35" i="3"/>
  <c r="EY35" i="3"/>
  <c r="EQ35" i="3"/>
  <c r="EI35" i="3"/>
  <c r="EA35" i="3"/>
  <c r="DS35" i="3"/>
  <c r="DK35" i="3"/>
  <c r="DC35" i="3"/>
  <c r="CU35" i="3"/>
  <c r="CM35" i="3"/>
  <c r="CE35" i="3"/>
  <c r="BW35" i="3"/>
  <c r="BO35" i="3"/>
  <c r="BG35" i="3"/>
  <c r="AY35" i="3"/>
  <c r="AQ35" i="3"/>
  <c r="AI35" i="3"/>
  <c r="AB35" i="3"/>
  <c r="W35" i="3"/>
  <c r="R35" i="3"/>
  <c r="L35" i="3"/>
  <c r="G35" i="3"/>
  <c r="ALL35" i="3"/>
  <c r="ALD35" i="3"/>
  <c r="AKV35" i="3"/>
  <c r="AKN35" i="3"/>
  <c r="AKF35" i="3"/>
  <c r="AJX35" i="3"/>
  <c r="AJP35" i="3"/>
  <c r="AJH35" i="3"/>
  <c r="AIZ35" i="3"/>
  <c r="AIR35" i="3"/>
  <c r="AIJ35" i="3"/>
  <c r="AIB35" i="3"/>
  <c r="AHT35" i="3"/>
  <c r="AHL35" i="3"/>
  <c r="AHD35" i="3"/>
  <c r="AGV35" i="3"/>
  <c r="AGN35" i="3"/>
  <c r="AGF35" i="3"/>
  <c r="AFX35" i="3"/>
  <c r="AFP35" i="3"/>
  <c r="AFH35" i="3"/>
  <c r="AEZ35" i="3"/>
  <c r="AER35" i="3"/>
  <c r="AEJ35" i="3"/>
  <c r="AEB35" i="3"/>
  <c r="ADT35" i="3"/>
  <c r="ADL35" i="3"/>
  <c r="ADD35" i="3"/>
  <c r="ACV35" i="3"/>
  <c r="ACN35" i="3"/>
  <c r="ACF35" i="3"/>
  <c r="ABX35" i="3"/>
  <c r="ABP35" i="3"/>
  <c r="ABH35" i="3"/>
  <c r="AAZ35" i="3"/>
  <c r="AAR35" i="3"/>
  <c r="AAJ35" i="3"/>
  <c r="AAB35" i="3"/>
  <c r="ZT35" i="3"/>
  <c r="ZL35" i="3"/>
  <c r="ZD35" i="3"/>
  <c r="YV35" i="3"/>
  <c r="YN35" i="3"/>
  <c r="YF35" i="3"/>
  <c r="XX35" i="3"/>
  <c r="XP35" i="3"/>
  <c r="XH35" i="3"/>
  <c r="WZ35" i="3"/>
  <c r="WR35" i="3"/>
  <c r="WJ35" i="3"/>
  <c r="WB35" i="3"/>
  <c r="VT35" i="3"/>
  <c r="VL35" i="3"/>
  <c r="VD35" i="3"/>
  <c r="UV35" i="3"/>
  <c r="UN35" i="3"/>
  <c r="UF35" i="3"/>
  <c r="TX35" i="3"/>
  <c r="TP35" i="3"/>
  <c r="TH35" i="3"/>
  <c r="SZ35" i="3"/>
  <c r="SR35" i="3"/>
  <c r="SJ35" i="3"/>
  <c r="SB35" i="3"/>
  <c r="RT35" i="3"/>
  <c r="RL35" i="3"/>
  <c r="RD35" i="3"/>
  <c r="QV35" i="3"/>
  <c r="QN35" i="3"/>
  <c r="QF35" i="3"/>
  <c r="PX35" i="3"/>
  <c r="PP35" i="3"/>
  <c r="PH35" i="3"/>
  <c r="OZ35" i="3"/>
  <c r="OR35" i="3"/>
  <c r="OJ35" i="3"/>
  <c r="OB35" i="3"/>
  <c r="NT35" i="3"/>
  <c r="NL35" i="3"/>
  <c r="ND35" i="3"/>
  <c r="MV35" i="3"/>
  <c r="MN35" i="3"/>
  <c r="MF35" i="3"/>
  <c r="LX35" i="3"/>
  <c r="LP35" i="3"/>
  <c r="LH35" i="3"/>
  <c r="KZ35" i="3"/>
  <c r="KR35" i="3"/>
  <c r="KJ35" i="3"/>
  <c r="KB35" i="3"/>
  <c r="JT35" i="3"/>
  <c r="JL35" i="3"/>
  <c r="JD35" i="3"/>
  <c r="IV35" i="3"/>
  <c r="IN35" i="3"/>
  <c r="IF35" i="3"/>
  <c r="HX35" i="3"/>
  <c r="HP35" i="3"/>
  <c r="HH35" i="3"/>
  <c r="GZ35" i="3"/>
  <c r="GR35" i="3"/>
  <c r="GJ35" i="3"/>
  <c r="GB35" i="3"/>
  <c r="FT35" i="3"/>
  <c r="FL35" i="3"/>
  <c r="FD35" i="3"/>
  <c r="EV35" i="3"/>
  <c r="EN35" i="3"/>
  <c r="EF35" i="3"/>
  <c r="DX35" i="3"/>
  <c r="DP35" i="3"/>
  <c r="DH35" i="3"/>
  <c r="CZ35" i="3"/>
  <c r="CR35" i="3"/>
  <c r="CJ35" i="3"/>
  <c r="CB35" i="3"/>
  <c r="BT35" i="3"/>
  <c r="BL35" i="3"/>
  <c r="BD35" i="3"/>
  <c r="AV35" i="3"/>
  <c r="AN35" i="3"/>
  <c r="AF35" i="3"/>
  <c r="AA35" i="3"/>
  <c r="V35" i="3"/>
  <c r="P35" i="3"/>
  <c r="K35" i="3"/>
  <c r="ALK35" i="3"/>
  <c r="ALC35" i="3"/>
  <c r="AKU35" i="3"/>
  <c r="AKM35" i="3"/>
  <c r="AKE35" i="3"/>
  <c r="AJW35" i="3"/>
  <c r="AJO35" i="3"/>
  <c r="AJG35" i="3"/>
  <c r="AIY35" i="3"/>
  <c r="AIQ35" i="3"/>
  <c r="AII35" i="3"/>
  <c r="AIA35" i="3"/>
  <c r="AHS35" i="3"/>
  <c r="AHK35" i="3"/>
  <c r="AHC35" i="3"/>
  <c r="AGU35" i="3"/>
  <c r="AGM35" i="3"/>
  <c r="AGE35" i="3"/>
  <c r="AFW35" i="3"/>
  <c r="AFO35" i="3"/>
  <c r="AFG35" i="3"/>
  <c r="AEY35" i="3"/>
  <c r="AEQ35" i="3"/>
  <c r="AEI35" i="3"/>
  <c r="AEA35" i="3"/>
  <c r="ADS35" i="3"/>
  <c r="ADK35" i="3"/>
  <c r="ADC35" i="3"/>
  <c r="ACU35" i="3"/>
  <c r="ACM35" i="3"/>
  <c r="ACE35" i="3"/>
  <c r="ABW35" i="3"/>
  <c r="ABO35" i="3"/>
  <c r="ABG35" i="3"/>
  <c r="AAY35" i="3"/>
  <c r="AAQ35" i="3"/>
  <c r="AAI35" i="3"/>
  <c r="AAA35" i="3"/>
  <c r="ZS35" i="3"/>
  <c r="ZK35" i="3"/>
  <c r="ZC35" i="3"/>
  <c r="YU35" i="3"/>
  <c r="YM35" i="3"/>
  <c r="YE35" i="3"/>
  <c r="XW35" i="3"/>
  <c r="XO35" i="3"/>
  <c r="XG35" i="3"/>
  <c r="WY35" i="3"/>
  <c r="WQ35" i="3"/>
  <c r="WI35" i="3"/>
  <c r="WA35" i="3"/>
  <c r="VS35" i="3"/>
  <c r="VK35" i="3"/>
  <c r="VC35" i="3"/>
  <c r="UU35" i="3"/>
  <c r="UM35" i="3"/>
  <c r="UE35" i="3"/>
  <c r="TW35" i="3"/>
  <c r="TO35" i="3"/>
  <c r="TG35" i="3"/>
  <c r="SY35" i="3"/>
  <c r="SQ35" i="3"/>
  <c r="SI35" i="3"/>
  <c r="SA35" i="3"/>
  <c r="RS35" i="3"/>
  <c r="RK35" i="3"/>
  <c r="RC35" i="3"/>
  <c r="QU35" i="3"/>
  <c r="QM35" i="3"/>
  <c r="QE35" i="3"/>
  <c r="PW35" i="3"/>
  <c r="PO35" i="3"/>
  <c r="PG35" i="3"/>
  <c r="OY35" i="3"/>
  <c r="OQ35" i="3"/>
  <c r="OI35" i="3"/>
  <c r="OA35" i="3"/>
  <c r="NS35" i="3"/>
  <c r="NK35" i="3"/>
  <c r="NC35" i="3"/>
  <c r="MU35" i="3"/>
  <c r="MM35" i="3"/>
  <c r="ME35" i="3"/>
  <c r="LW35" i="3"/>
  <c r="LO35" i="3"/>
  <c r="LG35" i="3"/>
  <c r="KY35" i="3"/>
  <c r="KQ35" i="3"/>
  <c r="KI35" i="3"/>
  <c r="KA35" i="3"/>
  <c r="JS35" i="3"/>
  <c r="JK35" i="3"/>
  <c r="JC35" i="3"/>
  <c r="IU35" i="3"/>
  <c r="IM35" i="3"/>
  <c r="IE35" i="3"/>
  <c r="HW35" i="3"/>
  <c r="HO35" i="3"/>
  <c r="HG35" i="3"/>
  <c r="GY35" i="3"/>
  <c r="GQ35" i="3"/>
  <c r="GI35" i="3"/>
  <c r="GA35" i="3"/>
  <c r="FS35" i="3"/>
  <c r="FK35" i="3"/>
  <c r="FC35" i="3"/>
  <c r="EU35" i="3"/>
  <c r="EM35" i="3"/>
  <c r="EE35" i="3"/>
  <c r="DW35" i="3"/>
  <c r="DO35" i="3"/>
  <c r="DG35" i="3"/>
  <c r="CY35" i="3"/>
  <c r="CQ35" i="3"/>
  <c r="CI35" i="3"/>
  <c r="CA35" i="3"/>
  <c r="BS35" i="3"/>
  <c r="BK35" i="3"/>
  <c r="BC35" i="3"/>
  <c r="AU35" i="3"/>
  <c r="AM35" i="3"/>
  <c r="AE35" i="3"/>
  <c r="Z35" i="3"/>
  <c r="T35" i="3"/>
  <c r="O35" i="3"/>
  <c r="J35" i="3"/>
  <c r="ALO16" i="3"/>
  <c r="ALK16" i="3"/>
  <c r="ALG16" i="3"/>
  <c r="ALC16" i="3"/>
  <c r="AKY16" i="3"/>
  <c r="AKU16" i="3"/>
  <c r="AKQ16" i="3"/>
  <c r="AKM16" i="3"/>
  <c r="AKI16" i="3"/>
  <c r="AKE16" i="3"/>
  <c r="AKA16" i="3"/>
  <c r="AJW16" i="3"/>
  <c r="AJS16" i="3"/>
  <c r="AJO16" i="3"/>
  <c r="AJK16" i="3"/>
  <c r="AJG16" i="3"/>
  <c r="AJC16" i="3"/>
  <c r="AIY16" i="3"/>
  <c r="AIU16" i="3"/>
  <c r="AIQ16" i="3"/>
  <c r="AIM16" i="3"/>
  <c r="AII16" i="3"/>
  <c r="AIE16" i="3"/>
  <c r="AIA16" i="3"/>
  <c r="AHW16" i="3"/>
  <c r="AHS16" i="3"/>
  <c r="AHO16" i="3"/>
  <c r="AHK16" i="3"/>
  <c r="AHG16" i="3"/>
  <c r="AHC16" i="3"/>
  <c r="AGY16" i="3"/>
  <c r="AGU16" i="3"/>
  <c r="AGQ16" i="3"/>
  <c r="AGM16" i="3"/>
  <c r="AGI16" i="3"/>
  <c r="AGE16" i="3"/>
  <c r="AGA16" i="3"/>
  <c r="AFW16" i="3"/>
  <c r="AFS16" i="3"/>
  <c r="AFO16" i="3"/>
  <c r="AFK16" i="3"/>
  <c r="AFG16" i="3"/>
  <c r="AFC16" i="3"/>
  <c r="AEY16" i="3"/>
  <c r="AEU16" i="3"/>
  <c r="AEQ16" i="3"/>
  <c r="AEM16" i="3"/>
  <c r="AEI16" i="3"/>
  <c r="AEE16" i="3"/>
  <c r="AEA16" i="3"/>
  <c r="ADW16" i="3"/>
  <c r="ADS16" i="3"/>
  <c r="ADO16" i="3"/>
  <c r="ADK16" i="3"/>
  <c r="ADG16" i="3"/>
  <c r="ADC16" i="3"/>
  <c r="ACY16" i="3"/>
  <c r="ACU16" i="3"/>
  <c r="ACQ16" i="3"/>
  <c r="ACM16" i="3"/>
  <c r="ACI16" i="3"/>
  <c r="ACE16" i="3"/>
  <c r="ACA16" i="3"/>
  <c r="ABW16" i="3"/>
  <c r="ABS16" i="3"/>
  <c r="ABO16" i="3"/>
  <c r="ABK16" i="3"/>
  <c r="ABG16" i="3"/>
  <c r="ABC16" i="3"/>
  <c r="AAY16" i="3"/>
  <c r="AAU16" i="3"/>
  <c r="AAQ16" i="3"/>
  <c r="AAM16" i="3"/>
  <c r="AAI16" i="3"/>
  <c r="AAE16" i="3"/>
  <c r="AAA16" i="3"/>
  <c r="ZW16" i="3"/>
  <c r="ZS16" i="3"/>
  <c r="ZO16" i="3"/>
  <c r="ZK16" i="3"/>
  <c r="ZG16" i="3"/>
  <c r="ZC16" i="3"/>
  <c r="YY16" i="3"/>
  <c r="YU16" i="3"/>
  <c r="YQ16" i="3"/>
  <c r="YM16" i="3"/>
  <c r="YI16" i="3"/>
  <c r="YE16" i="3"/>
  <c r="YA16" i="3"/>
  <c r="XW16" i="3"/>
  <c r="XS16" i="3"/>
  <c r="XO16" i="3"/>
  <c r="XK16" i="3"/>
  <c r="XG16" i="3"/>
  <c r="XC16" i="3"/>
  <c r="WY16" i="3"/>
  <c r="WU16" i="3"/>
  <c r="WQ16" i="3"/>
  <c r="WM16" i="3"/>
  <c r="WI16" i="3"/>
  <c r="WE16" i="3"/>
  <c r="WA16" i="3"/>
  <c r="VW16" i="3"/>
  <c r="VS16" i="3"/>
  <c r="VO16" i="3"/>
  <c r="VK16" i="3"/>
  <c r="VG16" i="3"/>
  <c r="VC16" i="3"/>
  <c r="UY16" i="3"/>
  <c r="UU16" i="3"/>
  <c r="UQ16" i="3"/>
  <c r="UM16" i="3"/>
  <c r="UI16" i="3"/>
  <c r="UE16" i="3"/>
  <c r="UA16" i="3"/>
  <c r="TW16" i="3"/>
  <c r="TS16" i="3"/>
  <c r="TO16" i="3"/>
  <c r="TK16" i="3"/>
  <c r="TG16" i="3"/>
  <c r="TC16" i="3"/>
  <c r="SY16" i="3"/>
  <c r="SU16" i="3"/>
  <c r="SQ16" i="3"/>
  <c r="SM16" i="3"/>
  <c r="SI16" i="3"/>
  <c r="SE16" i="3"/>
  <c r="SA16" i="3"/>
  <c r="RW16" i="3"/>
  <c r="RS16" i="3"/>
  <c r="RO16" i="3"/>
  <c r="RK16" i="3"/>
  <c r="RG16" i="3"/>
  <c r="RC16" i="3"/>
  <c r="QY16" i="3"/>
  <c r="QU16" i="3"/>
  <c r="QQ16" i="3"/>
  <c r="QM16" i="3"/>
  <c r="QI16" i="3"/>
  <c r="QE16" i="3"/>
  <c r="QA16" i="3"/>
  <c r="PW16" i="3"/>
  <c r="PS16" i="3"/>
  <c r="PO16" i="3"/>
  <c r="PK16" i="3"/>
  <c r="PG16" i="3"/>
  <c r="PC16" i="3"/>
  <c r="OY16" i="3"/>
  <c r="OU16" i="3"/>
  <c r="OQ16" i="3"/>
  <c r="OM16" i="3"/>
  <c r="OI16" i="3"/>
  <c r="OE16" i="3"/>
  <c r="OA16" i="3"/>
  <c r="NW16" i="3"/>
  <c r="NS16" i="3"/>
  <c r="NO16" i="3"/>
  <c r="NK16" i="3"/>
  <c r="NG16" i="3"/>
  <c r="NC16" i="3"/>
  <c r="MY16" i="3"/>
  <c r="MU16" i="3"/>
  <c r="MQ16" i="3"/>
  <c r="MM16" i="3"/>
  <c r="MI16" i="3"/>
  <c r="ME16" i="3"/>
  <c r="MA16" i="3"/>
  <c r="LW16" i="3"/>
  <c r="LS16" i="3"/>
  <c r="LO16" i="3"/>
  <c r="LK16" i="3"/>
  <c r="LG16" i="3"/>
  <c r="LC16" i="3"/>
  <c r="KY16" i="3"/>
  <c r="KU16" i="3"/>
  <c r="KQ16" i="3"/>
  <c r="KM16" i="3"/>
  <c r="KI16" i="3"/>
  <c r="KE16" i="3"/>
  <c r="KA16" i="3"/>
  <c r="JW16" i="3"/>
  <c r="JS16" i="3"/>
  <c r="JO16" i="3"/>
  <c r="JK16" i="3"/>
  <c r="JG16" i="3"/>
  <c r="JC16" i="3"/>
  <c r="IY16" i="3"/>
  <c r="IU16" i="3"/>
  <c r="IQ16" i="3"/>
  <c r="IM16" i="3"/>
  <c r="II16" i="3"/>
  <c r="IE16" i="3"/>
  <c r="IA16" i="3"/>
  <c r="HW16" i="3"/>
  <c r="HS16" i="3"/>
  <c r="HO16" i="3"/>
  <c r="HK16" i="3"/>
  <c r="HG16" i="3"/>
  <c r="HC16" i="3"/>
  <c r="GY16" i="3"/>
  <c r="GU16" i="3"/>
  <c r="GQ16" i="3"/>
  <c r="GM16" i="3"/>
  <c r="GI16" i="3"/>
  <c r="GE16" i="3"/>
  <c r="GA16" i="3"/>
  <c r="FW16" i="3"/>
  <c r="FS16" i="3"/>
  <c r="FO16" i="3"/>
  <c r="FK16" i="3"/>
  <c r="FG16" i="3"/>
  <c r="FC16" i="3"/>
  <c r="EY16" i="3"/>
  <c r="EU16" i="3"/>
  <c r="EQ16" i="3"/>
  <c r="EM16" i="3"/>
  <c r="EI16" i="3"/>
  <c r="EE16" i="3"/>
  <c r="EA16" i="3"/>
  <c r="DW16" i="3"/>
  <c r="DS16" i="3"/>
  <c r="DO16" i="3"/>
  <c r="DK16" i="3"/>
  <c r="DG16" i="3"/>
  <c r="DC16" i="3"/>
  <c r="CY16" i="3"/>
  <c r="CU16" i="3"/>
  <c r="CQ16" i="3"/>
  <c r="CM16" i="3"/>
  <c r="CI16" i="3"/>
  <c r="CE16" i="3"/>
  <c r="CA16" i="3"/>
  <c r="BW16" i="3"/>
  <c r="BS16" i="3"/>
  <c r="BO16" i="3"/>
  <c r="BK16" i="3"/>
  <c r="BG16" i="3"/>
  <c r="BC16" i="3"/>
  <c r="AY16" i="3"/>
  <c r="AU16" i="3"/>
  <c r="AQ16" i="3"/>
  <c r="AM16" i="3"/>
  <c r="AI16" i="3"/>
  <c r="AE16" i="3"/>
  <c r="AA16" i="3"/>
  <c r="W16" i="3"/>
  <c r="S16" i="3"/>
  <c r="O16" i="3"/>
  <c r="K16" i="3"/>
  <c r="G16" i="3"/>
  <c r="ALN16" i="3"/>
  <c r="ALJ16" i="3"/>
  <c r="ALF16" i="3"/>
  <c r="ALB16" i="3"/>
  <c r="AKX16" i="3"/>
  <c r="AKT16" i="3"/>
  <c r="AKP16" i="3"/>
  <c r="AKL16" i="3"/>
  <c r="AKH16" i="3"/>
  <c r="AKD16" i="3"/>
  <c r="AJZ16" i="3"/>
  <c r="AJV16" i="3"/>
  <c r="AJR16" i="3"/>
  <c r="AJN16" i="3"/>
  <c r="AJJ16" i="3"/>
  <c r="AJF16" i="3"/>
  <c r="AJB16" i="3"/>
  <c r="AIX16" i="3"/>
  <c r="AIT16" i="3"/>
  <c r="AIP16" i="3"/>
  <c r="AIL16" i="3"/>
  <c r="AIH16" i="3"/>
  <c r="AID16" i="3"/>
  <c r="AHZ16" i="3"/>
  <c r="AHV16" i="3"/>
  <c r="AHR16" i="3"/>
  <c r="AHN16" i="3"/>
  <c r="AHJ16" i="3"/>
  <c r="AHF16" i="3"/>
  <c r="AHB16" i="3"/>
  <c r="AGX16" i="3"/>
  <c r="AGT16" i="3"/>
  <c r="AGP16" i="3"/>
  <c r="AGL16" i="3"/>
  <c r="AGH16" i="3"/>
  <c r="AGD16" i="3"/>
  <c r="AFZ16" i="3"/>
  <c r="AFV16" i="3"/>
  <c r="AFR16" i="3"/>
  <c r="AFN16" i="3"/>
  <c r="AFJ16" i="3"/>
  <c r="AFF16" i="3"/>
  <c r="AFB16" i="3"/>
  <c r="AEX16" i="3"/>
  <c r="AET16" i="3"/>
  <c r="AEP16" i="3"/>
  <c r="AEL16" i="3"/>
  <c r="AEH16" i="3"/>
  <c r="AED16" i="3"/>
  <c r="ADZ16" i="3"/>
  <c r="ADV16" i="3"/>
  <c r="ADR16" i="3"/>
  <c r="ADN16" i="3"/>
  <c r="ADJ16" i="3"/>
  <c r="ADF16" i="3"/>
  <c r="ADB16" i="3"/>
  <c r="ACX16" i="3"/>
  <c r="ACT16" i="3"/>
  <c r="ACP16" i="3"/>
  <c r="ACL16" i="3"/>
  <c r="ACH16" i="3"/>
  <c r="ACD16" i="3"/>
  <c r="ABZ16" i="3"/>
  <c r="ABV16" i="3"/>
  <c r="ABR16" i="3"/>
  <c r="ABN16" i="3"/>
  <c r="ABJ16" i="3"/>
  <c r="ABF16" i="3"/>
  <c r="ABB16" i="3"/>
  <c r="AAX16" i="3"/>
  <c r="AAT16" i="3"/>
  <c r="AAP16" i="3"/>
  <c r="AAL16" i="3"/>
  <c r="AAH16" i="3"/>
  <c r="AAD16" i="3"/>
  <c r="ZZ16" i="3"/>
  <c r="ZV16" i="3"/>
  <c r="ZR16" i="3"/>
  <c r="ZN16" i="3"/>
  <c r="ZJ16" i="3"/>
  <c r="ZF16" i="3"/>
  <c r="ZB16" i="3"/>
  <c r="YX16" i="3"/>
  <c r="YT16" i="3"/>
  <c r="YP16" i="3"/>
  <c r="YL16" i="3"/>
  <c r="YH16" i="3"/>
  <c r="YD16" i="3"/>
  <c r="XZ16" i="3"/>
  <c r="XV16" i="3"/>
  <c r="XR16" i="3"/>
  <c r="XN16" i="3"/>
  <c r="XJ16" i="3"/>
  <c r="XF16" i="3"/>
  <c r="XB16" i="3"/>
  <c r="WX16" i="3"/>
  <c r="WT16" i="3"/>
  <c r="WP16" i="3"/>
  <c r="WL16" i="3"/>
  <c r="WH16" i="3"/>
  <c r="WD16" i="3"/>
  <c r="VZ16" i="3"/>
  <c r="VV16" i="3"/>
  <c r="VR16" i="3"/>
  <c r="VN16" i="3"/>
  <c r="VJ16" i="3"/>
  <c r="VF16" i="3"/>
  <c r="VB16" i="3"/>
  <c r="UX16" i="3"/>
  <c r="UT16" i="3"/>
  <c r="UP16" i="3"/>
  <c r="UL16" i="3"/>
  <c r="UH16" i="3"/>
  <c r="UD16" i="3"/>
  <c r="TZ16" i="3"/>
  <c r="TV16" i="3"/>
  <c r="TR16" i="3"/>
  <c r="TN16" i="3"/>
  <c r="TJ16" i="3"/>
  <c r="TF16" i="3"/>
  <c r="TB16" i="3"/>
  <c r="SX16" i="3"/>
  <c r="ST16" i="3"/>
  <c r="SP16" i="3"/>
  <c r="SL16" i="3"/>
  <c r="SH16" i="3"/>
  <c r="SD16" i="3"/>
  <c r="RZ16" i="3"/>
  <c r="RV16" i="3"/>
  <c r="RR16" i="3"/>
  <c r="RN16" i="3"/>
  <c r="RJ16" i="3"/>
  <c r="RF16" i="3"/>
  <c r="RB16" i="3"/>
  <c r="QX16" i="3"/>
  <c r="QT16" i="3"/>
  <c r="QP16" i="3"/>
  <c r="QL16" i="3"/>
  <c r="QH16" i="3"/>
  <c r="QD16" i="3"/>
  <c r="PZ16" i="3"/>
  <c r="PV16" i="3"/>
  <c r="PR16" i="3"/>
  <c r="PN16" i="3"/>
  <c r="PJ16" i="3"/>
  <c r="PF16" i="3"/>
  <c r="PB16" i="3"/>
  <c r="OX16" i="3"/>
  <c r="OT16" i="3"/>
  <c r="OP16" i="3"/>
  <c r="OL16" i="3"/>
  <c r="OH16" i="3"/>
  <c r="OD16" i="3"/>
  <c r="NZ16" i="3"/>
  <c r="NV16" i="3"/>
  <c r="NR16" i="3"/>
  <c r="NN16" i="3"/>
  <c r="NJ16" i="3"/>
  <c r="NF16" i="3"/>
  <c r="NB16" i="3"/>
  <c r="MX16" i="3"/>
  <c r="MT16" i="3"/>
  <c r="MP16" i="3"/>
  <c r="ML16" i="3"/>
  <c r="MH16" i="3"/>
  <c r="MD16" i="3"/>
  <c r="LZ16" i="3"/>
  <c r="LV16" i="3"/>
  <c r="LR16" i="3"/>
  <c r="LN16" i="3"/>
  <c r="LJ16" i="3"/>
  <c r="LF16" i="3"/>
  <c r="LB16" i="3"/>
  <c r="KX16" i="3"/>
  <c r="KT16" i="3"/>
  <c r="KP16" i="3"/>
  <c r="KL16" i="3"/>
  <c r="KH16" i="3"/>
  <c r="KD16" i="3"/>
  <c r="JZ16" i="3"/>
  <c r="JV16" i="3"/>
  <c r="JR16" i="3"/>
  <c r="JN16" i="3"/>
  <c r="JJ16" i="3"/>
  <c r="JF16" i="3"/>
  <c r="JB16" i="3"/>
  <c r="IX16" i="3"/>
  <c r="IT16" i="3"/>
  <c r="IP16" i="3"/>
  <c r="IL16" i="3"/>
  <c r="IH16" i="3"/>
  <c r="ID16" i="3"/>
  <c r="HZ16" i="3"/>
  <c r="HV16" i="3"/>
  <c r="HR16" i="3"/>
  <c r="HN16" i="3"/>
  <c r="HJ16" i="3"/>
  <c r="HF16" i="3"/>
  <c r="HB16" i="3"/>
  <c r="GX16" i="3"/>
  <c r="GT16" i="3"/>
  <c r="GP16" i="3"/>
  <c r="GL16" i="3"/>
  <c r="GH16" i="3"/>
  <c r="GD16" i="3"/>
  <c r="FZ16" i="3"/>
  <c r="FV16" i="3"/>
  <c r="FR16" i="3"/>
  <c r="FN16" i="3"/>
  <c r="FJ16" i="3"/>
  <c r="FF16" i="3"/>
  <c r="FB16" i="3"/>
  <c r="EX16" i="3"/>
  <c r="ET16" i="3"/>
  <c r="EP16" i="3"/>
  <c r="EL16" i="3"/>
  <c r="EH16" i="3"/>
  <c r="ED16" i="3"/>
  <c r="DZ16" i="3"/>
  <c r="DV16" i="3"/>
  <c r="DR16" i="3"/>
  <c r="DN16" i="3"/>
  <c r="DJ16" i="3"/>
  <c r="DF16" i="3"/>
  <c r="DB16" i="3"/>
  <c r="CX16" i="3"/>
  <c r="CT16" i="3"/>
  <c r="CP16" i="3"/>
  <c r="CL16" i="3"/>
  <c r="CH16" i="3"/>
  <c r="CD16" i="3"/>
  <c r="BZ16" i="3"/>
  <c r="BV16" i="3"/>
  <c r="BR16" i="3"/>
  <c r="BN16" i="3"/>
  <c r="BJ16" i="3"/>
  <c r="BF16" i="3"/>
  <c r="BB16" i="3"/>
  <c r="AX16" i="3"/>
  <c r="AT16" i="3"/>
  <c r="AP16" i="3"/>
  <c r="AL16" i="3"/>
  <c r="AH16" i="3"/>
  <c r="AD16" i="3"/>
  <c r="Z16" i="3"/>
  <c r="V16" i="3"/>
  <c r="R16" i="3"/>
  <c r="N16" i="3"/>
  <c r="J16" i="3"/>
  <c r="ALQ16" i="3"/>
  <c r="ALM16" i="3"/>
  <c r="ALI16" i="3"/>
  <c r="ALE16" i="3"/>
  <c r="ALA16" i="3"/>
  <c r="AKW16" i="3"/>
  <c r="AKS16" i="3"/>
  <c r="AKO16" i="3"/>
  <c r="AKK16" i="3"/>
  <c r="AKG16" i="3"/>
  <c r="AKC16" i="3"/>
  <c r="AJY16" i="3"/>
  <c r="AJU16" i="3"/>
  <c r="AJQ16" i="3"/>
  <c r="AJM16" i="3"/>
  <c r="AJI16" i="3"/>
  <c r="AJE16" i="3"/>
  <c r="AJA16" i="3"/>
  <c r="AIW16" i="3"/>
  <c r="AIS16" i="3"/>
  <c r="AIO16" i="3"/>
  <c r="AIK16" i="3"/>
  <c r="AIG16" i="3"/>
  <c r="AIC16" i="3"/>
  <c r="AHY16" i="3"/>
  <c r="AHU16" i="3"/>
  <c r="AHQ16" i="3"/>
  <c r="AHM16" i="3"/>
  <c r="AHI16" i="3"/>
  <c r="AHE16" i="3"/>
  <c r="AHA16" i="3"/>
  <c r="AGW16" i="3"/>
  <c r="AGS16" i="3"/>
  <c r="AGO16" i="3"/>
  <c r="AGK16" i="3"/>
  <c r="AGG16" i="3"/>
  <c r="AGC16" i="3"/>
  <c r="AFY16" i="3"/>
  <c r="AFU16" i="3"/>
  <c r="AFQ16" i="3"/>
  <c r="AFM16" i="3"/>
  <c r="AFI16" i="3"/>
  <c r="AFE16" i="3"/>
  <c r="AFA16" i="3"/>
  <c r="AEW16" i="3"/>
  <c r="AES16" i="3"/>
  <c r="AEO16" i="3"/>
  <c r="AEK16" i="3"/>
  <c r="AEG16" i="3"/>
  <c r="AEC16" i="3"/>
  <c r="ADY16" i="3"/>
  <c r="ADU16" i="3"/>
  <c r="ADQ16" i="3"/>
  <c r="ADM16" i="3"/>
  <c r="ADI16" i="3"/>
  <c r="ADE16" i="3"/>
  <c r="ADA16" i="3"/>
  <c r="ACW16" i="3"/>
  <c r="ACS16" i="3"/>
  <c r="ACO16" i="3"/>
  <c r="ACK16" i="3"/>
  <c r="ACG16" i="3"/>
  <c r="ACC16" i="3"/>
  <c r="ABY16" i="3"/>
  <c r="ABU16" i="3"/>
  <c r="ABQ16" i="3"/>
  <c r="ABM16" i="3"/>
  <c r="ABI16" i="3"/>
  <c r="ABE16" i="3"/>
  <c r="ABA16" i="3"/>
  <c r="AAW16" i="3"/>
  <c r="AAS16" i="3"/>
  <c r="AAO16" i="3"/>
  <c r="AAK16" i="3"/>
  <c r="AAG16" i="3"/>
  <c r="AAC16" i="3"/>
  <c r="ZY16" i="3"/>
  <c r="ZU16" i="3"/>
  <c r="ZQ16" i="3"/>
  <c r="ZM16" i="3"/>
  <c r="ZI16" i="3"/>
  <c r="ZE16" i="3"/>
  <c r="ZA16" i="3"/>
  <c r="YW16" i="3"/>
  <c r="YS16" i="3"/>
  <c r="YO16" i="3"/>
  <c r="YK16" i="3"/>
  <c r="YG16" i="3"/>
  <c r="YC16" i="3"/>
  <c r="XY16" i="3"/>
  <c r="XU16" i="3"/>
  <c r="XQ16" i="3"/>
  <c r="XM16" i="3"/>
  <c r="XI16" i="3"/>
  <c r="XE16" i="3"/>
  <c r="XA16" i="3"/>
  <c r="WW16" i="3"/>
  <c r="WS16" i="3"/>
  <c r="WO16" i="3"/>
  <c r="WK16" i="3"/>
  <c r="WG16" i="3"/>
  <c r="WC16" i="3"/>
  <c r="VY16" i="3"/>
  <c r="VU16" i="3"/>
  <c r="VQ16" i="3"/>
  <c r="VM16" i="3"/>
  <c r="VI16" i="3"/>
  <c r="VE16" i="3"/>
  <c r="VA16" i="3"/>
  <c r="UW16" i="3"/>
  <c r="US16" i="3"/>
  <c r="UO16" i="3"/>
  <c r="UK16" i="3"/>
  <c r="UG16" i="3"/>
  <c r="UC16" i="3"/>
  <c r="TY16" i="3"/>
  <c r="TU16" i="3"/>
  <c r="TQ16" i="3"/>
  <c r="TM16" i="3"/>
  <c r="TI16" i="3"/>
  <c r="TE16" i="3"/>
  <c r="TA16" i="3"/>
  <c r="SW16" i="3"/>
  <c r="SS16" i="3"/>
  <c r="SO16" i="3"/>
  <c r="SK16" i="3"/>
  <c r="SG16" i="3"/>
  <c r="SC16" i="3"/>
  <c r="RY16" i="3"/>
  <c r="RU16" i="3"/>
  <c r="RQ16" i="3"/>
  <c r="RM16" i="3"/>
  <c r="RI16" i="3"/>
  <c r="RE16" i="3"/>
  <c r="RA16" i="3"/>
  <c r="QW16" i="3"/>
  <c r="QS16" i="3"/>
  <c r="QO16" i="3"/>
  <c r="QK16" i="3"/>
  <c r="QG16" i="3"/>
  <c r="QC16" i="3"/>
  <c r="PY16" i="3"/>
  <c r="PU16" i="3"/>
  <c r="PQ16" i="3"/>
  <c r="PM16" i="3"/>
  <c r="PI16" i="3"/>
  <c r="PE16" i="3"/>
  <c r="PA16" i="3"/>
  <c r="OW16" i="3"/>
  <c r="OS16" i="3"/>
  <c r="OO16" i="3"/>
  <c r="OK16" i="3"/>
  <c r="OG16" i="3"/>
  <c r="OC16" i="3"/>
  <c r="NY16" i="3"/>
  <c r="NU16" i="3"/>
  <c r="NQ16" i="3"/>
  <c r="NM16" i="3"/>
  <c r="NI16" i="3"/>
  <c r="NE16" i="3"/>
  <c r="NA16" i="3"/>
  <c r="MW16" i="3"/>
  <c r="MS16" i="3"/>
  <c r="MO16" i="3"/>
  <c r="MK16" i="3"/>
  <c r="MG16" i="3"/>
  <c r="MC16" i="3"/>
  <c r="LY16" i="3"/>
  <c r="LU16" i="3"/>
  <c r="LQ16" i="3"/>
  <c r="LM16" i="3"/>
  <c r="LI16" i="3"/>
  <c r="LE16" i="3"/>
  <c r="LA16" i="3"/>
  <c r="KW16" i="3"/>
  <c r="KS16" i="3"/>
  <c r="KO16" i="3"/>
  <c r="KK16" i="3"/>
  <c r="KG16" i="3"/>
  <c r="KC16" i="3"/>
  <c r="JY16" i="3"/>
  <c r="JU16" i="3"/>
  <c r="JQ16" i="3"/>
  <c r="JM16" i="3"/>
  <c r="JI16" i="3"/>
  <c r="JE16" i="3"/>
  <c r="JA16" i="3"/>
  <c r="IW16" i="3"/>
  <c r="IS16" i="3"/>
  <c r="IO16" i="3"/>
  <c r="IK16" i="3"/>
  <c r="IG16" i="3"/>
  <c r="IC16" i="3"/>
  <c r="HY16" i="3"/>
  <c r="HU16" i="3"/>
  <c r="HQ16" i="3"/>
  <c r="HM16" i="3"/>
  <c r="HI16" i="3"/>
  <c r="HE16" i="3"/>
  <c r="HA16" i="3"/>
  <c r="GW16" i="3"/>
  <c r="GS16" i="3"/>
  <c r="GO16" i="3"/>
  <c r="GK16" i="3"/>
  <c r="GG16" i="3"/>
  <c r="GC16" i="3"/>
  <c r="FY16" i="3"/>
  <c r="FU16" i="3"/>
  <c r="FQ16" i="3"/>
  <c r="FM16" i="3"/>
  <c r="FI16" i="3"/>
  <c r="FE16" i="3"/>
  <c r="FA16" i="3"/>
  <c r="EW16" i="3"/>
  <c r="ES16" i="3"/>
  <c r="EO16" i="3"/>
  <c r="EK16" i="3"/>
  <c r="EG16" i="3"/>
  <c r="EC16" i="3"/>
  <c r="DY16" i="3"/>
  <c r="DU16" i="3"/>
  <c r="DQ16" i="3"/>
  <c r="DM16" i="3"/>
  <c r="DI16" i="3"/>
  <c r="DE16" i="3"/>
  <c r="DA16" i="3"/>
  <c r="CW16" i="3"/>
  <c r="CS16" i="3"/>
  <c r="CO16" i="3"/>
  <c r="CK16" i="3"/>
  <c r="CG16" i="3"/>
  <c r="CC16" i="3"/>
  <c r="BY16" i="3"/>
  <c r="BU16" i="3"/>
  <c r="BQ16" i="3"/>
  <c r="BM16" i="3"/>
  <c r="BI16" i="3"/>
  <c r="BE16" i="3"/>
  <c r="BA16" i="3"/>
  <c r="AW16" i="3"/>
  <c r="AS16" i="3"/>
  <c r="AO16" i="3"/>
  <c r="AK16" i="3"/>
  <c r="AG16" i="3"/>
  <c r="AC16" i="3"/>
  <c r="Y16" i="3"/>
  <c r="U16" i="3"/>
  <c r="Q16" i="3"/>
  <c r="M16" i="3"/>
  <c r="I16" i="3"/>
  <c r="F16" i="3"/>
  <c r="H3" i="3"/>
  <c r="X3" i="3"/>
  <c r="AN3" i="3"/>
  <c r="BD3" i="3"/>
  <c r="BT3" i="3"/>
  <c r="CJ3" i="3"/>
  <c r="CZ3" i="3"/>
  <c r="DP3" i="3"/>
  <c r="EF3" i="3"/>
  <c r="EV3" i="3"/>
  <c r="FL3" i="3"/>
  <c r="GB3" i="3"/>
  <c r="GR3" i="3"/>
  <c r="HH3" i="3"/>
  <c r="HX3" i="3"/>
  <c r="IN3" i="3"/>
  <c r="JD3" i="3"/>
  <c r="JT3" i="3"/>
  <c r="KJ3" i="3"/>
  <c r="KZ3" i="3"/>
  <c r="LP3" i="3"/>
  <c r="MF3" i="3"/>
  <c r="MV3" i="3"/>
  <c r="NL3" i="3"/>
  <c r="OB3" i="3"/>
  <c r="OR3" i="3"/>
  <c r="PH3" i="3"/>
  <c r="PX3" i="3"/>
  <c r="QN3" i="3"/>
  <c r="RD3" i="3"/>
  <c r="RT3" i="3"/>
  <c r="SJ3" i="3"/>
  <c r="SZ3" i="3"/>
  <c r="TP3" i="3"/>
  <c r="UF3" i="3"/>
  <c r="UV3" i="3"/>
  <c r="VL3" i="3"/>
  <c r="WB3" i="3"/>
  <c r="WR3" i="3"/>
  <c r="XH3" i="3"/>
  <c r="XX3" i="3"/>
  <c r="YN3" i="3"/>
  <c r="ZD3" i="3"/>
  <c r="ZT3" i="3"/>
  <c r="AAJ3" i="3"/>
  <c r="AAZ3" i="3"/>
  <c r="ABP3" i="3"/>
  <c r="ACF3" i="3"/>
  <c r="ACV3" i="3"/>
  <c r="ADL3" i="3"/>
  <c r="AEB3" i="3"/>
  <c r="AER3" i="3"/>
  <c r="AFH3" i="3"/>
  <c r="AFX3" i="3"/>
  <c r="AGN3" i="3"/>
  <c r="AHD3" i="3"/>
  <c r="AHT3" i="3"/>
  <c r="AIJ3" i="3"/>
  <c r="AIZ3" i="3"/>
  <c r="AJP3" i="3"/>
  <c r="AKF3" i="3"/>
  <c r="AKV3" i="3"/>
  <c r="ALL3" i="3"/>
  <c r="ALQ8" i="3"/>
  <c r="ALM8" i="3"/>
  <c r="ALI8" i="3"/>
  <c r="ALE8" i="3"/>
  <c r="ALA8" i="3"/>
  <c r="AKW8" i="3"/>
  <c r="AKS8" i="3"/>
  <c r="AKO8" i="3"/>
  <c r="AKK8" i="3"/>
  <c r="AKG8" i="3"/>
  <c r="AKC8" i="3"/>
  <c r="AJY8" i="3"/>
  <c r="AJU8" i="3"/>
  <c r="AJQ8" i="3"/>
  <c r="AJM8" i="3"/>
  <c r="AJI8" i="3"/>
  <c r="AJE8" i="3"/>
  <c r="AJA8" i="3"/>
  <c r="AIW8" i="3"/>
  <c r="AIS8" i="3"/>
  <c r="AIO8" i="3"/>
  <c r="AIK8" i="3"/>
  <c r="AIG8" i="3"/>
  <c r="AIC8" i="3"/>
  <c r="AHY8" i="3"/>
  <c r="AHU8" i="3"/>
  <c r="AHQ8" i="3"/>
  <c r="AHM8" i="3"/>
  <c r="AHI8" i="3"/>
  <c r="AHE8" i="3"/>
  <c r="AHA8" i="3"/>
  <c r="AGW8" i="3"/>
  <c r="AGS8" i="3"/>
  <c r="AGO8" i="3"/>
  <c r="AGK8" i="3"/>
  <c r="AGG8" i="3"/>
  <c r="AGC8" i="3"/>
  <c r="AFY8" i="3"/>
  <c r="AFU8" i="3"/>
  <c r="AFQ8" i="3"/>
  <c r="AFM8" i="3"/>
  <c r="AFI8" i="3"/>
  <c r="AFE8" i="3"/>
  <c r="AFA8" i="3"/>
  <c r="AEW8" i="3"/>
  <c r="AES8" i="3"/>
  <c r="AEO8" i="3"/>
  <c r="AEK8" i="3"/>
  <c r="AEG8" i="3"/>
  <c r="AEC8" i="3"/>
  <c r="ADY8" i="3"/>
  <c r="ADU8" i="3"/>
  <c r="ADQ8" i="3"/>
  <c r="ADM8" i="3"/>
  <c r="ADI8" i="3"/>
  <c r="ADE8" i="3"/>
  <c r="ADA8" i="3"/>
  <c r="ACW8" i="3"/>
  <c r="ACS8" i="3"/>
  <c r="ACO8" i="3"/>
  <c r="ACK8" i="3"/>
  <c r="ACG8" i="3"/>
  <c r="ACC8" i="3"/>
  <c r="ABY8" i="3"/>
  <c r="ABU8" i="3"/>
  <c r="ABQ8" i="3"/>
  <c r="ABM8" i="3"/>
  <c r="ABI8" i="3"/>
  <c r="ABE8" i="3"/>
  <c r="ABA8" i="3"/>
  <c r="AAW8" i="3"/>
  <c r="AAS8" i="3"/>
  <c r="AAO8" i="3"/>
  <c r="AAK8" i="3"/>
  <c r="AAG8" i="3"/>
  <c r="AAC8" i="3"/>
  <c r="ZY8" i="3"/>
  <c r="ZU8" i="3"/>
  <c r="ZQ8" i="3"/>
  <c r="ZM8" i="3"/>
  <c r="ZI8" i="3"/>
  <c r="ZE8" i="3"/>
  <c r="ZA8" i="3"/>
  <c r="YW8" i="3"/>
  <c r="YS8" i="3"/>
  <c r="YO8" i="3"/>
  <c r="YK8" i="3"/>
  <c r="YG8" i="3"/>
  <c r="YC8" i="3"/>
  <c r="XY8" i="3"/>
  <c r="XU8" i="3"/>
  <c r="XQ8" i="3"/>
  <c r="XM8" i="3"/>
  <c r="XI8" i="3"/>
  <c r="XE8" i="3"/>
  <c r="XA8" i="3"/>
  <c r="WW8" i="3"/>
  <c r="WS8" i="3"/>
  <c r="WO8" i="3"/>
  <c r="WK8" i="3"/>
  <c r="WG8" i="3"/>
  <c r="WC8" i="3"/>
  <c r="VY8" i="3"/>
  <c r="VU8" i="3"/>
  <c r="VQ8" i="3"/>
  <c r="VM8" i="3"/>
  <c r="VI8" i="3"/>
  <c r="VE8" i="3"/>
  <c r="VA8" i="3"/>
  <c r="UW8" i="3"/>
  <c r="US8" i="3"/>
  <c r="UO8" i="3"/>
  <c r="UK8" i="3"/>
  <c r="UG8" i="3"/>
  <c r="UC8" i="3"/>
  <c r="TY8" i="3"/>
  <c r="TU8" i="3"/>
  <c r="TQ8" i="3"/>
  <c r="TM8" i="3"/>
  <c r="TI8" i="3"/>
  <c r="TE8" i="3"/>
  <c r="TA8" i="3"/>
  <c r="SW8" i="3"/>
  <c r="SS8" i="3"/>
  <c r="SO8" i="3"/>
  <c r="SK8" i="3"/>
  <c r="SG8" i="3"/>
  <c r="SC8" i="3"/>
  <c r="RY8" i="3"/>
  <c r="RU8" i="3"/>
  <c r="RQ8" i="3"/>
  <c r="RM8" i="3"/>
  <c r="RI8" i="3"/>
  <c r="RE8" i="3"/>
  <c r="RA8" i="3"/>
  <c r="QW8" i="3"/>
  <c r="QS8" i="3"/>
  <c r="QO8" i="3"/>
  <c r="QK8" i="3"/>
  <c r="QG8" i="3"/>
  <c r="QC8" i="3"/>
  <c r="PY8" i="3"/>
  <c r="PU8" i="3"/>
  <c r="PQ8" i="3"/>
  <c r="PM8" i="3"/>
  <c r="PI8" i="3"/>
  <c r="PE8" i="3"/>
  <c r="PA8" i="3"/>
  <c r="OW8" i="3"/>
  <c r="OS8" i="3"/>
  <c r="OO8" i="3"/>
  <c r="OK8" i="3"/>
  <c r="OG8" i="3"/>
  <c r="OC8" i="3"/>
  <c r="NY8" i="3"/>
  <c r="NU8" i="3"/>
  <c r="NQ8" i="3"/>
  <c r="NM8" i="3"/>
  <c r="NI8" i="3"/>
  <c r="NE8" i="3"/>
  <c r="NA8" i="3"/>
  <c r="MW8" i="3"/>
  <c r="MS8" i="3"/>
  <c r="MO8" i="3"/>
  <c r="MK8" i="3"/>
  <c r="MG8" i="3"/>
  <c r="MC8" i="3"/>
  <c r="LY8" i="3"/>
  <c r="LU8" i="3"/>
  <c r="LQ8" i="3"/>
  <c r="LM8" i="3"/>
  <c r="LI8" i="3"/>
  <c r="LE8" i="3"/>
  <c r="LA8" i="3"/>
  <c r="KW8" i="3"/>
  <c r="KS8" i="3"/>
  <c r="KO8" i="3"/>
  <c r="KK8" i="3"/>
  <c r="KG8" i="3"/>
  <c r="KC8" i="3"/>
  <c r="JY8" i="3"/>
  <c r="JU8" i="3"/>
  <c r="JQ8" i="3"/>
  <c r="JM8" i="3"/>
  <c r="JI8" i="3"/>
  <c r="JE8" i="3"/>
  <c r="JA8" i="3"/>
  <c r="IW8" i="3"/>
  <c r="IS8" i="3"/>
  <c r="IO8" i="3"/>
  <c r="IK8" i="3"/>
  <c r="IG8" i="3"/>
  <c r="IC8" i="3"/>
  <c r="HY8" i="3"/>
  <c r="HU8" i="3"/>
  <c r="HQ8" i="3"/>
  <c r="HM8" i="3"/>
  <c r="HI8" i="3"/>
  <c r="HE8" i="3"/>
  <c r="HA8" i="3"/>
  <c r="GW8" i="3"/>
  <c r="GS8" i="3"/>
  <c r="GO8" i="3"/>
  <c r="GK8" i="3"/>
  <c r="GG8" i="3"/>
  <c r="GC8" i="3"/>
  <c r="FY8" i="3"/>
  <c r="FU8" i="3"/>
  <c r="FQ8" i="3"/>
  <c r="FM8" i="3"/>
  <c r="FI8" i="3"/>
  <c r="FE8" i="3"/>
  <c r="FA8" i="3"/>
  <c r="EW8" i="3"/>
  <c r="ES8" i="3"/>
  <c r="EO8" i="3"/>
  <c r="EK8" i="3"/>
  <c r="EG8" i="3"/>
  <c r="EC8" i="3"/>
  <c r="DY8" i="3"/>
  <c r="DU8" i="3"/>
  <c r="DQ8" i="3"/>
  <c r="DM8" i="3"/>
  <c r="DI8" i="3"/>
  <c r="DE8" i="3"/>
  <c r="DA8" i="3"/>
  <c r="CW8" i="3"/>
  <c r="CS8" i="3"/>
  <c r="CO8" i="3"/>
  <c r="CK8" i="3"/>
  <c r="CG8" i="3"/>
  <c r="CC8" i="3"/>
  <c r="BY8" i="3"/>
  <c r="BU8" i="3"/>
  <c r="BQ8" i="3"/>
  <c r="BM8" i="3"/>
  <c r="BI8" i="3"/>
  <c r="BE8" i="3"/>
  <c r="BA8" i="3"/>
  <c r="AW8" i="3"/>
  <c r="AS8" i="3"/>
  <c r="AO8" i="3"/>
  <c r="AK8" i="3"/>
  <c r="AG8" i="3"/>
  <c r="AC8" i="3"/>
  <c r="Y8" i="3"/>
  <c r="U8" i="3"/>
  <c r="Q8" i="3"/>
  <c r="M8" i="3"/>
  <c r="I8" i="3"/>
  <c r="F8" i="3"/>
  <c r="ALP8" i="3"/>
  <c r="ALL8" i="3"/>
  <c r="ALH8" i="3"/>
  <c r="ALD8" i="3"/>
  <c r="AKZ8" i="3"/>
  <c r="AKV8" i="3"/>
  <c r="AKR8" i="3"/>
  <c r="AKN8" i="3"/>
  <c r="AKJ8" i="3"/>
  <c r="AKF8" i="3"/>
  <c r="AKB8" i="3"/>
  <c r="AJX8" i="3"/>
  <c r="AJT8" i="3"/>
  <c r="AJP8" i="3"/>
  <c r="AJL8" i="3"/>
  <c r="AJH8" i="3"/>
  <c r="AJD8" i="3"/>
  <c r="AIZ8" i="3"/>
  <c r="AIV8" i="3"/>
  <c r="AIR8" i="3"/>
  <c r="AIN8" i="3"/>
  <c r="AIJ8" i="3"/>
  <c r="AIF8" i="3"/>
  <c r="AIB8" i="3"/>
  <c r="AHX8" i="3"/>
  <c r="AHT8" i="3"/>
  <c r="AHP8" i="3"/>
  <c r="AHL8" i="3"/>
  <c r="AHH8" i="3"/>
  <c r="AHD8" i="3"/>
  <c r="AGZ8" i="3"/>
  <c r="AGV8" i="3"/>
  <c r="AGR8" i="3"/>
  <c r="AGN8" i="3"/>
  <c r="AGJ8" i="3"/>
  <c r="AGF8" i="3"/>
  <c r="AGB8" i="3"/>
  <c r="AFX8" i="3"/>
  <c r="AFT8" i="3"/>
  <c r="AFP8" i="3"/>
  <c r="AFL8" i="3"/>
  <c r="AFH8" i="3"/>
  <c r="AFD8" i="3"/>
  <c r="AEZ8" i="3"/>
  <c r="AEV8" i="3"/>
  <c r="AER8" i="3"/>
  <c r="AEN8" i="3"/>
  <c r="AEJ8" i="3"/>
  <c r="AEF8" i="3"/>
  <c r="AEB8" i="3"/>
  <c r="ADX8" i="3"/>
  <c r="ADT8" i="3"/>
  <c r="ADP8" i="3"/>
  <c r="ADL8" i="3"/>
  <c r="ADH8" i="3"/>
  <c r="ADD8" i="3"/>
  <c r="ACZ8" i="3"/>
  <c r="ACV8" i="3"/>
  <c r="ACR8" i="3"/>
  <c r="ACN8" i="3"/>
  <c r="ACJ8" i="3"/>
  <c r="ACF8" i="3"/>
  <c r="ACB8" i="3"/>
  <c r="ABX8" i="3"/>
  <c r="ABT8" i="3"/>
  <c r="ABP8" i="3"/>
  <c r="ABL8" i="3"/>
  <c r="ABH8" i="3"/>
  <c r="ABD8" i="3"/>
  <c r="AAZ8" i="3"/>
  <c r="AAV8" i="3"/>
  <c r="AAR8" i="3"/>
  <c r="AAN8" i="3"/>
  <c r="AAJ8" i="3"/>
  <c r="AAF8" i="3"/>
  <c r="AAB8" i="3"/>
  <c r="ZX8" i="3"/>
  <c r="ZT8" i="3"/>
  <c r="ZP8" i="3"/>
  <c r="ZL8" i="3"/>
  <c r="ZH8" i="3"/>
  <c r="ZD8" i="3"/>
  <c r="YZ8" i="3"/>
  <c r="YV8" i="3"/>
  <c r="YR8" i="3"/>
  <c r="YN8" i="3"/>
  <c r="YJ8" i="3"/>
  <c r="YF8" i="3"/>
  <c r="YB8" i="3"/>
  <c r="XX8" i="3"/>
  <c r="XT8" i="3"/>
  <c r="XP8" i="3"/>
  <c r="XL8" i="3"/>
  <c r="XH8" i="3"/>
  <c r="XD8" i="3"/>
  <c r="WZ8" i="3"/>
  <c r="WV8" i="3"/>
  <c r="WR8" i="3"/>
  <c r="WN8" i="3"/>
  <c r="WJ8" i="3"/>
  <c r="WF8" i="3"/>
  <c r="WB8" i="3"/>
  <c r="VX8" i="3"/>
  <c r="VT8" i="3"/>
  <c r="VP8" i="3"/>
  <c r="VL8" i="3"/>
  <c r="VH8" i="3"/>
  <c r="VD8" i="3"/>
  <c r="UZ8" i="3"/>
  <c r="UV8" i="3"/>
  <c r="UR8" i="3"/>
  <c r="UN8" i="3"/>
  <c r="UJ8" i="3"/>
  <c r="UF8" i="3"/>
  <c r="UB8" i="3"/>
  <c r="TX8" i="3"/>
  <c r="TT8" i="3"/>
  <c r="TP8" i="3"/>
  <c r="TL8" i="3"/>
  <c r="TH8" i="3"/>
  <c r="TD8" i="3"/>
  <c r="SZ8" i="3"/>
  <c r="SV8" i="3"/>
  <c r="SR8" i="3"/>
  <c r="SN8" i="3"/>
  <c r="SJ8" i="3"/>
  <c r="SF8" i="3"/>
  <c r="SB8" i="3"/>
  <c r="RX8" i="3"/>
  <c r="RT8" i="3"/>
  <c r="RP8" i="3"/>
  <c r="RL8" i="3"/>
  <c r="RH8" i="3"/>
  <c r="RD8" i="3"/>
  <c r="QZ8" i="3"/>
  <c r="QV8" i="3"/>
  <c r="QR8" i="3"/>
  <c r="QN8" i="3"/>
  <c r="QJ8" i="3"/>
  <c r="QF8" i="3"/>
  <c r="QB8" i="3"/>
  <c r="PX8" i="3"/>
  <c r="PT8" i="3"/>
  <c r="PP8" i="3"/>
  <c r="PL8" i="3"/>
  <c r="PH8" i="3"/>
  <c r="PD8" i="3"/>
  <c r="OZ8" i="3"/>
  <c r="OV8" i="3"/>
  <c r="OR8" i="3"/>
  <c r="ON8" i="3"/>
  <c r="OJ8" i="3"/>
  <c r="OF8" i="3"/>
  <c r="OB8" i="3"/>
  <c r="NX8" i="3"/>
  <c r="NT8" i="3"/>
  <c r="NP8" i="3"/>
  <c r="NL8" i="3"/>
  <c r="NH8" i="3"/>
  <c r="ND8" i="3"/>
  <c r="MZ8" i="3"/>
  <c r="MV8" i="3"/>
  <c r="MR8" i="3"/>
  <c r="MN8" i="3"/>
  <c r="MJ8" i="3"/>
  <c r="MF8" i="3"/>
  <c r="MB8" i="3"/>
  <c r="LX8" i="3"/>
  <c r="LT8" i="3"/>
  <c r="LP8" i="3"/>
  <c r="LL8" i="3"/>
  <c r="LH8" i="3"/>
  <c r="LD8" i="3"/>
  <c r="KZ8" i="3"/>
  <c r="KV8" i="3"/>
  <c r="KR8" i="3"/>
  <c r="KN8" i="3"/>
  <c r="KJ8" i="3"/>
  <c r="KF8" i="3"/>
  <c r="KB8" i="3"/>
  <c r="JX8" i="3"/>
  <c r="JT8" i="3"/>
  <c r="JP8" i="3"/>
  <c r="JL8" i="3"/>
  <c r="JH8" i="3"/>
  <c r="JD8" i="3"/>
  <c r="IZ8" i="3"/>
  <c r="IV8" i="3"/>
  <c r="IR8" i="3"/>
  <c r="IN8" i="3"/>
  <c r="IJ8" i="3"/>
  <c r="IF8" i="3"/>
  <c r="IB8" i="3"/>
  <c r="HX8" i="3"/>
  <c r="HT8" i="3"/>
  <c r="HP8" i="3"/>
  <c r="HL8" i="3"/>
  <c r="HH8" i="3"/>
  <c r="HD8" i="3"/>
  <c r="GZ8" i="3"/>
  <c r="GV8" i="3"/>
  <c r="GR8" i="3"/>
  <c r="GN8" i="3"/>
  <c r="GJ8" i="3"/>
  <c r="GF8" i="3"/>
  <c r="GB8" i="3"/>
  <c r="FX8" i="3"/>
  <c r="FT8" i="3"/>
  <c r="FP8" i="3"/>
  <c r="FL8" i="3"/>
  <c r="FH8" i="3"/>
  <c r="FD8" i="3"/>
  <c r="EZ8" i="3"/>
  <c r="EV8" i="3"/>
  <c r="ER8" i="3"/>
  <c r="EN8" i="3"/>
  <c r="EJ8" i="3"/>
  <c r="EF8" i="3"/>
  <c r="EB8" i="3"/>
  <c r="DX8" i="3"/>
  <c r="DT8" i="3"/>
  <c r="DP8" i="3"/>
  <c r="DL8" i="3"/>
  <c r="DH8" i="3"/>
  <c r="DD8" i="3"/>
  <c r="CZ8" i="3"/>
  <c r="CV8" i="3"/>
  <c r="CR8" i="3"/>
  <c r="CN8" i="3"/>
  <c r="CJ8" i="3"/>
  <c r="CF8" i="3"/>
  <c r="CB8" i="3"/>
  <c r="BX8" i="3"/>
  <c r="BT8" i="3"/>
  <c r="BP8" i="3"/>
  <c r="BL8" i="3"/>
  <c r="BH8" i="3"/>
  <c r="BD8" i="3"/>
  <c r="AZ8" i="3"/>
  <c r="AV8" i="3"/>
  <c r="AR8" i="3"/>
  <c r="AN8" i="3"/>
  <c r="AJ8" i="3"/>
  <c r="AF8" i="3"/>
  <c r="AB8" i="3"/>
  <c r="X8" i="3"/>
  <c r="T8" i="3"/>
  <c r="P8" i="3"/>
  <c r="L8" i="3"/>
  <c r="H8" i="3"/>
  <c r="ALO8" i="3"/>
  <c r="ALK8" i="3"/>
  <c r="ALG8" i="3"/>
  <c r="ALC8" i="3"/>
  <c r="AKY8" i="3"/>
  <c r="AKU8" i="3"/>
  <c r="AKQ8" i="3"/>
  <c r="AKM8" i="3"/>
  <c r="AKI8" i="3"/>
  <c r="AKE8" i="3"/>
  <c r="AKA8" i="3"/>
  <c r="AJW8" i="3"/>
  <c r="AJS8" i="3"/>
  <c r="AJO8" i="3"/>
  <c r="AJK8" i="3"/>
  <c r="AJG8" i="3"/>
  <c r="AJC8" i="3"/>
  <c r="AIY8" i="3"/>
  <c r="AIU8" i="3"/>
  <c r="AIQ8" i="3"/>
  <c r="AIM8" i="3"/>
  <c r="AII8" i="3"/>
  <c r="AIE8" i="3"/>
  <c r="AIA8" i="3"/>
  <c r="AHW8" i="3"/>
  <c r="AHS8" i="3"/>
  <c r="AHO8" i="3"/>
  <c r="AHK8" i="3"/>
  <c r="AHG8" i="3"/>
  <c r="AHC8" i="3"/>
  <c r="AGY8" i="3"/>
  <c r="AGU8" i="3"/>
  <c r="AGQ8" i="3"/>
  <c r="AGM8" i="3"/>
  <c r="AGI8" i="3"/>
  <c r="AGE8" i="3"/>
  <c r="AGA8" i="3"/>
  <c r="AFW8" i="3"/>
  <c r="AFS8" i="3"/>
  <c r="AFO8" i="3"/>
  <c r="AFK8" i="3"/>
  <c r="AFG8" i="3"/>
  <c r="AFC8" i="3"/>
  <c r="AEY8" i="3"/>
  <c r="AEU8" i="3"/>
  <c r="AEQ8" i="3"/>
  <c r="AEM8" i="3"/>
  <c r="AEI8" i="3"/>
  <c r="AEE8" i="3"/>
  <c r="AEA8" i="3"/>
  <c r="ADW8" i="3"/>
  <c r="ADS8" i="3"/>
  <c r="ADO8" i="3"/>
  <c r="ADK8" i="3"/>
  <c r="ADG8" i="3"/>
  <c r="ADC8" i="3"/>
  <c r="ACY8" i="3"/>
  <c r="ACU8" i="3"/>
  <c r="ACQ8" i="3"/>
  <c r="ACM8" i="3"/>
  <c r="ACI8" i="3"/>
  <c r="ACE8" i="3"/>
  <c r="ACA8" i="3"/>
  <c r="ABW8" i="3"/>
  <c r="ABS8" i="3"/>
  <c r="ABO8" i="3"/>
  <c r="ABK8" i="3"/>
  <c r="ABG8" i="3"/>
  <c r="ABC8" i="3"/>
  <c r="AAY8" i="3"/>
  <c r="AAU8" i="3"/>
  <c r="AAQ8" i="3"/>
  <c r="AAM8" i="3"/>
  <c r="AAI8" i="3"/>
  <c r="AAE8" i="3"/>
  <c r="AAA8" i="3"/>
  <c r="ZW8" i="3"/>
  <c r="ZS8" i="3"/>
  <c r="ZO8" i="3"/>
  <c r="ZK8" i="3"/>
  <c r="ZG8" i="3"/>
  <c r="ZC8" i="3"/>
  <c r="YY8" i="3"/>
  <c r="YU8" i="3"/>
  <c r="YQ8" i="3"/>
  <c r="YM8" i="3"/>
  <c r="YI8" i="3"/>
  <c r="YE8" i="3"/>
  <c r="YA8" i="3"/>
  <c r="XW8" i="3"/>
  <c r="XS8" i="3"/>
  <c r="XO8" i="3"/>
  <c r="XK8" i="3"/>
  <c r="XG8" i="3"/>
  <c r="XC8" i="3"/>
  <c r="WY8" i="3"/>
  <c r="WU8" i="3"/>
  <c r="WQ8" i="3"/>
  <c r="WM8" i="3"/>
  <c r="WI8" i="3"/>
  <c r="WE8" i="3"/>
  <c r="WA8" i="3"/>
  <c r="VW8" i="3"/>
  <c r="VS8" i="3"/>
  <c r="VO8" i="3"/>
  <c r="VK8" i="3"/>
  <c r="VG8" i="3"/>
  <c r="VC8" i="3"/>
  <c r="UY8" i="3"/>
  <c r="UU8" i="3"/>
  <c r="UQ8" i="3"/>
  <c r="UM8" i="3"/>
  <c r="UI8" i="3"/>
  <c r="UE8" i="3"/>
  <c r="UA8" i="3"/>
  <c r="TW8" i="3"/>
  <c r="TS8" i="3"/>
  <c r="TO8" i="3"/>
  <c r="TK8" i="3"/>
  <c r="TG8" i="3"/>
  <c r="TC8" i="3"/>
  <c r="SY8" i="3"/>
  <c r="SU8" i="3"/>
  <c r="SQ8" i="3"/>
  <c r="SM8" i="3"/>
  <c r="SI8" i="3"/>
  <c r="SE8" i="3"/>
  <c r="SA8" i="3"/>
  <c r="RW8" i="3"/>
  <c r="RS8" i="3"/>
  <c r="RO8" i="3"/>
  <c r="RK8" i="3"/>
  <c r="RG8" i="3"/>
  <c r="RC8" i="3"/>
  <c r="QY8" i="3"/>
  <c r="QU8" i="3"/>
  <c r="QQ8" i="3"/>
  <c r="QM8" i="3"/>
  <c r="QI8" i="3"/>
  <c r="QE8" i="3"/>
  <c r="QA8" i="3"/>
  <c r="PW8" i="3"/>
  <c r="PS8" i="3"/>
  <c r="PO8" i="3"/>
  <c r="PK8" i="3"/>
  <c r="PG8" i="3"/>
  <c r="PC8" i="3"/>
  <c r="OY8" i="3"/>
  <c r="OU8" i="3"/>
  <c r="OQ8" i="3"/>
  <c r="OM8" i="3"/>
  <c r="OI8" i="3"/>
  <c r="OE8" i="3"/>
  <c r="OA8" i="3"/>
  <c r="NW8" i="3"/>
  <c r="NS8" i="3"/>
  <c r="NO8" i="3"/>
  <c r="NK8" i="3"/>
  <c r="NG8" i="3"/>
  <c r="NC8" i="3"/>
  <c r="MY8" i="3"/>
  <c r="MU8" i="3"/>
  <c r="MQ8" i="3"/>
  <c r="MM8" i="3"/>
  <c r="MI8" i="3"/>
  <c r="ME8" i="3"/>
  <c r="MA8" i="3"/>
  <c r="LW8" i="3"/>
  <c r="LS8" i="3"/>
  <c r="LO8" i="3"/>
  <c r="LK8" i="3"/>
  <c r="LG8" i="3"/>
  <c r="LC8" i="3"/>
  <c r="KY8" i="3"/>
  <c r="KU8" i="3"/>
  <c r="KQ8" i="3"/>
  <c r="KM8" i="3"/>
  <c r="KI8" i="3"/>
  <c r="KE8" i="3"/>
  <c r="KA8" i="3"/>
  <c r="JW8" i="3"/>
  <c r="JS8" i="3"/>
  <c r="JO8" i="3"/>
  <c r="JK8" i="3"/>
  <c r="JG8" i="3"/>
  <c r="JC8" i="3"/>
  <c r="IY8" i="3"/>
  <c r="IU8" i="3"/>
  <c r="IQ8" i="3"/>
  <c r="IM8" i="3"/>
  <c r="II8" i="3"/>
  <c r="IE8" i="3"/>
  <c r="IA8" i="3"/>
  <c r="HW8" i="3"/>
  <c r="HS8" i="3"/>
  <c r="HO8" i="3"/>
  <c r="HK8" i="3"/>
  <c r="HG8" i="3"/>
  <c r="HC8" i="3"/>
  <c r="GY8" i="3"/>
  <c r="GU8" i="3"/>
  <c r="GQ8" i="3"/>
  <c r="GM8" i="3"/>
  <c r="GI8" i="3"/>
  <c r="GE8" i="3"/>
  <c r="GA8" i="3"/>
  <c r="FW8" i="3"/>
  <c r="FS8" i="3"/>
  <c r="FO8" i="3"/>
  <c r="FK8" i="3"/>
  <c r="FG8" i="3"/>
  <c r="FC8" i="3"/>
  <c r="EY8" i="3"/>
  <c r="EU8" i="3"/>
  <c r="EQ8" i="3"/>
  <c r="EM8" i="3"/>
  <c r="EI8" i="3"/>
  <c r="EE8" i="3"/>
  <c r="EA8" i="3"/>
  <c r="DW8" i="3"/>
  <c r="DS8" i="3"/>
  <c r="DO8" i="3"/>
  <c r="DK8" i="3"/>
  <c r="DG8" i="3"/>
  <c r="DC8" i="3"/>
  <c r="CY8" i="3"/>
  <c r="CU8" i="3"/>
  <c r="CQ8" i="3"/>
  <c r="CM8" i="3"/>
  <c r="CI8" i="3"/>
  <c r="CE8" i="3"/>
  <c r="CA8" i="3"/>
  <c r="BW8" i="3"/>
  <c r="BS8" i="3"/>
  <c r="BO8" i="3"/>
  <c r="BK8" i="3"/>
  <c r="BG8" i="3"/>
  <c r="BC8" i="3"/>
  <c r="AY8" i="3"/>
  <c r="AU8" i="3"/>
  <c r="AQ8" i="3"/>
  <c r="AM8" i="3"/>
  <c r="AI8" i="3"/>
  <c r="AE8" i="3"/>
  <c r="AA8" i="3"/>
  <c r="W8" i="3"/>
  <c r="S8" i="3"/>
  <c r="O8" i="3"/>
  <c r="K8" i="3"/>
  <c r="G8" i="3"/>
  <c r="V8" i="3"/>
  <c r="AL8" i="3"/>
  <c r="BB8" i="3"/>
  <c r="BR8" i="3"/>
  <c r="CH8" i="3"/>
  <c r="CX8" i="3"/>
  <c r="DN8" i="3"/>
  <c r="ED8" i="3"/>
  <c r="ET8" i="3"/>
  <c r="FJ8" i="3"/>
  <c r="FZ8" i="3"/>
  <c r="GP8" i="3"/>
  <c r="HF8" i="3"/>
  <c r="HV8" i="3"/>
  <c r="IL8" i="3"/>
  <c r="JB8" i="3"/>
  <c r="JR8" i="3"/>
  <c r="KH8" i="3"/>
  <c r="KX8" i="3"/>
  <c r="LN8" i="3"/>
  <c r="MD8" i="3"/>
  <c r="MT8" i="3"/>
  <c r="NJ8" i="3"/>
  <c r="NZ8" i="3"/>
  <c r="OP8" i="3"/>
  <c r="PF8" i="3"/>
  <c r="PV8" i="3"/>
  <c r="QL8" i="3"/>
  <c r="RB8" i="3"/>
  <c r="RR8" i="3"/>
  <c r="SH8" i="3"/>
  <c r="SX8" i="3"/>
  <c r="TN8" i="3"/>
  <c r="UD8" i="3"/>
  <c r="UT8" i="3"/>
  <c r="VJ8" i="3"/>
  <c r="VZ8" i="3"/>
  <c r="WP8" i="3"/>
  <c r="XF8" i="3"/>
  <c r="XV8" i="3"/>
  <c r="YL8" i="3"/>
  <c r="ZB8" i="3"/>
  <c r="ZR8" i="3"/>
  <c r="AAH8" i="3"/>
  <c r="AAX8" i="3"/>
  <c r="ABN8" i="3"/>
  <c r="ACD8" i="3"/>
  <c r="ACT8" i="3"/>
  <c r="ADJ8" i="3"/>
  <c r="ADZ8" i="3"/>
  <c r="AEP8" i="3"/>
  <c r="AFF8" i="3"/>
  <c r="AFV8" i="3"/>
  <c r="AGL8" i="3"/>
  <c r="AHB8" i="3"/>
  <c r="AHR8" i="3"/>
  <c r="AIH8" i="3"/>
  <c r="AIX8" i="3"/>
  <c r="AJN8" i="3"/>
  <c r="AKD8" i="3"/>
  <c r="AKT8" i="3"/>
  <c r="ALJ8" i="3"/>
  <c r="T16" i="3"/>
  <c r="AJ16" i="3"/>
  <c r="AZ16" i="3"/>
  <c r="BP16" i="3"/>
  <c r="CF16" i="3"/>
  <c r="CV16" i="3"/>
  <c r="DL16" i="3"/>
  <c r="EB16" i="3"/>
  <c r="ER16" i="3"/>
  <c r="FH16" i="3"/>
  <c r="FX16" i="3"/>
  <c r="GN16" i="3"/>
  <c r="HD16" i="3"/>
  <c r="HT16" i="3"/>
  <c r="IJ16" i="3"/>
  <c r="IZ16" i="3"/>
  <c r="JP16" i="3"/>
  <c r="KF16" i="3"/>
  <c r="KV16" i="3"/>
  <c r="LL16" i="3"/>
  <c r="MB16" i="3"/>
  <c r="MR16" i="3"/>
  <c r="NH16" i="3"/>
  <c r="NX16" i="3"/>
  <c r="ON16" i="3"/>
  <c r="PD16" i="3"/>
  <c r="PT16" i="3"/>
  <c r="QJ16" i="3"/>
  <c r="QZ16" i="3"/>
  <c r="RP16" i="3"/>
  <c r="SF16" i="3"/>
  <c r="SV16" i="3"/>
  <c r="TL16" i="3"/>
  <c r="UB16" i="3"/>
  <c r="UR16" i="3"/>
  <c r="VH16" i="3"/>
  <c r="VX16" i="3"/>
  <c r="WN16" i="3"/>
  <c r="XD16" i="3"/>
  <c r="XT16" i="3"/>
  <c r="YJ16" i="3"/>
  <c r="YZ16" i="3"/>
  <c r="ZP16" i="3"/>
  <c r="AAF16" i="3"/>
  <c r="AAV16" i="3"/>
  <c r="ABL16" i="3"/>
  <c r="ACB16" i="3"/>
  <c r="ACR16" i="3"/>
  <c r="ADH16" i="3"/>
  <c r="ADX16" i="3"/>
  <c r="AEN16" i="3"/>
  <c r="AFD16" i="3"/>
  <c r="AFT16" i="3"/>
  <c r="AGJ16" i="3"/>
  <c r="AGZ16" i="3"/>
  <c r="AHP16" i="3"/>
  <c r="AIF16" i="3"/>
  <c r="AIV16" i="3"/>
  <c r="AJL16" i="3"/>
  <c r="AKB16" i="3"/>
  <c r="AKR16" i="3"/>
  <c r="ALH16" i="3"/>
  <c r="K17" i="3"/>
  <c r="AA17" i="3"/>
  <c r="AQ17" i="3"/>
  <c r="BG17" i="3"/>
  <c r="BW17" i="3"/>
  <c r="CM17" i="3"/>
  <c r="DC17" i="3"/>
  <c r="DS17" i="3"/>
  <c r="EI17" i="3"/>
  <c r="EY17" i="3"/>
  <c r="FO17" i="3"/>
  <c r="GE17" i="3"/>
  <c r="GU17" i="3"/>
  <c r="HK17" i="3"/>
  <c r="IA17" i="3"/>
  <c r="IQ17" i="3"/>
  <c r="JG17" i="3"/>
  <c r="JW17" i="3"/>
  <c r="KM17" i="3"/>
  <c r="LC17" i="3"/>
  <c r="LS17" i="3"/>
  <c r="MI17" i="3"/>
  <c r="MY17" i="3"/>
  <c r="NO17" i="3"/>
  <c r="OE17" i="3"/>
  <c r="OU17" i="3"/>
  <c r="PK17" i="3"/>
  <c r="QA17" i="3"/>
  <c r="QQ17" i="3"/>
  <c r="RG17" i="3"/>
  <c r="RW17" i="3"/>
  <c r="SM17" i="3"/>
  <c r="TC17" i="3"/>
  <c r="TS17" i="3"/>
  <c r="UI17" i="3"/>
  <c r="UY17" i="3"/>
  <c r="VO17" i="3"/>
  <c r="WE17" i="3"/>
  <c r="WU17" i="3"/>
  <c r="XK17" i="3"/>
  <c r="YA17" i="3"/>
  <c r="YQ17" i="3"/>
  <c r="ZG17" i="3"/>
  <c r="ZW17" i="3"/>
  <c r="AAM17" i="3"/>
  <c r="ABC17" i="3"/>
  <c r="ABS17" i="3"/>
  <c r="ACI17" i="3"/>
  <c r="ACY17" i="3"/>
  <c r="ADO17" i="3"/>
  <c r="AEE17" i="3"/>
  <c r="AEU17" i="3"/>
  <c r="AFK17" i="3"/>
  <c r="AGA17" i="3"/>
  <c r="AGQ17" i="3"/>
  <c r="AHG17" i="3"/>
  <c r="AHW17" i="3"/>
  <c r="AIM17" i="3"/>
  <c r="AJC17" i="3"/>
  <c r="AJS17" i="3"/>
  <c r="AKI17" i="3"/>
  <c r="AKY17" i="3"/>
  <c r="ALO17" i="3"/>
  <c r="R18" i="3"/>
  <c r="AH18" i="3"/>
  <c r="AX18" i="3"/>
  <c r="BN18" i="3"/>
  <c r="CD18" i="3"/>
  <c r="CT18" i="3"/>
  <c r="DJ18" i="3"/>
  <c r="DZ18" i="3"/>
  <c r="EP18" i="3"/>
  <c r="FF18" i="3"/>
  <c r="FV18" i="3"/>
  <c r="GL18" i="3"/>
  <c r="HB18" i="3"/>
  <c r="HR18" i="3"/>
  <c r="IH18" i="3"/>
  <c r="IX18" i="3"/>
  <c r="JN18" i="3"/>
  <c r="KD18" i="3"/>
  <c r="KT18" i="3"/>
  <c r="LJ18" i="3"/>
  <c r="LZ18" i="3"/>
  <c r="MP18" i="3"/>
  <c r="NF18" i="3"/>
  <c r="NV18" i="3"/>
  <c r="OL18" i="3"/>
  <c r="PB18" i="3"/>
  <c r="PR18" i="3"/>
  <c r="QH18" i="3"/>
  <c r="QX18" i="3"/>
  <c r="RN18" i="3"/>
  <c r="SD18" i="3"/>
  <c r="SV18" i="3"/>
  <c r="TR18" i="3"/>
  <c r="UM18" i="3"/>
  <c r="VH18" i="3"/>
  <c r="WD18" i="3"/>
  <c r="WY18" i="3"/>
  <c r="XT18" i="3"/>
  <c r="YP18" i="3"/>
  <c r="ZK18" i="3"/>
  <c r="AAF18" i="3"/>
  <c r="ABB18" i="3"/>
  <c r="ABW18" i="3"/>
  <c r="ACR18" i="3"/>
  <c r="ADN18" i="3"/>
  <c r="AEI18" i="3"/>
  <c r="AFD18" i="3"/>
  <c r="AFZ18" i="3"/>
  <c r="AGU18" i="3"/>
  <c r="AHP18" i="3"/>
  <c r="AIL18" i="3"/>
  <c r="AJG18" i="3"/>
  <c r="AKB18" i="3"/>
  <c r="AKX18" i="3"/>
  <c r="AI22" i="3"/>
  <c r="BO22" i="3"/>
  <c r="CU22" i="3"/>
  <c r="EA22" i="3"/>
  <c r="FG22" i="3"/>
  <c r="GM22" i="3"/>
  <c r="HS22" i="3"/>
  <c r="IY22" i="3"/>
  <c r="KE22" i="3"/>
  <c r="LK22" i="3"/>
  <c r="MQ22" i="3"/>
  <c r="NW22" i="3"/>
  <c r="PC22" i="3"/>
  <c r="QI22" i="3"/>
  <c r="RO22" i="3"/>
  <c r="SU22" i="3"/>
  <c r="UA22" i="3"/>
  <c r="VG22" i="3"/>
  <c r="WM22" i="3"/>
  <c r="XS22" i="3"/>
  <c r="YY22" i="3"/>
  <c r="AAE22" i="3"/>
  <c r="ABK22" i="3"/>
  <c r="ACQ22" i="3"/>
  <c r="ADW22" i="3"/>
  <c r="AFC22" i="3"/>
  <c r="AGI22" i="3"/>
  <c r="AHO22" i="3"/>
  <c r="AIU22" i="3"/>
  <c r="AKA22" i="3"/>
  <c r="ALG22" i="3"/>
  <c r="AW23" i="3"/>
  <c r="DI23" i="3"/>
  <c r="FU23" i="3"/>
  <c r="IG23" i="3"/>
  <c r="KS23" i="3"/>
  <c r="NE23" i="3"/>
  <c r="PQ23" i="3"/>
  <c r="SC23" i="3"/>
  <c r="UO23" i="3"/>
  <c r="XA23" i="3"/>
  <c r="ZM23" i="3"/>
  <c r="ABY23" i="3"/>
  <c r="AEK23" i="3"/>
  <c r="AGW23" i="3"/>
  <c r="AJI23" i="3"/>
  <c r="BB26" i="3"/>
  <c r="DN26" i="3"/>
  <c r="FZ26" i="3"/>
  <c r="IL26" i="3"/>
  <c r="KX26" i="3"/>
  <c r="NJ26" i="3"/>
  <c r="PV26" i="3"/>
  <c r="SH26" i="3"/>
  <c r="UT26" i="3"/>
  <c r="XF26" i="3"/>
  <c r="ZR26" i="3"/>
  <c r="ACD26" i="3"/>
  <c r="AEP26" i="3"/>
  <c r="AHB26" i="3"/>
  <c r="AJN26" i="3"/>
  <c r="M27" i="3"/>
  <c r="BY27" i="3"/>
  <c r="EK27" i="3"/>
  <c r="GW27" i="3"/>
  <c r="JI27" i="3"/>
  <c r="LU27" i="3"/>
  <c r="OG27" i="3"/>
  <c r="ALO20" i="3"/>
  <c r="ALK20" i="3"/>
  <c r="ALG20" i="3"/>
  <c r="ALC20" i="3"/>
  <c r="AKY20" i="3"/>
  <c r="AKU20" i="3"/>
  <c r="AKQ20" i="3"/>
  <c r="AKM20" i="3"/>
  <c r="AKI20" i="3"/>
  <c r="AKE20" i="3"/>
  <c r="AKA20" i="3"/>
  <c r="AJW20" i="3"/>
  <c r="AJS20" i="3"/>
  <c r="AJO20" i="3"/>
  <c r="AJK20" i="3"/>
  <c r="AJG20" i="3"/>
  <c r="AJC20" i="3"/>
  <c r="AIY20" i="3"/>
  <c r="AIU20" i="3"/>
  <c r="AIQ20" i="3"/>
  <c r="AIM20" i="3"/>
  <c r="AII20" i="3"/>
  <c r="AIE20" i="3"/>
  <c r="AIA20" i="3"/>
  <c r="AHW20" i="3"/>
  <c r="AHS20" i="3"/>
  <c r="AHO20" i="3"/>
  <c r="AHK20" i="3"/>
  <c r="AHG20" i="3"/>
  <c r="AHC20" i="3"/>
  <c r="AGY20" i="3"/>
  <c r="AGU20" i="3"/>
  <c r="AGQ20" i="3"/>
  <c r="AGM20" i="3"/>
  <c r="AGI20" i="3"/>
  <c r="AGE20" i="3"/>
  <c r="AGA20" i="3"/>
  <c r="AFW20" i="3"/>
  <c r="AFS20" i="3"/>
  <c r="AFO20" i="3"/>
  <c r="AFK20" i="3"/>
  <c r="AFG20" i="3"/>
  <c r="AFC20" i="3"/>
  <c r="AEY20" i="3"/>
  <c r="AEU20" i="3"/>
  <c r="AEQ20" i="3"/>
  <c r="AEM20" i="3"/>
  <c r="AEI20" i="3"/>
  <c r="AEE20" i="3"/>
  <c r="AEA20" i="3"/>
  <c r="ADW20" i="3"/>
  <c r="ADS20" i="3"/>
  <c r="ADO20" i="3"/>
  <c r="ADK20" i="3"/>
  <c r="ADG20" i="3"/>
  <c r="ADC20" i="3"/>
  <c r="ACY20" i="3"/>
  <c r="ACU20" i="3"/>
  <c r="ACQ20" i="3"/>
  <c r="ACM20" i="3"/>
  <c r="ACI20" i="3"/>
  <c r="ACE20" i="3"/>
  <c r="ACA20" i="3"/>
  <c r="ABW20" i="3"/>
  <c r="ABS20" i="3"/>
  <c r="ABO20" i="3"/>
  <c r="ABK20" i="3"/>
  <c r="ABG20" i="3"/>
  <c r="ABC20" i="3"/>
  <c r="AAY20" i="3"/>
  <c r="AAU20" i="3"/>
  <c r="AAQ20" i="3"/>
  <c r="AAM20" i="3"/>
  <c r="AAI20" i="3"/>
  <c r="AAE20" i="3"/>
  <c r="AAA20" i="3"/>
  <c r="ZW20" i="3"/>
  <c r="ZS20" i="3"/>
  <c r="ZO20" i="3"/>
  <c r="ZK20" i="3"/>
  <c r="ZG20" i="3"/>
  <c r="ZC20" i="3"/>
  <c r="YY20" i="3"/>
  <c r="YU20" i="3"/>
  <c r="YQ20" i="3"/>
  <c r="YM20" i="3"/>
  <c r="YI20" i="3"/>
  <c r="YE20" i="3"/>
  <c r="YA20" i="3"/>
  <c r="XW20" i="3"/>
  <c r="XS20" i="3"/>
  <c r="XO20" i="3"/>
  <c r="XK20" i="3"/>
  <c r="XG20" i="3"/>
  <c r="XC20" i="3"/>
  <c r="WY20" i="3"/>
  <c r="WU20" i="3"/>
  <c r="WQ20" i="3"/>
  <c r="WM20" i="3"/>
  <c r="WI20" i="3"/>
  <c r="WE20" i="3"/>
  <c r="WA20" i="3"/>
  <c r="VW20" i="3"/>
  <c r="VS20" i="3"/>
  <c r="VO20" i="3"/>
  <c r="VK20" i="3"/>
  <c r="VG20" i="3"/>
  <c r="VC20" i="3"/>
  <c r="UY20" i="3"/>
  <c r="UU20" i="3"/>
  <c r="UQ20" i="3"/>
  <c r="UM20" i="3"/>
  <c r="UI20" i="3"/>
  <c r="UE20" i="3"/>
  <c r="UA20" i="3"/>
  <c r="TW20" i="3"/>
  <c r="TS20" i="3"/>
  <c r="TO20" i="3"/>
  <c r="TK20" i="3"/>
  <c r="TG20" i="3"/>
  <c r="TC20" i="3"/>
  <c r="SY20" i="3"/>
  <c r="SU20" i="3"/>
  <c r="SQ20" i="3"/>
  <c r="SM20" i="3"/>
  <c r="SI20" i="3"/>
  <c r="SE20" i="3"/>
  <c r="SA20" i="3"/>
  <c r="RW20" i="3"/>
  <c r="RS20" i="3"/>
  <c r="RO20" i="3"/>
  <c r="RK20" i="3"/>
  <c r="RG20" i="3"/>
  <c r="RC20" i="3"/>
  <c r="QY20" i="3"/>
  <c r="QU20" i="3"/>
  <c r="QQ20" i="3"/>
  <c r="QM20" i="3"/>
  <c r="QI20" i="3"/>
  <c r="QE20" i="3"/>
  <c r="QA20" i="3"/>
  <c r="PW20" i="3"/>
  <c r="PS20" i="3"/>
  <c r="PO20" i="3"/>
  <c r="PK20" i="3"/>
  <c r="PG20" i="3"/>
  <c r="PC20" i="3"/>
  <c r="OY20" i="3"/>
  <c r="OU20" i="3"/>
  <c r="OQ20" i="3"/>
  <c r="OM20" i="3"/>
  <c r="OI20" i="3"/>
  <c r="OE20" i="3"/>
  <c r="OA20" i="3"/>
  <c r="NW20" i="3"/>
  <c r="NS20" i="3"/>
  <c r="NO20" i="3"/>
  <c r="NK20" i="3"/>
  <c r="NG20" i="3"/>
  <c r="NC20" i="3"/>
  <c r="MY20" i="3"/>
  <c r="MU20" i="3"/>
  <c r="MQ20" i="3"/>
  <c r="MM20" i="3"/>
  <c r="MI20" i="3"/>
  <c r="ME20" i="3"/>
  <c r="MA20" i="3"/>
  <c r="LW20" i="3"/>
  <c r="LS20" i="3"/>
  <c r="LO20" i="3"/>
  <c r="LK20" i="3"/>
  <c r="LG20" i="3"/>
  <c r="LC20" i="3"/>
  <c r="KY20" i="3"/>
  <c r="KU20" i="3"/>
  <c r="KQ20" i="3"/>
  <c r="KM20" i="3"/>
  <c r="KI20" i="3"/>
  <c r="KE20" i="3"/>
  <c r="KA20" i="3"/>
  <c r="JW20" i="3"/>
  <c r="JS20" i="3"/>
  <c r="JO20" i="3"/>
  <c r="JK20" i="3"/>
  <c r="JG20" i="3"/>
  <c r="JC20" i="3"/>
  <c r="IY20" i="3"/>
  <c r="IU20" i="3"/>
  <c r="IQ20" i="3"/>
  <c r="IM20" i="3"/>
  <c r="II20" i="3"/>
  <c r="IE20" i="3"/>
  <c r="IA20" i="3"/>
  <c r="HW20" i="3"/>
  <c r="HS20" i="3"/>
  <c r="HO20" i="3"/>
  <c r="HK20" i="3"/>
  <c r="HG20" i="3"/>
  <c r="HC20" i="3"/>
  <c r="GY20" i="3"/>
  <c r="GU20" i="3"/>
  <c r="GQ20" i="3"/>
  <c r="GM20" i="3"/>
  <c r="GI20" i="3"/>
  <c r="GE20" i="3"/>
  <c r="GA20" i="3"/>
  <c r="FW20" i="3"/>
  <c r="FS20" i="3"/>
  <c r="FO20" i="3"/>
  <c r="FK20" i="3"/>
  <c r="FG20" i="3"/>
  <c r="FC20" i="3"/>
  <c r="EY20" i="3"/>
  <c r="EU20" i="3"/>
  <c r="EQ20" i="3"/>
  <c r="EM20" i="3"/>
  <c r="EI20" i="3"/>
  <c r="EE20" i="3"/>
  <c r="EA20" i="3"/>
  <c r="DW20" i="3"/>
  <c r="DS20" i="3"/>
  <c r="DO20" i="3"/>
  <c r="DK20" i="3"/>
  <c r="DG20" i="3"/>
  <c r="DC20" i="3"/>
  <c r="CY20" i="3"/>
  <c r="CU20" i="3"/>
  <c r="CQ20" i="3"/>
  <c r="CM20" i="3"/>
  <c r="CI20" i="3"/>
  <c r="CE20" i="3"/>
  <c r="CA20" i="3"/>
  <c r="BW20" i="3"/>
  <c r="BS20" i="3"/>
  <c r="BO20" i="3"/>
  <c r="BK20" i="3"/>
  <c r="BG20" i="3"/>
  <c r="BC20" i="3"/>
  <c r="AY20" i="3"/>
  <c r="AU20" i="3"/>
  <c r="AQ20" i="3"/>
  <c r="AM20" i="3"/>
  <c r="AI20" i="3"/>
  <c r="AE20" i="3"/>
  <c r="AA20" i="3"/>
  <c r="W20" i="3"/>
  <c r="S20" i="3"/>
  <c r="O20" i="3"/>
  <c r="K20" i="3"/>
  <c r="G20" i="3"/>
  <c r="ALN20" i="3"/>
  <c r="ALJ20" i="3"/>
  <c r="ALF20" i="3"/>
  <c r="ALB20" i="3"/>
  <c r="AKX20" i="3"/>
  <c r="AKT20" i="3"/>
  <c r="AKP20" i="3"/>
  <c r="AKL20" i="3"/>
  <c r="AKH20" i="3"/>
  <c r="AKD20" i="3"/>
  <c r="AJZ20" i="3"/>
  <c r="AJV20" i="3"/>
  <c r="AJR20" i="3"/>
  <c r="AJN20" i="3"/>
  <c r="AJJ20" i="3"/>
  <c r="AJF20" i="3"/>
  <c r="AJB20" i="3"/>
  <c r="AIX20" i="3"/>
  <c r="AIT20" i="3"/>
  <c r="AIP20" i="3"/>
  <c r="AIL20" i="3"/>
  <c r="AIH20" i="3"/>
  <c r="AID20" i="3"/>
  <c r="AHZ20" i="3"/>
  <c r="AHV20" i="3"/>
  <c r="AHR20" i="3"/>
  <c r="AHN20" i="3"/>
  <c r="AHJ20" i="3"/>
  <c r="AHF20" i="3"/>
  <c r="AHB20" i="3"/>
  <c r="AGX20" i="3"/>
  <c r="AGT20" i="3"/>
  <c r="AGP20" i="3"/>
  <c r="AGL20" i="3"/>
  <c r="AGH20" i="3"/>
  <c r="AGD20" i="3"/>
  <c r="AFZ20" i="3"/>
  <c r="AFV20" i="3"/>
  <c r="AFR20" i="3"/>
  <c r="AFN20" i="3"/>
  <c r="AFJ20" i="3"/>
  <c r="AFF20" i="3"/>
  <c r="AFB20" i="3"/>
  <c r="AEX20" i="3"/>
  <c r="AET20" i="3"/>
  <c r="AEP20" i="3"/>
  <c r="AEL20" i="3"/>
  <c r="AEH20" i="3"/>
  <c r="AED20" i="3"/>
  <c r="ADZ20" i="3"/>
  <c r="ADV20" i="3"/>
  <c r="ADR20" i="3"/>
  <c r="ADN20" i="3"/>
  <c r="ADJ20" i="3"/>
  <c r="ADF20" i="3"/>
  <c r="ADB20" i="3"/>
  <c r="ACX20" i="3"/>
  <c r="ACT20" i="3"/>
  <c r="ACP20" i="3"/>
  <c r="ACL20" i="3"/>
  <c r="ACH20" i="3"/>
  <c r="ACD20" i="3"/>
  <c r="ABZ20" i="3"/>
  <c r="ABV20" i="3"/>
  <c r="ABR20" i="3"/>
  <c r="ABN20" i="3"/>
  <c r="ABJ20" i="3"/>
  <c r="ABF20" i="3"/>
  <c r="ABB20" i="3"/>
  <c r="AAX20" i="3"/>
  <c r="AAT20" i="3"/>
  <c r="AAP20" i="3"/>
  <c r="AAL20" i="3"/>
  <c r="AAH20" i="3"/>
  <c r="AAD20" i="3"/>
  <c r="ZZ20" i="3"/>
  <c r="ZV20" i="3"/>
  <c r="ZR20" i="3"/>
  <c r="ZN20" i="3"/>
  <c r="ZJ20" i="3"/>
  <c r="ZF20" i="3"/>
  <c r="ZB20" i="3"/>
  <c r="YX20" i="3"/>
  <c r="YT20" i="3"/>
  <c r="YP20" i="3"/>
  <c r="YL20" i="3"/>
  <c r="YH20" i="3"/>
  <c r="YD20" i="3"/>
  <c r="XZ20" i="3"/>
  <c r="XV20" i="3"/>
  <c r="XR20" i="3"/>
  <c r="XN20" i="3"/>
  <c r="XJ20" i="3"/>
  <c r="XF20" i="3"/>
  <c r="XB20" i="3"/>
  <c r="WX20" i="3"/>
  <c r="WT20" i="3"/>
  <c r="WP20" i="3"/>
  <c r="WL20" i="3"/>
  <c r="WH20" i="3"/>
  <c r="WD20" i="3"/>
  <c r="VZ20" i="3"/>
  <c r="VV20" i="3"/>
  <c r="VR20" i="3"/>
  <c r="VN20" i="3"/>
  <c r="VJ20" i="3"/>
  <c r="VF20" i="3"/>
  <c r="VB20" i="3"/>
  <c r="UX20" i="3"/>
  <c r="UT20" i="3"/>
  <c r="UP20" i="3"/>
  <c r="UL20" i="3"/>
  <c r="UH20" i="3"/>
  <c r="UD20" i="3"/>
  <c r="TZ20" i="3"/>
  <c r="TV20" i="3"/>
  <c r="TR20" i="3"/>
  <c r="TN20" i="3"/>
  <c r="TJ20" i="3"/>
  <c r="TF20" i="3"/>
  <c r="TB20" i="3"/>
  <c r="SX20" i="3"/>
  <c r="ST20" i="3"/>
  <c r="SP20" i="3"/>
  <c r="SL20" i="3"/>
  <c r="SH20" i="3"/>
  <c r="SD20" i="3"/>
  <c r="RZ20" i="3"/>
  <c r="RV20" i="3"/>
  <c r="RR20" i="3"/>
  <c r="RN20" i="3"/>
  <c r="RJ20" i="3"/>
  <c r="RF20" i="3"/>
  <c r="RB20" i="3"/>
  <c r="QX20" i="3"/>
  <c r="QT20" i="3"/>
  <c r="QP20" i="3"/>
  <c r="QL20" i="3"/>
  <c r="QH20" i="3"/>
  <c r="QD20" i="3"/>
  <c r="PZ20" i="3"/>
  <c r="PV20" i="3"/>
  <c r="PR20" i="3"/>
  <c r="PN20" i="3"/>
  <c r="PJ20" i="3"/>
  <c r="PF20" i="3"/>
  <c r="PB20" i="3"/>
  <c r="OX20" i="3"/>
  <c r="OT20" i="3"/>
  <c r="OP20" i="3"/>
  <c r="OL20" i="3"/>
  <c r="OH20" i="3"/>
  <c r="OD20" i="3"/>
  <c r="NZ20" i="3"/>
  <c r="NV20" i="3"/>
  <c r="NR20" i="3"/>
  <c r="NN20" i="3"/>
  <c r="NJ20" i="3"/>
  <c r="NF20" i="3"/>
  <c r="NB20" i="3"/>
  <c r="MX20" i="3"/>
  <c r="MT20" i="3"/>
  <c r="MP20" i="3"/>
  <c r="ML20" i="3"/>
  <c r="MH20" i="3"/>
  <c r="MD20" i="3"/>
  <c r="LZ20" i="3"/>
  <c r="LV20" i="3"/>
  <c r="LR20" i="3"/>
  <c r="LN20" i="3"/>
  <c r="LJ20" i="3"/>
  <c r="LF20" i="3"/>
  <c r="LB20" i="3"/>
  <c r="KX20" i="3"/>
  <c r="KT20" i="3"/>
  <c r="KP20" i="3"/>
  <c r="KL20" i="3"/>
  <c r="KH20" i="3"/>
  <c r="KD20" i="3"/>
  <c r="JZ20" i="3"/>
  <c r="JV20" i="3"/>
  <c r="JR20" i="3"/>
  <c r="JN20" i="3"/>
  <c r="JJ20" i="3"/>
  <c r="JF20" i="3"/>
  <c r="JB20" i="3"/>
  <c r="IX20" i="3"/>
  <c r="IT20" i="3"/>
  <c r="IP20" i="3"/>
  <c r="IL20" i="3"/>
  <c r="IH20" i="3"/>
  <c r="ID20" i="3"/>
  <c r="HZ20" i="3"/>
  <c r="HV20" i="3"/>
  <c r="HR20" i="3"/>
  <c r="HN20" i="3"/>
  <c r="HJ20" i="3"/>
  <c r="HF20" i="3"/>
  <c r="HB20" i="3"/>
  <c r="GX20" i="3"/>
  <c r="GT20" i="3"/>
  <c r="GP20" i="3"/>
  <c r="GL20" i="3"/>
  <c r="GH20" i="3"/>
  <c r="GD20" i="3"/>
  <c r="FZ20" i="3"/>
  <c r="FV20" i="3"/>
  <c r="FR20" i="3"/>
  <c r="FN20" i="3"/>
  <c r="FJ20" i="3"/>
  <c r="FF20" i="3"/>
  <c r="FB20" i="3"/>
  <c r="EX20" i="3"/>
  <c r="ET20" i="3"/>
  <c r="EP20" i="3"/>
  <c r="EL20" i="3"/>
  <c r="EH20" i="3"/>
  <c r="ED20" i="3"/>
  <c r="DZ20" i="3"/>
  <c r="DV20" i="3"/>
  <c r="DR20" i="3"/>
  <c r="DN20" i="3"/>
  <c r="DJ20" i="3"/>
  <c r="DF20" i="3"/>
  <c r="DB20" i="3"/>
  <c r="CX20" i="3"/>
  <c r="CT20" i="3"/>
  <c r="CP20" i="3"/>
  <c r="CL20" i="3"/>
  <c r="CH20" i="3"/>
  <c r="CD20" i="3"/>
  <c r="BZ20" i="3"/>
  <c r="BV20" i="3"/>
  <c r="BR20" i="3"/>
  <c r="BN20" i="3"/>
  <c r="BJ20" i="3"/>
  <c r="BF20" i="3"/>
  <c r="BB20" i="3"/>
  <c r="AX20" i="3"/>
  <c r="AT20" i="3"/>
  <c r="AP20" i="3"/>
  <c r="AL20" i="3"/>
  <c r="AH20" i="3"/>
  <c r="AD20" i="3"/>
  <c r="Z20" i="3"/>
  <c r="V20" i="3"/>
  <c r="R20" i="3"/>
  <c r="N20" i="3"/>
  <c r="J20" i="3"/>
  <c r="ALO24" i="3"/>
  <c r="ALK24" i="3"/>
  <c r="ALG24" i="3"/>
  <c r="ALC24" i="3"/>
  <c r="AKY24" i="3"/>
  <c r="AKU24" i="3"/>
  <c r="AKQ24" i="3"/>
  <c r="AKM24" i="3"/>
  <c r="AKI24" i="3"/>
  <c r="AKE24" i="3"/>
  <c r="AKA24" i="3"/>
  <c r="AJW24" i="3"/>
  <c r="AJS24" i="3"/>
  <c r="AJO24" i="3"/>
  <c r="AJK24" i="3"/>
  <c r="AJG24" i="3"/>
  <c r="AJC24" i="3"/>
  <c r="AIY24" i="3"/>
  <c r="AIU24" i="3"/>
  <c r="AIQ24" i="3"/>
  <c r="AIM24" i="3"/>
  <c r="AII24" i="3"/>
  <c r="AIE24" i="3"/>
  <c r="AIA24" i="3"/>
  <c r="AHW24" i="3"/>
  <c r="AHS24" i="3"/>
  <c r="AHO24" i="3"/>
  <c r="AHK24" i="3"/>
  <c r="AHG24" i="3"/>
  <c r="AHC24" i="3"/>
  <c r="AGY24" i="3"/>
  <c r="AGU24" i="3"/>
  <c r="AGQ24" i="3"/>
  <c r="AGM24" i="3"/>
  <c r="AGI24" i="3"/>
  <c r="AGE24" i="3"/>
  <c r="AGA24" i="3"/>
  <c r="AFW24" i="3"/>
  <c r="AFS24" i="3"/>
  <c r="AFO24" i="3"/>
  <c r="AFK24" i="3"/>
  <c r="AFG24" i="3"/>
  <c r="AFC24" i="3"/>
  <c r="AEY24" i="3"/>
  <c r="AEU24" i="3"/>
  <c r="AEQ24" i="3"/>
  <c r="AEM24" i="3"/>
  <c r="AEI24" i="3"/>
  <c r="AEE24" i="3"/>
  <c r="AEA24" i="3"/>
  <c r="ADW24" i="3"/>
  <c r="ADS24" i="3"/>
  <c r="ADO24" i="3"/>
  <c r="ADK24" i="3"/>
  <c r="ADG24" i="3"/>
  <c r="ADC24" i="3"/>
  <c r="ACY24" i="3"/>
  <c r="ACU24" i="3"/>
  <c r="ACQ24" i="3"/>
  <c r="ACM24" i="3"/>
  <c r="ACI24" i="3"/>
  <c r="ACE24" i="3"/>
  <c r="ACA24" i="3"/>
  <c r="ABW24" i="3"/>
  <c r="ABS24" i="3"/>
  <c r="ABO24" i="3"/>
  <c r="ABK24" i="3"/>
  <c r="ABG24" i="3"/>
  <c r="ABC24" i="3"/>
  <c r="AAY24" i="3"/>
  <c r="AAU24" i="3"/>
  <c r="AAQ24" i="3"/>
  <c r="AAM24" i="3"/>
  <c r="AAI24" i="3"/>
  <c r="AAE24" i="3"/>
  <c r="AAA24" i="3"/>
  <c r="ZW24" i="3"/>
  <c r="ZS24" i="3"/>
  <c r="ZO24" i="3"/>
  <c r="ZK24" i="3"/>
  <c r="ZG24" i="3"/>
  <c r="ZC24" i="3"/>
  <c r="YY24" i="3"/>
  <c r="YU24" i="3"/>
  <c r="YQ24" i="3"/>
  <c r="YM24" i="3"/>
  <c r="YI24" i="3"/>
  <c r="YE24" i="3"/>
  <c r="YA24" i="3"/>
  <c r="XW24" i="3"/>
  <c r="XS24" i="3"/>
  <c r="XO24" i="3"/>
  <c r="XK24" i="3"/>
  <c r="XG24" i="3"/>
  <c r="XC24" i="3"/>
  <c r="WY24" i="3"/>
  <c r="WU24" i="3"/>
  <c r="WQ24" i="3"/>
  <c r="WM24" i="3"/>
  <c r="WI24" i="3"/>
  <c r="WE24" i="3"/>
  <c r="WA24" i="3"/>
  <c r="VW24" i="3"/>
  <c r="VS24" i="3"/>
  <c r="VO24" i="3"/>
  <c r="VK24" i="3"/>
  <c r="VG24" i="3"/>
  <c r="VC24" i="3"/>
  <c r="UY24" i="3"/>
  <c r="UU24" i="3"/>
  <c r="UQ24" i="3"/>
  <c r="UM24" i="3"/>
  <c r="UI24" i="3"/>
  <c r="UE24" i="3"/>
  <c r="UA24" i="3"/>
  <c r="TW24" i="3"/>
  <c r="TS24" i="3"/>
  <c r="TO24" i="3"/>
  <c r="TK24" i="3"/>
  <c r="TG24" i="3"/>
  <c r="TC24" i="3"/>
  <c r="SY24" i="3"/>
  <c r="SU24" i="3"/>
  <c r="SQ24" i="3"/>
  <c r="SM24" i="3"/>
  <c r="SI24" i="3"/>
  <c r="SE24" i="3"/>
  <c r="SA24" i="3"/>
  <c r="RW24" i="3"/>
  <c r="RS24" i="3"/>
  <c r="RO24" i="3"/>
  <c r="RK24" i="3"/>
  <c r="RG24" i="3"/>
  <c r="RC24" i="3"/>
  <c r="QY24" i="3"/>
  <c r="QU24" i="3"/>
  <c r="QQ24" i="3"/>
  <c r="QM24" i="3"/>
  <c r="QI24" i="3"/>
  <c r="QE24" i="3"/>
  <c r="QA24" i="3"/>
  <c r="PW24" i="3"/>
  <c r="PS24" i="3"/>
  <c r="PO24" i="3"/>
  <c r="PK24" i="3"/>
  <c r="PG24" i="3"/>
  <c r="PC24" i="3"/>
  <c r="OY24" i="3"/>
  <c r="OU24" i="3"/>
  <c r="OQ24" i="3"/>
  <c r="OM24" i="3"/>
  <c r="OI24" i="3"/>
  <c r="OE24" i="3"/>
  <c r="OA24" i="3"/>
  <c r="NW24" i="3"/>
  <c r="NS24" i="3"/>
  <c r="NO24" i="3"/>
  <c r="NK24" i="3"/>
  <c r="NG24" i="3"/>
  <c r="NC24" i="3"/>
  <c r="MY24" i="3"/>
  <c r="MU24" i="3"/>
  <c r="MQ24" i="3"/>
  <c r="MM24" i="3"/>
  <c r="MI24" i="3"/>
  <c r="ME24" i="3"/>
  <c r="MA24" i="3"/>
  <c r="LW24" i="3"/>
  <c r="LS24" i="3"/>
  <c r="LO24" i="3"/>
  <c r="LK24" i="3"/>
  <c r="LG24" i="3"/>
  <c r="LC24" i="3"/>
  <c r="KY24" i="3"/>
  <c r="KU24" i="3"/>
  <c r="KQ24" i="3"/>
  <c r="KM24" i="3"/>
  <c r="KI24" i="3"/>
  <c r="KE24" i="3"/>
  <c r="KA24" i="3"/>
  <c r="JW24" i="3"/>
  <c r="JS24" i="3"/>
  <c r="JO24" i="3"/>
  <c r="JK24" i="3"/>
  <c r="JG24" i="3"/>
  <c r="JC24" i="3"/>
  <c r="IY24" i="3"/>
  <c r="IU24" i="3"/>
  <c r="IQ24" i="3"/>
  <c r="IM24" i="3"/>
  <c r="II24" i="3"/>
  <c r="IE24" i="3"/>
  <c r="IA24" i="3"/>
  <c r="HW24" i="3"/>
  <c r="HS24" i="3"/>
  <c r="HO24" i="3"/>
  <c r="HK24" i="3"/>
  <c r="HG24" i="3"/>
  <c r="HC24" i="3"/>
  <c r="GY24" i="3"/>
  <c r="GU24" i="3"/>
  <c r="GQ24" i="3"/>
  <c r="GM24" i="3"/>
  <c r="GI24" i="3"/>
  <c r="GE24" i="3"/>
  <c r="GA24" i="3"/>
  <c r="FW24" i="3"/>
  <c r="FS24" i="3"/>
  <c r="FO24" i="3"/>
  <c r="FK24" i="3"/>
  <c r="FG24" i="3"/>
  <c r="FC24" i="3"/>
  <c r="EY24" i="3"/>
  <c r="EU24" i="3"/>
  <c r="EQ24" i="3"/>
  <c r="EM24" i="3"/>
  <c r="EI24" i="3"/>
  <c r="EE24" i="3"/>
  <c r="EA24" i="3"/>
  <c r="DW24" i="3"/>
  <c r="DS24" i="3"/>
  <c r="DO24" i="3"/>
  <c r="DK24" i="3"/>
  <c r="DG24" i="3"/>
  <c r="DC24" i="3"/>
  <c r="CY24" i="3"/>
  <c r="CU24" i="3"/>
  <c r="CQ24" i="3"/>
  <c r="CM24" i="3"/>
  <c r="CI24" i="3"/>
  <c r="CE24" i="3"/>
  <c r="CA24" i="3"/>
  <c r="BW24" i="3"/>
  <c r="BS24" i="3"/>
  <c r="BO24" i="3"/>
  <c r="BK24" i="3"/>
  <c r="BG24" i="3"/>
  <c r="BC24" i="3"/>
  <c r="AY24" i="3"/>
  <c r="AU24" i="3"/>
  <c r="AQ24" i="3"/>
  <c r="AM24" i="3"/>
  <c r="AI24" i="3"/>
  <c r="AE24" i="3"/>
  <c r="AA24" i="3"/>
  <c r="W24" i="3"/>
  <c r="S24" i="3"/>
  <c r="O24" i="3"/>
  <c r="K24" i="3"/>
  <c r="G24" i="3"/>
  <c r="ALN24" i="3"/>
  <c r="ALJ24" i="3"/>
  <c r="ALF24" i="3"/>
  <c r="ALB24" i="3"/>
  <c r="AKX24" i="3"/>
  <c r="AKT24" i="3"/>
  <c r="AKP24" i="3"/>
  <c r="AKL24" i="3"/>
  <c r="AKH24" i="3"/>
  <c r="AKD24" i="3"/>
  <c r="AJZ24" i="3"/>
  <c r="AJV24" i="3"/>
  <c r="AJR24" i="3"/>
  <c r="AJN24" i="3"/>
  <c r="AJJ24" i="3"/>
  <c r="AJF24" i="3"/>
  <c r="AJB24" i="3"/>
  <c r="AIX24" i="3"/>
  <c r="AIT24" i="3"/>
  <c r="AIP24" i="3"/>
  <c r="AIL24" i="3"/>
  <c r="AIH24" i="3"/>
  <c r="AID24" i="3"/>
  <c r="AHZ24" i="3"/>
  <c r="AHV24" i="3"/>
  <c r="AHR24" i="3"/>
  <c r="AHN24" i="3"/>
  <c r="AHJ24" i="3"/>
  <c r="AHF24" i="3"/>
  <c r="AHB24" i="3"/>
  <c r="AGX24" i="3"/>
  <c r="AGT24" i="3"/>
  <c r="AGP24" i="3"/>
  <c r="AGL24" i="3"/>
  <c r="AGH24" i="3"/>
  <c r="AGD24" i="3"/>
  <c r="AFZ24" i="3"/>
  <c r="AFV24" i="3"/>
  <c r="AFR24" i="3"/>
  <c r="AFN24" i="3"/>
  <c r="AFJ24" i="3"/>
  <c r="AFF24" i="3"/>
  <c r="AFB24" i="3"/>
  <c r="AEX24" i="3"/>
  <c r="AET24" i="3"/>
  <c r="AEP24" i="3"/>
  <c r="AEL24" i="3"/>
  <c r="AEH24" i="3"/>
  <c r="AED24" i="3"/>
  <c r="ADZ24" i="3"/>
  <c r="ADV24" i="3"/>
  <c r="ADR24" i="3"/>
  <c r="ADN24" i="3"/>
  <c r="ADJ24" i="3"/>
  <c r="ADF24" i="3"/>
  <c r="ADB24" i="3"/>
  <c r="ACX24" i="3"/>
  <c r="ACT24" i="3"/>
  <c r="ACP24" i="3"/>
  <c r="ACL24" i="3"/>
  <c r="ACH24" i="3"/>
  <c r="ACD24" i="3"/>
  <c r="ABZ24" i="3"/>
  <c r="ABV24" i="3"/>
  <c r="ABR24" i="3"/>
  <c r="ABN24" i="3"/>
  <c r="ABJ24" i="3"/>
  <c r="ABF24" i="3"/>
  <c r="ABB24" i="3"/>
  <c r="AAX24" i="3"/>
  <c r="AAT24" i="3"/>
  <c r="AAP24" i="3"/>
  <c r="AAL24" i="3"/>
  <c r="AAH24" i="3"/>
  <c r="AAD24" i="3"/>
  <c r="ZZ24" i="3"/>
  <c r="ZV24" i="3"/>
  <c r="ZR24" i="3"/>
  <c r="ZN24" i="3"/>
  <c r="ZJ24" i="3"/>
  <c r="ZF24" i="3"/>
  <c r="ZB24" i="3"/>
  <c r="YX24" i="3"/>
  <c r="YT24" i="3"/>
  <c r="YP24" i="3"/>
  <c r="YL24" i="3"/>
  <c r="YH24" i="3"/>
  <c r="YD24" i="3"/>
  <c r="XZ24" i="3"/>
  <c r="XV24" i="3"/>
  <c r="XR24" i="3"/>
  <c r="XN24" i="3"/>
  <c r="XJ24" i="3"/>
  <c r="XF24" i="3"/>
  <c r="XB24" i="3"/>
  <c r="WX24" i="3"/>
  <c r="WT24" i="3"/>
  <c r="WP24" i="3"/>
  <c r="WL24" i="3"/>
  <c r="WH24" i="3"/>
  <c r="WD24" i="3"/>
  <c r="VZ24" i="3"/>
  <c r="VV24" i="3"/>
  <c r="VR24" i="3"/>
  <c r="VN24" i="3"/>
  <c r="VJ24" i="3"/>
  <c r="VF24" i="3"/>
  <c r="VB24" i="3"/>
  <c r="UX24" i="3"/>
  <c r="UT24" i="3"/>
  <c r="UP24" i="3"/>
  <c r="UL24" i="3"/>
  <c r="UH24" i="3"/>
  <c r="UD24" i="3"/>
  <c r="TZ24" i="3"/>
  <c r="TV24" i="3"/>
  <c r="TR24" i="3"/>
  <c r="TN24" i="3"/>
  <c r="TJ24" i="3"/>
  <c r="TF24" i="3"/>
  <c r="TB24" i="3"/>
  <c r="SX24" i="3"/>
  <c r="ST24" i="3"/>
  <c r="SP24" i="3"/>
  <c r="SL24" i="3"/>
  <c r="SH24" i="3"/>
  <c r="SD24" i="3"/>
  <c r="RZ24" i="3"/>
  <c r="RV24" i="3"/>
  <c r="RR24" i="3"/>
  <c r="RN24" i="3"/>
  <c r="RJ24" i="3"/>
  <c r="RF24" i="3"/>
  <c r="RB24" i="3"/>
  <c r="QX24" i="3"/>
  <c r="QT24" i="3"/>
  <c r="QP24" i="3"/>
  <c r="QL24" i="3"/>
  <c r="QH24" i="3"/>
  <c r="QD24" i="3"/>
  <c r="PZ24" i="3"/>
  <c r="PV24" i="3"/>
  <c r="PR24" i="3"/>
  <c r="PN24" i="3"/>
  <c r="PJ24" i="3"/>
  <c r="PF24" i="3"/>
  <c r="PB24" i="3"/>
  <c r="OX24" i="3"/>
  <c r="OT24" i="3"/>
  <c r="OP24" i="3"/>
  <c r="OL24" i="3"/>
  <c r="OH24" i="3"/>
  <c r="OD24" i="3"/>
  <c r="NZ24" i="3"/>
  <c r="NV24" i="3"/>
  <c r="NR24" i="3"/>
  <c r="NN24" i="3"/>
  <c r="NJ24" i="3"/>
  <c r="NF24" i="3"/>
  <c r="NB24" i="3"/>
  <c r="MX24" i="3"/>
  <c r="MT24" i="3"/>
  <c r="MP24" i="3"/>
  <c r="ML24" i="3"/>
  <c r="MH24" i="3"/>
  <c r="MD24" i="3"/>
  <c r="LZ24" i="3"/>
  <c r="LV24" i="3"/>
  <c r="LR24" i="3"/>
  <c r="LN24" i="3"/>
  <c r="LJ24" i="3"/>
  <c r="LF24" i="3"/>
  <c r="LB24" i="3"/>
  <c r="KX24" i="3"/>
  <c r="KT24" i="3"/>
  <c r="KP24" i="3"/>
  <c r="KL24" i="3"/>
  <c r="KH24" i="3"/>
  <c r="KD24" i="3"/>
  <c r="JZ24" i="3"/>
  <c r="JV24" i="3"/>
  <c r="JR24" i="3"/>
  <c r="JN24" i="3"/>
  <c r="JJ24" i="3"/>
  <c r="JF24" i="3"/>
  <c r="JB24" i="3"/>
  <c r="IX24" i="3"/>
  <c r="IT24" i="3"/>
  <c r="IP24" i="3"/>
  <c r="IL24" i="3"/>
  <c r="IH24" i="3"/>
  <c r="ID24" i="3"/>
  <c r="HZ24" i="3"/>
  <c r="HV24" i="3"/>
  <c r="HR24" i="3"/>
  <c r="HN24" i="3"/>
  <c r="HJ24" i="3"/>
  <c r="HF24" i="3"/>
  <c r="HB24" i="3"/>
  <c r="GX24" i="3"/>
  <c r="GT24" i="3"/>
  <c r="GP24" i="3"/>
  <c r="GL24" i="3"/>
  <c r="GH24" i="3"/>
  <c r="GD24" i="3"/>
  <c r="FZ24" i="3"/>
  <c r="FV24" i="3"/>
  <c r="FR24" i="3"/>
  <c r="FN24" i="3"/>
  <c r="FJ24" i="3"/>
  <c r="FF24" i="3"/>
  <c r="FB24" i="3"/>
  <c r="EX24" i="3"/>
  <c r="ET24" i="3"/>
  <c r="EP24" i="3"/>
  <c r="EL24" i="3"/>
  <c r="EH24" i="3"/>
  <c r="ED24" i="3"/>
  <c r="DZ24" i="3"/>
  <c r="DV24" i="3"/>
  <c r="DR24" i="3"/>
  <c r="DN24" i="3"/>
  <c r="DJ24" i="3"/>
  <c r="DF24" i="3"/>
  <c r="DB24" i="3"/>
  <c r="CX24" i="3"/>
  <c r="CT24" i="3"/>
  <c r="CP24" i="3"/>
  <c r="CL24" i="3"/>
  <c r="CH24" i="3"/>
  <c r="CD24" i="3"/>
  <c r="BZ24" i="3"/>
  <c r="BV24" i="3"/>
  <c r="BR24" i="3"/>
  <c r="BN24" i="3"/>
  <c r="BJ24" i="3"/>
  <c r="BF24" i="3"/>
  <c r="BB24" i="3"/>
  <c r="AX24" i="3"/>
  <c r="AT24" i="3"/>
  <c r="AP24" i="3"/>
  <c r="AL24" i="3"/>
  <c r="AH24" i="3"/>
  <c r="AD24" i="3"/>
  <c r="Z24" i="3"/>
  <c r="V24" i="3"/>
  <c r="R24" i="3"/>
  <c r="N24" i="3"/>
  <c r="J24" i="3"/>
  <c r="ALQ24" i="3"/>
  <c r="ALM24" i="3"/>
  <c r="ALI24" i="3"/>
  <c r="ALE24" i="3"/>
  <c r="ALA24" i="3"/>
  <c r="AKW24" i="3"/>
  <c r="AKS24" i="3"/>
  <c r="AKO24" i="3"/>
  <c r="AKK24" i="3"/>
  <c r="AKG24" i="3"/>
  <c r="AKC24" i="3"/>
  <c r="AJY24" i="3"/>
  <c r="AJU24" i="3"/>
  <c r="AJQ24" i="3"/>
  <c r="AJM24" i="3"/>
  <c r="AJI24" i="3"/>
  <c r="AJE24" i="3"/>
  <c r="AJA24" i="3"/>
  <c r="AIW24" i="3"/>
  <c r="AIS24" i="3"/>
  <c r="AIO24" i="3"/>
  <c r="AIK24" i="3"/>
  <c r="AIG24" i="3"/>
  <c r="AIC24" i="3"/>
  <c r="AHY24" i="3"/>
  <c r="AHU24" i="3"/>
  <c r="AHQ24" i="3"/>
  <c r="AHM24" i="3"/>
  <c r="AHI24" i="3"/>
  <c r="AHE24" i="3"/>
  <c r="AHA24" i="3"/>
  <c r="AGW24" i="3"/>
  <c r="AGS24" i="3"/>
  <c r="AGO24" i="3"/>
  <c r="AGK24" i="3"/>
  <c r="AGG24" i="3"/>
  <c r="AGC24" i="3"/>
  <c r="AFY24" i="3"/>
  <c r="AFU24" i="3"/>
  <c r="AFQ24" i="3"/>
  <c r="AFM24" i="3"/>
  <c r="AFI24" i="3"/>
  <c r="AFE24" i="3"/>
  <c r="AFA24" i="3"/>
  <c r="AEW24" i="3"/>
  <c r="AES24" i="3"/>
  <c r="AEO24" i="3"/>
  <c r="AEK24" i="3"/>
  <c r="AEG24" i="3"/>
  <c r="AEC24" i="3"/>
  <c r="ADY24" i="3"/>
  <c r="ADU24" i="3"/>
  <c r="ADQ24" i="3"/>
  <c r="ADM24" i="3"/>
  <c r="ADI24" i="3"/>
  <c r="ADE24" i="3"/>
  <c r="ADA24" i="3"/>
  <c r="ACW24" i="3"/>
  <c r="ACS24" i="3"/>
  <c r="ACO24" i="3"/>
  <c r="ACK24" i="3"/>
  <c r="ACG24" i="3"/>
  <c r="ACC24" i="3"/>
  <c r="ABY24" i="3"/>
  <c r="ABU24" i="3"/>
  <c r="ABQ24" i="3"/>
  <c r="ABM24" i="3"/>
  <c r="ABI24" i="3"/>
  <c r="ABE24" i="3"/>
  <c r="ABA24" i="3"/>
  <c r="AAW24" i="3"/>
  <c r="AAS24" i="3"/>
  <c r="AAO24" i="3"/>
  <c r="AAK24" i="3"/>
  <c r="AAG24" i="3"/>
  <c r="AAC24" i="3"/>
  <c r="ZY24" i="3"/>
  <c r="ZU24" i="3"/>
  <c r="ZQ24" i="3"/>
  <c r="ZM24" i="3"/>
  <c r="ZI24" i="3"/>
  <c r="ZE24" i="3"/>
  <c r="ZA24" i="3"/>
  <c r="YW24" i="3"/>
  <c r="YS24" i="3"/>
  <c r="YO24" i="3"/>
  <c r="YK24" i="3"/>
  <c r="YG24" i="3"/>
  <c r="YC24" i="3"/>
  <c r="XY24" i="3"/>
  <c r="XU24" i="3"/>
  <c r="XQ24" i="3"/>
  <c r="XM24" i="3"/>
  <c r="XI24" i="3"/>
  <c r="XE24" i="3"/>
  <c r="XA24" i="3"/>
  <c r="WW24" i="3"/>
  <c r="WS24" i="3"/>
  <c r="WO24" i="3"/>
  <c r="WK24" i="3"/>
  <c r="WG24" i="3"/>
  <c r="WC24" i="3"/>
  <c r="VY24" i="3"/>
  <c r="VU24" i="3"/>
  <c r="VQ24" i="3"/>
  <c r="VM24" i="3"/>
  <c r="VI24" i="3"/>
  <c r="VE24" i="3"/>
  <c r="VA24" i="3"/>
  <c r="UW24" i="3"/>
  <c r="US24" i="3"/>
  <c r="UO24" i="3"/>
  <c r="UK24" i="3"/>
  <c r="UG24" i="3"/>
  <c r="UC24" i="3"/>
  <c r="TY24" i="3"/>
  <c r="TU24" i="3"/>
  <c r="TQ24" i="3"/>
  <c r="TM24" i="3"/>
  <c r="TI24" i="3"/>
  <c r="TE24" i="3"/>
  <c r="TA24" i="3"/>
  <c r="SW24" i="3"/>
  <c r="SS24" i="3"/>
  <c r="SO24" i="3"/>
  <c r="SK24" i="3"/>
  <c r="SG24" i="3"/>
  <c r="SC24" i="3"/>
  <c r="RY24" i="3"/>
  <c r="RU24" i="3"/>
  <c r="RQ24" i="3"/>
  <c r="RM24" i="3"/>
  <c r="RI24" i="3"/>
  <c r="RE24" i="3"/>
  <c r="RA24" i="3"/>
  <c r="QW24" i="3"/>
  <c r="QS24" i="3"/>
  <c r="QO24" i="3"/>
  <c r="QK24" i="3"/>
  <c r="QG24" i="3"/>
  <c r="QC24" i="3"/>
  <c r="PY24" i="3"/>
  <c r="PU24" i="3"/>
  <c r="PQ24" i="3"/>
  <c r="PM24" i="3"/>
  <c r="PI24" i="3"/>
  <c r="PE24" i="3"/>
  <c r="PA24" i="3"/>
  <c r="OW24" i="3"/>
  <c r="OS24" i="3"/>
  <c r="OO24" i="3"/>
  <c r="OK24" i="3"/>
  <c r="OG24" i="3"/>
  <c r="OC24" i="3"/>
  <c r="NY24" i="3"/>
  <c r="NU24" i="3"/>
  <c r="NQ24" i="3"/>
  <c r="NM24" i="3"/>
  <c r="NI24" i="3"/>
  <c r="NE24" i="3"/>
  <c r="NA24" i="3"/>
  <c r="MW24" i="3"/>
  <c r="MS24" i="3"/>
  <c r="MO24" i="3"/>
  <c r="MK24" i="3"/>
  <c r="MG24" i="3"/>
  <c r="MC24" i="3"/>
  <c r="LY24" i="3"/>
  <c r="LU24" i="3"/>
  <c r="LQ24" i="3"/>
  <c r="LM24" i="3"/>
  <c r="LI24" i="3"/>
  <c r="LE24" i="3"/>
  <c r="LA24" i="3"/>
  <c r="KW24" i="3"/>
  <c r="KS24" i="3"/>
  <c r="KO24" i="3"/>
  <c r="KK24" i="3"/>
  <c r="KG24" i="3"/>
  <c r="KC24" i="3"/>
  <c r="JY24" i="3"/>
  <c r="JU24" i="3"/>
  <c r="JQ24" i="3"/>
  <c r="JM24" i="3"/>
  <c r="JI24" i="3"/>
  <c r="JE24" i="3"/>
  <c r="JA24" i="3"/>
  <c r="IW24" i="3"/>
  <c r="IS24" i="3"/>
  <c r="IO24" i="3"/>
  <c r="IK24" i="3"/>
  <c r="IG24" i="3"/>
  <c r="IC24" i="3"/>
  <c r="HY24" i="3"/>
  <c r="HU24" i="3"/>
  <c r="HQ24" i="3"/>
  <c r="HM24" i="3"/>
  <c r="HI24" i="3"/>
  <c r="HE24" i="3"/>
  <c r="HA24" i="3"/>
  <c r="GW24" i="3"/>
  <c r="GS24" i="3"/>
  <c r="GO24" i="3"/>
  <c r="GK24" i="3"/>
  <c r="GG24" i="3"/>
  <c r="GC24" i="3"/>
  <c r="FY24" i="3"/>
  <c r="FU24" i="3"/>
  <c r="FQ24" i="3"/>
  <c r="FM24" i="3"/>
  <c r="FI24" i="3"/>
  <c r="FE24" i="3"/>
  <c r="FA24" i="3"/>
  <c r="EW24" i="3"/>
  <c r="ES24" i="3"/>
  <c r="EO24" i="3"/>
  <c r="EK24" i="3"/>
  <c r="EG24" i="3"/>
  <c r="EC24" i="3"/>
  <c r="DY24" i="3"/>
  <c r="DU24" i="3"/>
  <c r="DQ24" i="3"/>
  <c r="DM24" i="3"/>
  <c r="DI24" i="3"/>
  <c r="DE24" i="3"/>
  <c r="DA24" i="3"/>
  <c r="CW24" i="3"/>
  <c r="CS24" i="3"/>
  <c r="CO24" i="3"/>
  <c r="CK24" i="3"/>
  <c r="CG24" i="3"/>
  <c r="CC24" i="3"/>
  <c r="BY24" i="3"/>
  <c r="BU24" i="3"/>
  <c r="BQ24" i="3"/>
  <c r="BM24" i="3"/>
  <c r="BI24" i="3"/>
  <c r="BE24" i="3"/>
  <c r="BA24" i="3"/>
  <c r="AW24" i="3"/>
  <c r="AS24" i="3"/>
  <c r="AO24" i="3"/>
  <c r="AK24" i="3"/>
  <c r="AG24" i="3"/>
  <c r="AC24" i="3"/>
  <c r="Y24" i="3"/>
  <c r="U24" i="3"/>
  <c r="Q24" i="3"/>
  <c r="M24" i="3"/>
  <c r="I24" i="3"/>
  <c r="F24" i="3"/>
  <c r="ALQ28" i="3"/>
  <c r="ALM28" i="3"/>
  <c r="ALI28" i="3"/>
  <c r="ALE28" i="3"/>
  <c r="ALA28" i="3"/>
  <c r="AKW28" i="3"/>
  <c r="AKS28" i="3"/>
  <c r="AKO28" i="3"/>
  <c r="AKK28" i="3"/>
  <c r="AKG28" i="3"/>
  <c r="AKC28" i="3"/>
  <c r="AJY28" i="3"/>
  <c r="AJU28" i="3"/>
  <c r="AJQ28" i="3"/>
  <c r="AJM28" i="3"/>
  <c r="AJI28" i="3"/>
  <c r="AJE28" i="3"/>
  <c r="AJA28" i="3"/>
  <c r="AIW28" i="3"/>
  <c r="AIS28" i="3"/>
  <c r="AIO28" i="3"/>
  <c r="AIK28" i="3"/>
  <c r="AIG28" i="3"/>
  <c r="AIC28" i="3"/>
  <c r="AHY28" i="3"/>
  <c r="AHU28" i="3"/>
  <c r="AHQ28" i="3"/>
  <c r="AHM28" i="3"/>
  <c r="AHI28" i="3"/>
  <c r="AHE28" i="3"/>
  <c r="AHA28" i="3"/>
  <c r="AGW28" i="3"/>
  <c r="AGS28" i="3"/>
  <c r="AGO28" i="3"/>
  <c r="AGK28" i="3"/>
  <c r="AGG28" i="3"/>
  <c r="AGC28" i="3"/>
  <c r="AFY28" i="3"/>
  <c r="AFU28" i="3"/>
  <c r="AFQ28" i="3"/>
  <c r="AFM28" i="3"/>
  <c r="AFI28" i="3"/>
  <c r="AFE28" i="3"/>
  <c r="AFA28" i="3"/>
  <c r="AEW28" i="3"/>
  <c r="AES28" i="3"/>
  <c r="AEO28" i="3"/>
  <c r="AEK28" i="3"/>
  <c r="AEG28" i="3"/>
  <c r="AEC28" i="3"/>
  <c r="ADY28" i="3"/>
  <c r="ADU28" i="3"/>
  <c r="ADQ28" i="3"/>
  <c r="ADM28" i="3"/>
  <c r="ADI28" i="3"/>
  <c r="ADE28" i="3"/>
  <c r="ADA28" i="3"/>
  <c r="ACW28" i="3"/>
  <c r="ACS28" i="3"/>
  <c r="ACO28" i="3"/>
  <c r="ACK28" i="3"/>
  <c r="ACG28" i="3"/>
  <c r="ACC28" i="3"/>
  <c r="ABY28" i="3"/>
  <c r="ABU28" i="3"/>
  <c r="ABQ28" i="3"/>
  <c r="ABM28" i="3"/>
  <c r="ABI28" i="3"/>
  <c r="ABE28" i="3"/>
  <c r="ABA28" i="3"/>
  <c r="AAW28" i="3"/>
  <c r="AAS28" i="3"/>
  <c r="AAO28" i="3"/>
  <c r="AAK28" i="3"/>
  <c r="AAG28" i="3"/>
  <c r="AAC28" i="3"/>
  <c r="ZY28" i="3"/>
  <c r="ZU28" i="3"/>
  <c r="ZQ28" i="3"/>
  <c r="ZM28" i="3"/>
  <c r="ZI28" i="3"/>
  <c r="ZE28" i="3"/>
  <c r="ZA28" i="3"/>
  <c r="YW28" i="3"/>
  <c r="YS28" i="3"/>
  <c r="YO28" i="3"/>
  <c r="YK28" i="3"/>
  <c r="YG28" i="3"/>
  <c r="YC28" i="3"/>
  <c r="XY28" i="3"/>
  <c r="XU28" i="3"/>
  <c r="XQ28" i="3"/>
  <c r="XM28" i="3"/>
  <c r="XI28" i="3"/>
  <c r="XE28" i="3"/>
  <c r="XA28" i="3"/>
  <c r="WW28" i="3"/>
  <c r="WS28" i="3"/>
  <c r="WO28" i="3"/>
  <c r="WK28" i="3"/>
  <c r="WG28" i="3"/>
  <c r="WC28" i="3"/>
  <c r="VY28" i="3"/>
  <c r="VU28" i="3"/>
  <c r="VQ28" i="3"/>
  <c r="VM28" i="3"/>
  <c r="VI28" i="3"/>
  <c r="VE28" i="3"/>
  <c r="VA28" i="3"/>
  <c r="UW28" i="3"/>
  <c r="US28" i="3"/>
  <c r="UO28" i="3"/>
  <c r="UK28" i="3"/>
  <c r="UG28" i="3"/>
  <c r="UC28" i="3"/>
  <c r="TY28" i="3"/>
  <c r="TU28" i="3"/>
  <c r="TQ28" i="3"/>
  <c r="TM28" i="3"/>
  <c r="TI28" i="3"/>
  <c r="TE28" i="3"/>
  <c r="TA28" i="3"/>
  <c r="SW28" i="3"/>
  <c r="SS28" i="3"/>
  <c r="SO28" i="3"/>
  <c r="SK28" i="3"/>
  <c r="SG28" i="3"/>
  <c r="SC28" i="3"/>
  <c r="RY28" i="3"/>
  <c r="RU28" i="3"/>
  <c r="RQ28" i="3"/>
  <c r="RM28" i="3"/>
  <c r="RI28" i="3"/>
  <c r="RE28" i="3"/>
  <c r="RA28" i="3"/>
  <c r="QW28" i="3"/>
  <c r="QS28" i="3"/>
  <c r="QO28" i="3"/>
  <c r="QK28" i="3"/>
  <c r="QG28" i="3"/>
  <c r="QC28" i="3"/>
  <c r="PY28" i="3"/>
  <c r="PU28" i="3"/>
  <c r="PQ28" i="3"/>
  <c r="PM28" i="3"/>
  <c r="PI28" i="3"/>
  <c r="PE28" i="3"/>
  <c r="PA28" i="3"/>
  <c r="OW28" i="3"/>
  <c r="OS28" i="3"/>
  <c r="OO28" i="3"/>
  <c r="OK28" i="3"/>
  <c r="OG28" i="3"/>
  <c r="OC28" i="3"/>
  <c r="NY28" i="3"/>
  <c r="NU28" i="3"/>
  <c r="NQ28" i="3"/>
  <c r="NM28" i="3"/>
  <c r="NI28" i="3"/>
  <c r="NE28" i="3"/>
  <c r="NA28" i="3"/>
  <c r="MW28" i="3"/>
  <c r="MS28" i="3"/>
  <c r="MO28" i="3"/>
  <c r="MK28" i="3"/>
  <c r="MG28" i="3"/>
  <c r="MC28" i="3"/>
  <c r="LY28" i="3"/>
  <c r="LU28" i="3"/>
  <c r="LQ28" i="3"/>
  <c r="ALP28" i="3"/>
  <c r="ALL28" i="3"/>
  <c r="ALH28" i="3"/>
  <c r="ALD28" i="3"/>
  <c r="AKZ28" i="3"/>
  <c r="AKV28" i="3"/>
  <c r="AKR28" i="3"/>
  <c r="AKN28" i="3"/>
  <c r="AKJ28" i="3"/>
  <c r="AKF28" i="3"/>
  <c r="AKB28" i="3"/>
  <c r="AJX28" i="3"/>
  <c r="AJT28" i="3"/>
  <c r="AJP28" i="3"/>
  <c r="AJL28" i="3"/>
  <c r="AJH28" i="3"/>
  <c r="AJD28" i="3"/>
  <c r="AIZ28" i="3"/>
  <c r="AIV28" i="3"/>
  <c r="AIR28" i="3"/>
  <c r="AIN28" i="3"/>
  <c r="AIJ28" i="3"/>
  <c r="AIF28" i="3"/>
  <c r="AIB28" i="3"/>
  <c r="AHX28" i="3"/>
  <c r="AHT28" i="3"/>
  <c r="AHP28" i="3"/>
  <c r="AHL28" i="3"/>
  <c r="AHH28" i="3"/>
  <c r="AHD28" i="3"/>
  <c r="AGZ28" i="3"/>
  <c r="AGV28" i="3"/>
  <c r="AGR28" i="3"/>
  <c r="AGN28" i="3"/>
  <c r="AGJ28" i="3"/>
  <c r="AGF28" i="3"/>
  <c r="AGB28" i="3"/>
  <c r="AFX28" i="3"/>
  <c r="AFT28" i="3"/>
  <c r="AFP28" i="3"/>
  <c r="AFL28" i="3"/>
  <c r="AFH28" i="3"/>
  <c r="AFD28" i="3"/>
  <c r="AEZ28" i="3"/>
  <c r="AEV28" i="3"/>
  <c r="AER28" i="3"/>
  <c r="AEN28" i="3"/>
  <c r="AEJ28" i="3"/>
  <c r="AEF28" i="3"/>
  <c r="AEB28" i="3"/>
  <c r="ADX28" i="3"/>
  <c r="ADT28" i="3"/>
  <c r="ADP28" i="3"/>
  <c r="ADL28" i="3"/>
  <c r="ADH28" i="3"/>
  <c r="ADD28" i="3"/>
  <c r="ACZ28" i="3"/>
  <c r="ACV28" i="3"/>
  <c r="ACR28" i="3"/>
  <c r="ACN28" i="3"/>
  <c r="ACJ28" i="3"/>
  <c r="ACF28" i="3"/>
  <c r="ACB28" i="3"/>
  <c r="ABX28" i="3"/>
  <c r="ABT28" i="3"/>
  <c r="ABP28" i="3"/>
  <c r="ABL28" i="3"/>
  <c r="ABH28" i="3"/>
  <c r="ABD28" i="3"/>
  <c r="AAZ28" i="3"/>
  <c r="AAV28" i="3"/>
  <c r="AAR28" i="3"/>
  <c r="AAN28" i="3"/>
  <c r="AAJ28" i="3"/>
  <c r="AAF28" i="3"/>
  <c r="AAB28" i="3"/>
  <c r="ZX28" i="3"/>
  <c r="ZT28" i="3"/>
  <c r="ZP28" i="3"/>
  <c r="ZL28" i="3"/>
  <c r="ZH28" i="3"/>
  <c r="ZD28" i="3"/>
  <c r="YZ28" i="3"/>
  <c r="YV28" i="3"/>
  <c r="YR28" i="3"/>
  <c r="YN28" i="3"/>
  <c r="YJ28" i="3"/>
  <c r="YF28" i="3"/>
  <c r="YB28" i="3"/>
  <c r="XX28" i="3"/>
  <c r="XT28" i="3"/>
  <c r="XP28" i="3"/>
  <c r="XL28" i="3"/>
  <c r="XH28" i="3"/>
  <c r="XD28" i="3"/>
  <c r="WZ28" i="3"/>
  <c r="WV28" i="3"/>
  <c r="WR28" i="3"/>
  <c r="WN28" i="3"/>
  <c r="WJ28" i="3"/>
  <c r="WF28" i="3"/>
  <c r="WB28" i="3"/>
  <c r="VX28" i="3"/>
  <c r="VT28" i="3"/>
  <c r="VP28" i="3"/>
  <c r="VL28" i="3"/>
  <c r="VH28" i="3"/>
  <c r="VD28" i="3"/>
  <c r="UZ28" i="3"/>
  <c r="UV28" i="3"/>
  <c r="UR28" i="3"/>
  <c r="UN28" i="3"/>
  <c r="UJ28" i="3"/>
  <c r="UF28" i="3"/>
  <c r="UB28" i="3"/>
  <c r="TX28" i="3"/>
  <c r="TT28" i="3"/>
  <c r="TP28" i="3"/>
  <c r="TL28" i="3"/>
  <c r="TH28" i="3"/>
  <c r="TD28" i="3"/>
  <c r="SZ28" i="3"/>
  <c r="SV28" i="3"/>
  <c r="SR28" i="3"/>
  <c r="SN28" i="3"/>
  <c r="SJ28" i="3"/>
  <c r="SF28" i="3"/>
  <c r="SB28" i="3"/>
  <c r="RX28" i="3"/>
  <c r="RT28" i="3"/>
  <c r="RP28" i="3"/>
  <c r="RL28" i="3"/>
  <c r="RH28" i="3"/>
  <c r="RD28" i="3"/>
  <c r="QZ28" i="3"/>
  <c r="QV28" i="3"/>
  <c r="QR28" i="3"/>
  <c r="QN28" i="3"/>
  <c r="QJ28" i="3"/>
  <c r="QF28" i="3"/>
  <c r="QB28" i="3"/>
  <c r="PX28" i="3"/>
  <c r="PT28" i="3"/>
  <c r="PP28" i="3"/>
  <c r="PL28" i="3"/>
  <c r="PH28" i="3"/>
  <c r="PD28" i="3"/>
  <c r="OZ28" i="3"/>
  <c r="OV28" i="3"/>
  <c r="OR28" i="3"/>
  <c r="ON28" i="3"/>
  <c r="OJ28" i="3"/>
  <c r="OF28" i="3"/>
  <c r="OB28" i="3"/>
  <c r="NX28" i="3"/>
  <c r="NT28" i="3"/>
  <c r="NP28" i="3"/>
  <c r="NL28" i="3"/>
  <c r="NH28" i="3"/>
  <c r="ND28" i="3"/>
  <c r="MZ28" i="3"/>
  <c r="MV28" i="3"/>
  <c r="MR28" i="3"/>
  <c r="MN28" i="3"/>
  <c r="MJ28" i="3"/>
  <c r="MF28" i="3"/>
  <c r="MB28" i="3"/>
  <c r="LX28" i="3"/>
  <c r="LT28" i="3"/>
  <c r="ALJ28" i="3"/>
  <c r="ALB28" i="3"/>
  <c r="AKT28" i="3"/>
  <c r="AKL28" i="3"/>
  <c r="AKD28" i="3"/>
  <c r="AJV28" i="3"/>
  <c r="AJN28" i="3"/>
  <c r="AJF28" i="3"/>
  <c r="AIX28" i="3"/>
  <c r="AIP28" i="3"/>
  <c r="AIH28" i="3"/>
  <c r="AHZ28" i="3"/>
  <c r="AHR28" i="3"/>
  <c r="AHJ28" i="3"/>
  <c r="AHB28" i="3"/>
  <c r="AGT28" i="3"/>
  <c r="AGL28" i="3"/>
  <c r="AGD28" i="3"/>
  <c r="AFV28" i="3"/>
  <c r="AFN28" i="3"/>
  <c r="AFF28" i="3"/>
  <c r="AEX28" i="3"/>
  <c r="AEP28" i="3"/>
  <c r="AEH28" i="3"/>
  <c r="ADZ28" i="3"/>
  <c r="ADR28" i="3"/>
  <c r="ADJ28" i="3"/>
  <c r="ADB28" i="3"/>
  <c r="ACT28" i="3"/>
  <c r="ACL28" i="3"/>
  <c r="ACD28" i="3"/>
  <c r="ABV28" i="3"/>
  <c r="ABN28" i="3"/>
  <c r="ABF28" i="3"/>
  <c r="AAX28" i="3"/>
  <c r="AAP28" i="3"/>
  <c r="AAH28" i="3"/>
  <c r="ZZ28" i="3"/>
  <c r="ZR28" i="3"/>
  <c r="ZJ28" i="3"/>
  <c r="ZB28" i="3"/>
  <c r="YT28" i="3"/>
  <c r="YL28" i="3"/>
  <c r="YD28" i="3"/>
  <c r="XV28" i="3"/>
  <c r="XN28" i="3"/>
  <c r="XF28" i="3"/>
  <c r="WX28" i="3"/>
  <c r="WP28" i="3"/>
  <c r="WH28" i="3"/>
  <c r="VZ28" i="3"/>
  <c r="VR28" i="3"/>
  <c r="VJ28" i="3"/>
  <c r="VB28" i="3"/>
  <c r="UT28" i="3"/>
  <c r="UL28" i="3"/>
  <c r="UD28" i="3"/>
  <c r="TV28" i="3"/>
  <c r="TN28" i="3"/>
  <c r="TF28" i="3"/>
  <c r="SX28" i="3"/>
  <c r="SP28" i="3"/>
  <c r="SH28" i="3"/>
  <c r="RZ28" i="3"/>
  <c r="RR28" i="3"/>
  <c r="RJ28" i="3"/>
  <c r="RB28" i="3"/>
  <c r="QT28" i="3"/>
  <c r="QL28" i="3"/>
  <c r="QD28" i="3"/>
  <c r="PV28" i="3"/>
  <c r="PN28" i="3"/>
  <c r="PF28" i="3"/>
  <c r="OX28" i="3"/>
  <c r="OP28" i="3"/>
  <c r="OH28" i="3"/>
  <c r="NZ28" i="3"/>
  <c r="NR28" i="3"/>
  <c r="NJ28" i="3"/>
  <c r="NB28" i="3"/>
  <c r="MT28" i="3"/>
  <c r="ML28" i="3"/>
  <c r="MD28" i="3"/>
  <c r="LV28" i="3"/>
  <c r="LO28" i="3"/>
  <c r="LK28" i="3"/>
  <c r="LG28" i="3"/>
  <c r="LC28" i="3"/>
  <c r="KY28" i="3"/>
  <c r="KU28" i="3"/>
  <c r="KQ28" i="3"/>
  <c r="KM28" i="3"/>
  <c r="KI28" i="3"/>
  <c r="KE28" i="3"/>
  <c r="KA28" i="3"/>
  <c r="JW28" i="3"/>
  <c r="JS28" i="3"/>
  <c r="JO28" i="3"/>
  <c r="JK28" i="3"/>
  <c r="JG28" i="3"/>
  <c r="JC28" i="3"/>
  <c r="IY28" i="3"/>
  <c r="IU28" i="3"/>
  <c r="IQ28" i="3"/>
  <c r="IM28" i="3"/>
  <c r="II28" i="3"/>
  <c r="IE28" i="3"/>
  <c r="IA28" i="3"/>
  <c r="HW28" i="3"/>
  <c r="HS28" i="3"/>
  <c r="HO28" i="3"/>
  <c r="HK28" i="3"/>
  <c r="HG28" i="3"/>
  <c r="HC28" i="3"/>
  <c r="GY28" i="3"/>
  <c r="GU28" i="3"/>
  <c r="GQ28" i="3"/>
  <c r="GM28" i="3"/>
  <c r="GI28" i="3"/>
  <c r="GE28" i="3"/>
  <c r="GA28" i="3"/>
  <c r="FW28" i="3"/>
  <c r="FS28" i="3"/>
  <c r="FO28" i="3"/>
  <c r="FK28" i="3"/>
  <c r="FG28" i="3"/>
  <c r="FC28" i="3"/>
  <c r="EY28" i="3"/>
  <c r="EU28" i="3"/>
  <c r="EQ28" i="3"/>
  <c r="EM28" i="3"/>
  <c r="EI28" i="3"/>
  <c r="EE28" i="3"/>
  <c r="EA28" i="3"/>
  <c r="DW28" i="3"/>
  <c r="DS28" i="3"/>
  <c r="DO28" i="3"/>
  <c r="DK28" i="3"/>
  <c r="DG28" i="3"/>
  <c r="DC28" i="3"/>
  <c r="CY28" i="3"/>
  <c r="CU28" i="3"/>
  <c r="CQ28" i="3"/>
  <c r="CM28" i="3"/>
  <c r="CI28" i="3"/>
  <c r="CE28" i="3"/>
  <c r="CA28" i="3"/>
  <c r="BW28" i="3"/>
  <c r="BS28" i="3"/>
  <c r="BO28" i="3"/>
  <c r="BK28" i="3"/>
  <c r="BG28" i="3"/>
  <c r="BC28" i="3"/>
  <c r="AY28" i="3"/>
  <c r="AU28" i="3"/>
  <c r="AQ28" i="3"/>
  <c r="AM28" i="3"/>
  <c r="AI28" i="3"/>
  <c r="AE28" i="3"/>
  <c r="AA28" i="3"/>
  <c r="W28" i="3"/>
  <c r="S28" i="3"/>
  <c r="O28" i="3"/>
  <c r="K28" i="3"/>
  <c r="G28" i="3"/>
  <c r="ALO28" i="3"/>
  <c r="ALG28" i="3"/>
  <c r="AKY28" i="3"/>
  <c r="AKQ28" i="3"/>
  <c r="AKI28" i="3"/>
  <c r="AKA28" i="3"/>
  <c r="AJS28" i="3"/>
  <c r="AJK28" i="3"/>
  <c r="AJC28" i="3"/>
  <c r="AIU28" i="3"/>
  <c r="AIM28" i="3"/>
  <c r="AIE28" i="3"/>
  <c r="AHW28" i="3"/>
  <c r="AHO28" i="3"/>
  <c r="AHG28" i="3"/>
  <c r="AGY28" i="3"/>
  <c r="AGQ28" i="3"/>
  <c r="AGI28" i="3"/>
  <c r="AGA28" i="3"/>
  <c r="AFS28" i="3"/>
  <c r="AFK28" i="3"/>
  <c r="AFC28" i="3"/>
  <c r="AEU28" i="3"/>
  <c r="AEM28" i="3"/>
  <c r="AEE28" i="3"/>
  <c r="ADW28" i="3"/>
  <c r="ADO28" i="3"/>
  <c r="ADG28" i="3"/>
  <c r="ACY28" i="3"/>
  <c r="ACQ28" i="3"/>
  <c r="ACI28" i="3"/>
  <c r="ACA28" i="3"/>
  <c r="ABS28" i="3"/>
  <c r="ABK28" i="3"/>
  <c r="ABC28" i="3"/>
  <c r="AAU28" i="3"/>
  <c r="AAM28" i="3"/>
  <c r="AAE28" i="3"/>
  <c r="ZW28" i="3"/>
  <c r="ZO28" i="3"/>
  <c r="ZG28" i="3"/>
  <c r="YY28" i="3"/>
  <c r="YQ28" i="3"/>
  <c r="YI28" i="3"/>
  <c r="YA28" i="3"/>
  <c r="XS28" i="3"/>
  <c r="XK28" i="3"/>
  <c r="XC28" i="3"/>
  <c r="WU28" i="3"/>
  <c r="WM28" i="3"/>
  <c r="WE28" i="3"/>
  <c r="VW28" i="3"/>
  <c r="VO28" i="3"/>
  <c r="VG28" i="3"/>
  <c r="UY28" i="3"/>
  <c r="UQ28" i="3"/>
  <c r="UI28" i="3"/>
  <c r="UA28" i="3"/>
  <c r="TS28" i="3"/>
  <c r="TK28" i="3"/>
  <c r="TC28" i="3"/>
  <c r="SU28" i="3"/>
  <c r="SM28" i="3"/>
  <c r="SE28" i="3"/>
  <c r="RW28" i="3"/>
  <c r="RO28" i="3"/>
  <c r="RG28" i="3"/>
  <c r="QY28" i="3"/>
  <c r="QQ28" i="3"/>
  <c r="QI28" i="3"/>
  <c r="QA28" i="3"/>
  <c r="PS28" i="3"/>
  <c r="PK28" i="3"/>
  <c r="PC28" i="3"/>
  <c r="OU28" i="3"/>
  <c r="OM28" i="3"/>
  <c r="OE28" i="3"/>
  <c r="NW28" i="3"/>
  <c r="NO28" i="3"/>
  <c r="NG28" i="3"/>
  <c r="MY28" i="3"/>
  <c r="MQ28" i="3"/>
  <c r="MI28" i="3"/>
  <c r="MA28" i="3"/>
  <c r="LS28" i="3"/>
  <c r="LN28" i="3"/>
  <c r="LJ28" i="3"/>
  <c r="LF28" i="3"/>
  <c r="LB28" i="3"/>
  <c r="KX28" i="3"/>
  <c r="KT28" i="3"/>
  <c r="KP28" i="3"/>
  <c r="KL28" i="3"/>
  <c r="KH28" i="3"/>
  <c r="KD28" i="3"/>
  <c r="JZ28" i="3"/>
  <c r="JV28" i="3"/>
  <c r="JR28" i="3"/>
  <c r="JN28" i="3"/>
  <c r="JJ28" i="3"/>
  <c r="JF28" i="3"/>
  <c r="JB28" i="3"/>
  <c r="IX28" i="3"/>
  <c r="IT28" i="3"/>
  <c r="IP28" i="3"/>
  <c r="IL28" i="3"/>
  <c r="IH28" i="3"/>
  <c r="ID28" i="3"/>
  <c r="HZ28" i="3"/>
  <c r="HV28" i="3"/>
  <c r="HR28" i="3"/>
  <c r="HN28" i="3"/>
  <c r="HJ28" i="3"/>
  <c r="HF28" i="3"/>
  <c r="HB28" i="3"/>
  <c r="GX28" i="3"/>
  <c r="GT28" i="3"/>
  <c r="GP28" i="3"/>
  <c r="GL28" i="3"/>
  <c r="GH28" i="3"/>
  <c r="GD28" i="3"/>
  <c r="FZ28" i="3"/>
  <c r="FV28" i="3"/>
  <c r="FR28" i="3"/>
  <c r="FN28" i="3"/>
  <c r="FJ28" i="3"/>
  <c r="FF28" i="3"/>
  <c r="FB28" i="3"/>
  <c r="EX28" i="3"/>
  <c r="ET28" i="3"/>
  <c r="EP28" i="3"/>
  <c r="EL28" i="3"/>
  <c r="EH28" i="3"/>
  <c r="ED28" i="3"/>
  <c r="DZ28" i="3"/>
  <c r="DV28" i="3"/>
  <c r="DR28" i="3"/>
  <c r="DN28" i="3"/>
  <c r="DJ28" i="3"/>
  <c r="DF28" i="3"/>
  <c r="DB28" i="3"/>
  <c r="CX28" i="3"/>
  <c r="CT28" i="3"/>
  <c r="CP28" i="3"/>
  <c r="CL28" i="3"/>
  <c r="CH28" i="3"/>
  <c r="CD28" i="3"/>
  <c r="BZ28" i="3"/>
  <c r="BV28" i="3"/>
  <c r="BR28" i="3"/>
  <c r="BN28" i="3"/>
  <c r="BJ28" i="3"/>
  <c r="BF28" i="3"/>
  <c r="BB28" i="3"/>
  <c r="AX28" i="3"/>
  <c r="AT28" i="3"/>
  <c r="AP28" i="3"/>
  <c r="AL28" i="3"/>
  <c r="AH28" i="3"/>
  <c r="AD28" i="3"/>
  <c r="Z28" i="3"/>
  <c r="V28" i="3"/>
  <c r="R28" i="3"/>
  <c r="N28" i="3"/>
  <c r="J28" i="3"/>
  <c r="ALN28" i="3"/>
  <c r="ALF28" i="3"/>
  <c r="AKX28" i="3"/>
  <c r="AKP28" i="3"/>
  <c r="AKH28" i="3"/>
  <c r="AJZ28" i="3"/>
  <c r="AJR28" i="3"/>
  <c r="AJJ28" i="3"/>
  <c r="AJB28" i="3"/>
  <c r="AIT28" i="3"/>
  <c r="AIL28" i="3"/>
  <c r="AID28" i="3"/>
  <c r="AHV28" i="3"/>
  <c r="AHN28" i="3"/>
  <c r="AHF28" i="3"/>
  <c r="AGX28" i="3"/>
  <c r="AGP28" i="3"/>
  <c r="AGH28" i="3"/>
  <c r="AFZ28" i="3"/>
  <c r="AFR28" i="3"/>
  <c r="AFJ28" i="3"/>
  <c r="AFB28" i="3"/>
  <c r="AET28" i="3"/>
  <c r="AEL28" i="3"/>
  <c r="AED28" i="3"/>
  <c r="ADV28" i="3"/>
  <c r="ADN28" i="3"/>
  <c r="ADF28" i="3"/>
  <c r="ACX28" i="3"/>
  <c r="ACP28" i="3"/>
  <c r="ACH28" i="3"/>
  <c r="ABZ28" i="3"/>
  <c r="ABR28" i="3"/>
  <c r="ABJ28" i="3"/>
  <c r="ABB28" i="3"/>
  <c r="AAT28" i="3"/>
  <c r="AAL28" i="3"/>
  <c r="AAD28" i="3"/>
  <c r="ZV28" i="3"/>
  <c r="ZN28" i="3"/>
  <c r="ZF28" i="3"/>
  <c r="YX28" i="3"/>
  <c r="YP28" i="3"/>
  <c r="YH28" i="3"/>
  <c r="XZ28" i="3"/>
  <c r="XR28" i="3"/>
  <c r="XJ28" i="3"/>
  <c r="XB28" i="3"/>
  <c r="WT28" i="3"/>
  <c r="WL28" i="3"/>
  <c r="WD28" i="3"/>
  <c r="VV28" i="3"/>
  <c r="VN28" i="3"/>
  <c r="VF28" i="3"/>
  <c r="UX28" i="3"/>
  <c r="UP28" i="3"/>
  <c r="UH28" i="3"/>
  <c r="TZ28" i="3"/>
  <c r="TR28" i="3"/>
  <c r="TJ28" i="3"/>
  <c r="TB28" i="3"/>
  <c r="ST28" i="3"/>
  <c r="SL28" i="3"/>
  <c r="SD28" i="3"/>
  <c r="RV28" i="3"/>
  <c r="RN28" i="3"/>
  <c r="RF28" i="3"/>
  <c r="QX28" i="3"/>
  <c r="QP28" i="3"/>
  <c r="QH28" i="3"/>
  <c r="PZ28" i="3"/>
  <c r="PR28" i="3"/>
  <c r="PJ28" i="3"/>
  <c r="PB28" i="3"/>
  <c r="OT28" i="3"/>
  <c r="OL28" i="3"/>
  <c r="OD28" i="3"/>
  <c r="NV28" i="3"/>
  <c r="NN28" i="3"/>
  <c r="NF28" i="3"/>
  <c r="MX28" i="3"/>
  <c r="MP28" i="3"/>
  <c r="MH28" i="3"/>
  <c r="LZ28" i="3"/>
  <c r="LR28" i="3"/>
  <c r="LM28" i="3"/>
  <c r="LI28" i="3"/>
  <c r="LE28" i="3"/>
  <c r="LA28" i="3"/>
  <c r="KW28" i="3"/>
  <c r="KS28" i="3"/>
  <c r="KO28" i="3"/>
  <c r="KK28" i="3"/>
  <c r="KG28" i="3"/>
  <c r="KC28" i="3"/>
  <c r="JY28" i="3"/>
  <c r="JU28" i="3"/>
  <c r="JQ28" i="3"/>
  <c r="JM28" i="3"/>
  <c r="JI28" i="3"/>
  <c r="JE28" i="3"/>
  <c r="JA28" i="3"/>
  <c r="IW28" i="3"/>
  <c r="IS28" i="3"/>
  <c r="IO28" i="3"/>
  <c r="IK28" i="3"/>
  <c r="IG28" i="3"/>
  <c r="IC28" i="3"/>
  <c r="HY28" i="3"/>
  <c r="HU28" i="3"/>
  <c r="HQ28" i="3"/>
  <c r="HM28" i="3"/>
  <c r="HI28" i="3"/>
  <c r="HE28" i="3"/>
  <c r="HA28" i="3"/>
  <c r="GW28" i="3"/>
  <c r="GS28" i="3"/>
  <c r="GO28" i="3"/>
  <c r="GK28" i="3"/>
  <c r="GG28" i="3"/>
  <c r="GC28" i="3"/>
  <c r="FY28" i="3"/>
  <c r="FU28" i="3"/>
  <c r="FQ28" i="3"/>
  <c r="FM28" i="3"/>
  <c r="FI28" i="3"/>
  <c r="FE28" i="3"/>
  <c r="FA28" i="3"/>
  <c r="EW28" i="3"/>
  <c r="ES28" i="3"/>
  <c r="EO28" i="3"/>
  <c r="EK28" i="3"/>
  <c r="EG28" i="3"/>
  <c r="EC28" i="3"/>
  <c r="DY28" i="3"/>
  <c r="DU28" i="3"/>
  <c r="DQ28" i="3"/>
  <c r="DM28" i="3"/>
  <c r="DI28" i="3"/>
  <c r="DE28" i="3"/>
  <c r="DA28" i="3"/>
  <c r="CW28" i="3"/>
  <c r="CS28" i="3"/>
  <c r="CO28" i="3"/>
  <c r="CK28" i="3"/>
  <c r="CG28" i="3"/>
  <c r="CC28" i="3"/>
  <c r="BY28" i="3"/>
  <c r="BU28" i="3"/>
  <c r="BQ28" i="3"/>
  <c r="BM28" i="3"/>
  <c r="BI28" i="3"/>
  <c r="BE28" i="3"/>
  <c r="BA28" i="3"/>
  <c r="AW28" i="3"/>
  <c r="AS28" i="3"/>
  <c r="AO28" i="3"/>
  <c r="AK28" i="3"/>
  <c r="AG28" i="3"/>
  <c r="AC28" i="3"/>
  <c r="Y28" i="3"/>
  <c r="U28" i="3"/>
  <c r="Q28" i="3"/>
  <c r="M28" i="3"/>
  <c r="I28" i="3"/>
  <c r="F28" i="3"/>
  <c r="ALQ32" i="3"/>
  <c r="ALM32" i="3"/>
  <c r="ALI32" i="3"/>
  <c r="ALE32" i="3"/>
  <c r="ALA32" i="3"/>
  <c r="AKW32" i="3"/>
  <c r="AKS32" i="3"/>
  <c r="AKO32" i="3"/>
  <c r="AKK32" i="3"/>
  <c r="AKG32" i="3"/>
  <c r="AKC32" i="3"/>
  <c r="AJY32" i="3"/>
  <c r="AJU32" i="3"/>
  <c r="AJQ32" i="3"/>
  <c r="AJM32" i="3"/>
  <c r="AJI32" i="3"/>
  <c r="AJE32" i="3"/>
  <c r="AJA32" i="3"/>
  <c r="AIW32" i="3"/>
  <c r="AIS32" i="3"/>
  <c r="AIO32" i="3"/>
  <c r="ALN32" i="3"/>
  <c r="ALH32" i="3"/>
  <c r="ALC32" i="3"/>
  <c r="AKX32" i="3"/>
  <c r="AKR32" i="3"/>
  <c r="AKM32" i="3"/>
  <c r="AKH32" i="3"/>
  <c r="AKB32" i="3"/>
  <c r="AJW32" i="3"/>
  <c r="AJR32" i="3"/>
  <c r="AJL32" i="3"/>
  <c r="AJG32" i="3"/>
  <c r="AJB32" i="3"/>
  <c r="AIV32" i="3"/>
  <c r="AIQ32" i="3"/>
  <c r="AIL32" i="3"/>
  <c r="AIH32" i="3"/>
  <c r="AID32" i="3"/>
  <c r="AHZ32" i="3"/>
  <c r="AHV32" i="3"/>
  <c r="AHR32" i="3"/>
  <c r="AHN32" i="3"/>
  <c r="AHJ32" i="3"/>
  <c r="AHF32" i="3"/>
  <c r="AHB32" i="3"/>
  <c r="AGX32" i="3"/>
  <c r="AGT32" i="3"/>
  <c r="AGP32" i="3"/>
  <c r="AGL32" i="3"/>
  <c r="AGH32" i="3"/>
  <c r="AGD32" i="3"/>
  <c r="AFZ32" i="3"/>
  <c r="AFV32" i="3"/>
  <c r="AFR32" i="3"/>
  <c r="AFN32" i="3"/>
  <c r="AFJ32" i="3"/>
  <c r="AFF32" i="3"/>
  <c r="AFB32" i="3"/>
  <c r="AEX32" i="3"/>
  <c r="AET32" i="3"/>
  <c r="AEP32" i="3"/>
  <c r="AEL32" i="3"/>
  <c r="AEH32" i="3"/>
  <c r="AED32" i="3"/>
  <c r="ADZ32" i="3"/>
  <c r="ADV32" i="3"/>
  <c r="ADR32" i="3"/>
  <c r="ADN32" i="3"/>
  <c r="ADJ32" i="3"/>
  <c r="ADF32" i="3"/>
  <c r="ADB32" i="3"/>
  <c r="ACX32" i="3"/>
  <c r="ACT32" i="3"/>
  <c r="ACP32" i="3"/>
  <c r="ACL32" i="3"/>
  <c r="ACH32" i="3"/>
  <c r="ACD32" i="3"/>
  <c r="ABZ32" i="3"/>
  <c r="ABV32" i="3"/>
  <c r="ABR32" i="3"/>
  <c r="ABN32" i="3"/>
  <c r="ABJ32" i="3"/>
  <c r="ABF32" i="3"/>
  <c r="ABB32" i="3"/>
  <c r="AAX32" i="3"/>
  <c r="AAT32" i="3"/>
  <c r="AAP32" i="3"/>
  <c r="AAL32" i="3"/>
  <c r="AAH32" i="3"/>
  <c r="AAD32" i="3"/>
  <c r="ZZ32" i="3"/>
  <c r="ZV32" i="3"/>
  <c r="ZR32" i="3"/>
  <c r="ZN32" i="3"/>
  <c r="ZJ32" i="3"/>
  <c r="ZF32" i="3"/>
  <c r="ZB32" i="3"/>
  <c r="YX32" i="3"/>
  <c r="YT32" i="3"/>
  <c r="YP32" i="3"/>
  <c r="YL32" i="3"/>
  <c r="YH32" i="3"/>
  <c r="YD32" i="3"/>
  <c r="XZ32" i="3"/>
  <c r="XV32" i="3"/>
  <c r="XR32" i="3"/>
  <c r="XN32" i="3"/>
  <c r="XJ32" i="3"/>
  <c r="XF32" i="3"/>
  <c r="XB32" i="3"/>
  <c r="WX32" i="3"/>
  <c r="WT32" i="3"/>
  <c r="WP32" i="3"/>
  <c r="WL32" i="3"/>
  <c r="WH32" i="3"/>
  <c r="WD32" i="3"/>
  <c r="VZ32" i="3"/>
  <c r="VV32" i="3"/>
  <c r="VR32" i="3"/>
  <c r="VN32" i="3"/>
  <c r="VJ32" i="3"/>
  <c r="VF32" i="3"/>
  <c r="VB32" i="3"/>
  <c r="UX32" i="3"/>
  <c r="UT32" i="3"/>
  <c r="UP32" i="3"/>
  <c r="UL32" i="3"/>
  <c r="UH32" i="3"/>
  <c r="UD32" i="3"/>
  <c r="TZ32" i="3"/>
  <c r="TV32" i="3"/>
  <c r="TR32" i="3"/>
  <c r="TN32" i="3"/>
  <c r="TJ32" i="3"/>
  <c r="TF32" i="3"/>
  <c r="TB32" i="3"/>
  <c r="SX32" i="3"/>
  <c r="ST32" i="3"/>
  <c r="SP32" i="3"/>
  <c r="SL32" i="3"/>
  <c r="SH32" i="3"/>
  <c r="SD32" i="3"/>
  <c r="RZ32" i="3"/>
  <c r="RV32" i="3"/>
  <c r="RR32" i="3"/>
  <c r="RN32" i="3"/>
  <c r="RJ32" i="3"/>
  <c r="RF32" i="3"/>
  <c r="RB32" i="3"/>
  <c r="QX32" i="3"/>
  <c r="QT32" i="3"/>
  <c r="QP32" i="3"/>
  <c r="QL32" i="3"/>
  <c r="QH32" i="3"/>
  <c r="QD32" i="3"/>
  <c r="PZ32" i="3"/>
  <c r="PV32" i="3"/>
  <c r="PR32" i="3"/>
  <c r="PN32" i="3"/>
  <c r="PJ32" i="3"/>
  <c r="PF32" i="3"/>
  <c r="PB32" i="3"/>
  <c r="OX32" i="3"/>
  <c r="OT32" i="3"/>
  <c r="OP32" i="3"/>
  <c r="OL32" i="3"/>
  <c r="OH32" i="3"/>
  <c r="OD32" i="3"/>
  <c r="NZ32" i="3"/>
  <c r="NV32" i="3"/>
  <c r="NR32" i="3"/>
  <c r="NN32" i="3"/>
  <c r="NJ32" i="3"/>
  <c r="NF32" i="3"/>
  <c r="NB32" i="3"/>
  <c r="MX32" i="3"/>
  <c r="MT32" i="3"/>
  <c r="MP32" i="3"/>
  <c r="ML32" i="3"/>
  <c r="MH32" i="3"/>
  <c r="MD32" i="3"/>
  <c r="LZ32" i="3"/>
  <c r="LV32" i="3"/>
  <c r="LR32" i="3"/>
  <c r="LN32" i="3"/>
  <c r="LJ32" i="3"/>
  <c r="LF32" i="3"/>
  <c r="LB32" i="3"/>
  <c r="KX32" i="3"/>
  <c r="KT32" i="3"/>
  <c r="KP32" i="3"/>
  <c r="KL32" i="3"/>
  <c r="KH32" i="3"/>
  <c r="KD32" i="3"/>
  <c r="JZ32" i="3"/>
  <c r="JV32" i="3"/>
  <c r="JR32" i="3"/>
  <c r="JN32" i="3"/>
  <c r="JJ32" i="3"/>
  <c r="JF32" i="3"/>
  <c r="JB32" i="3"/>
  <c r="IX32" i="3"/>
  <c r="IT32" i="3"/>
  <c r="IP32" i="3"/>
  <c r="IL32" i="3"/>
  <c r="IH32" i="3"/>
  <c r="ID32" i="3"/>
  <c r="HZ32" i="3"/>
  <c r="HV32" i="3"/>
  <c r="HR32" i="3"/>
  <c r="HN32" i="3"/>
  <c r="HJ32" i="3"/>
  <c r="HF32" i="3"/>
  <c r="HB32" i="3"/>
  <c r="GX32" i="3"/>
  <c r="GT32" i="3"/>
  <c r="GP32" i="3"/>
  <c r="GL32" i="3"/>
  <c r="GH32" i="3"/>
  <c r="GD32" i="3"/>
  <c r="FZ32" i="3"/>
  <c r="FV32" i="3"/>
  <c r="FR32" i="3"/>
  <c r="FN32" i="3"/>
  <c r="FJ32" i="3"/>
  <c r="FF32" i="3"/>
  <c r="FB32" i="3"/>
  <c r="EX32" i="3"/>
  <c r="ET32" i="3"/>
  <c r="EP32" i="3"/>
  <c r="EL32" i="3"/>
  <c r="EH32" i="3"/>
  <c r="ED32" i="3"/>
  <c r="DZ32" i="3"/>
  <c r="DV32" i="3"/>
  <c r="DR32" i="3"/>
  <c r="DN32" i="3"/>
  <c r="DJ32" i="3"/>
  <c r="DF32" i="3"/>
  <c r="DB32" i="3"/>
  <c r="CX32" i="3"/>
  <c r="CT32" i="3"/>
  <c r="CP32" i="3"/>
  <c r="CL32" i="3"/>
  <c r="CH32" i="3"/>
  <c r="CD32" i="3"/>
  <c r="BZ32" i="3"/>
  <c r="BV32" i="3"/>
  <c r="BR32" i="3"/>
  <c r="BN32" i="3"/>
  <c r="BJ32" i="3"/>
  <c r="BF32" i="3"/>
  <c r="BB32" i="3"/>
  <c r="AX32" i="3"/>
  <c r="AT32" i="3"/>
  <c r="AP32" i="3"/>
  <c r="AL32" i="3"/>
  <c r="AH32" i="3"/>
  <c r="AD32" i="3"/>
  <c r="Z32" i="3"/>
  <c r="V32" i="3"/>
  <c r="R32" i="3"/>
  <c r="N32" i="3"/>
  <c r="J32" i="3"/>
  <c r="ALL32" i="3"/>
  <c r="ALG32" i="3"/>
  <c r="ALB32" i="3"/>
  <c r="AKV32" i="3"/>
  <c r="AKQ32" i="3"/>
  <c r="AKL32" i="3"/>
  <c r="AKF32" i="3"/>
  <c r="AKA32" i="3"/>
  <c r="AJV32" i="3"/>
  <c r="AJP32" i="3"/>
  <c r="AJK32" i="3"/>
  <c r="AJF32" i="3"/>
  <c r="AIZ32" i="3"/>
  <c r="AIU32" i="3"/>
  <c r="AIP32" i="3"/>
  <c r="AIK32" i="3"/>
  <c r="AIG32" i="3"/>
  <c r="AIC32" i="3"/>
  <c r="AHY32" i="3"/>
  <c r="AHU32" i="3"/>
  <c r="AHQ32" i="3"/>
  <c r="AHM32" i="3"/>
  <c r="AHI32" i="3"/>
  <c r="AHE32" i="3"/>
  <c r="AHA32" i="3"/>
  <c r="AGW32" i="3"/>
  <c r="AGS32" i="3"/>
  <c r="AGO32" i="3"/>
  <c r="AGK32" i="3"/>
  <c r="AGG32" i="3"/>
  <c r="AGC32" i="3"/>
  <c r="AFY32" i="3"/>
  <c r="AFU32" i="3"/>
  <c r="AFQ32" i="3"/>
  <c r="AFM32" i="3"/>
  <c r="AFI32" i="3"/>
  <c r="AFE32" i="3"/>
  <c r="AFA32" i="3"/>
  <c r="AEW32" i="3"/>
  <c r="AES32" i="3"/>
  <c r="AEO32" i="3"/>
  <c r="AEK32" i="3"/>
  <c r="AEG32" i="3"/>
  <c r="AEC32" i="3"/>
  <c r="ADY32" i="3"/>
  <c r="ADU32" i="3"/>
  <c r="ADQ32" i="3"/>
  <c r="ADM32" i="3"/>
  <c r="ADI32" i="3"/>
  <c r="ADE32" i="3"/>
  <c r="ADA32" i="3"/>
  <c r="ACW32" i="3"/>
  <c r="ACS32" i="3"/>
  <c r="ACO32" i="3"/>
  <c r="ACK32" i="3"/>
  <c r="ACG32" i="3"/>
  <c r="ACC32" i="3"/>
  <c r="ABY32" i="3"/>
  <c r="ABU32" i="3"/>
  <c r="ABQ32" i="3"/>
  <c r="ABM32" i="3"/>
  <c r="ABI32" i="3"/>
  <c r="ABE32" i="3"/>
  <c r="ABA32" i="3"/>
  <c r="AAW32" i="3"/>
  <c r="AAS32" i="3"/>
  <c r="AAO32" i="3"/>
  <c r="AAK32" i="3"/>
  <c r="AAG32" i="3"/>
  <c r="AAC32" i="3"/>
  <c r="ZY32" i="3"/>
  <c r="ZU32" i="3"/>
  <c r="ZQ32" i="3"/>
  <c r="ZM32" i="3"/>
  <c r="ZI32" i="3"/>
  <c r="ZE32" i="3"/>
  <c r="ZA32" i="3"/>
  <c r="YW32" i="3"/>
  <c r="YS32" i="3"/>
  <c r="YO32" i="3"/>
  <c r="YK32" i="3"/>
  <c r="YG32" i="3"/>
  <c r="YC32" i="3"/>
  <c r="XY32" i="3"/>
  <c r="XU32" i="3"/>
  <c r="XQ32" i="3"/>
  <c r="XM32" i="3"/>
  <c r="XI32" i="3"/>
  <c r="XE32" i="3"/>
  <c r="XA32" i="3"/>
  <c r="WW32" i="3"/>
  <c r="WS32" i="3"/>
  <c r="WO32" i="3"/>
  <c r="WK32" i="3"/>
  <c r="WG32" i="3"/>
  <c r="WC32" i="3"/>
  <c r="VY32" i="3"/>
  <c r="VU32" i="3"/>
  <c r="VQ32" i="3"/>
  <c r="VM32" i="3"/>
  <c r="VI32" i="3"/>
  <c r="VE32" i="3"/>
  <c r="VA32" i="3"/>
  <c r="UW32" i="3"/>
  <c r="US32" i="3"/>
  <c r="UO32" i="3"/>
  <c r="UK32" i="3"/>
  <c r="UG32" i="3"/>
  <c r="UC32" i="3"/>
  <c r="TY32" i="3"/>
  <c r="TU32" i="3"/>
  <c r="TQ32" i="3"/>
  <c r="TM32" i="3"/>
  <c r="TI32" i="3"/>
  <c r="TE32" i="3"/>
  <c r="TA32" i="3"/>
  <c r="SW32" i="3"/>
  <c r="SS32" i="3"/>
  <c r="SO32" i="3"/>
  <c r="SK32" i="3"/>
  <c r="SG32" i="3"/>
  <c r="SC32" i="3"/>
  <c r="RY32" i="3"/>
  <c r="RU32" i="3"/>
  <c r="RQ32" i="3"/>
  <c r="RM32" i="3"/>
  <c r="RI32" i="3"/>
  <c r="RE32" i="3"/>
  <c r="RA32" i="3"/>
  <c r="QW32" i="3"/>
  <c r="QS32" i="3"/>
  <c r="QO32" i="3"/>
  <c r="QK32" i="3"/>
  <c r="QG32" i="3"/>
  <c r="QC32" i="3"/>
  <c r="PY32" i="3"/>
  <c r="PU32" i="3"/>
  <c r="PQ32" i="3"/>
  <c r="PM32" i="3"/>
  <c r="PI32" i="3"/>
  <c r="PE32" i="3"/>
  <c r="PA32" i="3"/>
  <c r="OW32" i="3"/>
  <c r="OS32" i="3"/>
  <c r="OO32" i="3"/>
  <c r="OK32" i="3"/>
  <c r="OG32" i="3"/>
  <c r="OC32" i="3"/>
  <c r="NY32" i="3"/>
  <c r="NU32" i="3"/>
  <c r="NQ32" i="3"/>
  <c r="NM32" i="3"/>
  <c r="NI32" i="3"/>
  <c r="NE32" i="3"/>
  <c r="NA32" i="3"/>
  <c r="MW32" i="3"/>
  <c r="MS32" i="3"/>
  <c r="MO32" i="3"/>
  <c r="MK32" i="3"/>
  <c r="MG32" i="3"/>
  <c r="MC32" i="3"/>
  <c r="LY32" i="3"/>
  <c r="LU32" i="3"/>
  <c r="LQ32" i="3"/>
  <c r="LM32" i="3"/>
  <c r="LI32" i="3"/>
  <c r="LE32" i="3"/>
  <c r="LA32" i="3"/>
  <c r="KW32" i="3"/>
  <c r="KS32" i="3"/>
  <c r="KO32" i="3"/>
  <c r="KK32" i="3"/>
  <c r="KG32" i="3"/>
  <c r="KC32" i="3"/>
  <c r="JY32" i="3"/>
  <c r="JU32" i="3"/>
  <c r="JQ32" i="3"/>
  <c r="JM32" i="3"/>
  <c r="JI32" i="3"/>
  <c r="JE32" i="3"/>
  <c r="JA32" i="3"/>
  <c r="IW32" i="3"/>
  <c r="IS32" i="3"/>
  <c r="IO32" i="3"/>
  <c r="IK32" i="3"/>
  <c r="IG32" i="3"/>
  <c r="IC32" i="3"/>
  <c r="HY32" i="3"/>
  <c r="HU32" i="3"/>
  <c r="HQ32" i="3"/>
  <c r="HM32" i="3"/>
  <c r="HI32" i="3"/>
  <c r="HE32" i="3"/>
  <c r="HA32" i="3"/>
  <c r="GW32" i="3"/>
  <c r="GS32" i="3"/>
  <c r="GO32" i="3"/>
  <c r="GK32" i="3"/>
  <c r="GG32" i="3"/>
  <c r="GC32" i="3"/>
  <c r="FY32" i="3"/>
  <c r="FU32" i="3"/>
  <c r="FQ32" i="3"/>
  <c r="FM32" i="3"/>
  <c r="FI32" i="3"/>
  <c r="FE32" i="3"/>
  <c r="FA32" i="3"/>
  <c r="EW32" i="3"/>
  <c r="ES32" i="3"/>
  <c r="EO32" i="3"/>
  <c r="EK32" i="3"/>
  <c r="EG32" i="3"/>
  <c r="EC32" i="3"/>
  <c r="DY32" i="3"/>
  <c r="DU32" i="3"/>
  <c r="DQ32" i="3"/>
  <c r="DM32" i="3"/>
  <c r="DI32" i="3"/>
  <c r="DE32" i="3"/>
  <c r="DA32" i="3"/>
  <c r="CW32" i="3"/>
  <c r="CS32" i="3"/>
  <c r="CO32" i="3"/>
  <c r="CK32" i="3"/>
  <c r="CG32" i="3"/>
  <c r="CC32" i="3"/>
  <c r="BY32" i="3"/>
  <c r="BU32" i="3"/>
  <c r="BQ32" i="3"/>
  <c r="BM32" i="3"/>
  <c r="BI32" i="3"/>
  <c r="BE32" i="3"/>
  <c r="BA32" i="3"/>
  <c r="AW32" i="3"/>
  <c r="AS32" i="3"/>
  <c r="AO32" i="3"/>
  <c r="AK32" i="3"/>
  <c r="AG32" i="3"/>
  <c r="AC32" i="3"/>
  <c r="Y32" i="3"/>
  <c r="U32" i="3"/>
  <c r="Q32" i="3"/>
  <c r="M32" i="3"/>
  <c r="I32" i="3"/>
  <c r="F32" i="3"/>
  <c r="ALP32" i="3"/>
  <c r="ALK32" i="3"/>
  <c r="ALF32" i="3"/>
  <c r="AKZ32" i="3"/>
  <c r="AKU32" i="3"/>
  <c r="AKP32" i="3"/>
  <c r="AKJ32" i="3"/>
  <c r="AKE32" i="3"/>
  <c r="AJZ32" i="3"/>
  <c r="AJT32" i="3"/>
  <c r="AJO32" i="3"/>
  <c r="AJJ32" i="3"/>
  <c r="AJD32" i="3"/>
  <c r="AIY32" i="3"/>
  <c r="AIT32" i="3"/>
  <c r="AIN32" i="3"/>
  <c r="AIJ32" i="3"/>
  <c r="AIF32" i="3"/>
  <c r="AIB32" i="3"/>
  <c r="AHX32" i="3"/>
  <c r="AHT32" i="3"/>
  <c r="AHP32" i="3"/>
  <c r="AHL32" i="3"/>
  <c r="AHH32" i="3"/>
  <c r="AHD32" i="3"/>
  <c r="AGZ32" i="3"/>
  <c r="AGV32" i="3"/>
  <c r="AGR32" i="3"/>
  <c r="AGN32" i="3"/>
  <c r="AGJ32" i="3"/>
  <c r="AGF32" i="3"/>
  <c r="AGB32" i="3"/>
  <c r="AFX32" i="3"/>
  <c r="AFT32" i="3"/>
  <c r="AFP32" i="3"/>
  <c r="AFL32" i="3"/>
  <c r="AFH32" i="3"/>
  <c r="AFD32" i="3"/>
  <c r="AEZ32" i="3"/>
  <c r="AEV32" i="3"/>
  <c r="AER32" i="3"/>
  <c r="AEN32" i="3"/>
  <c r="AEJ32" i="3"/>
  <c r="AEF32" i="3"/>
  <c r="AEB32" i="3"/>
  <c r="ADX32" i="3"/>
  <c r="ADT32" i="3"/>
  <c r="ADP32" i="3"/>
  <c r="ADL32" i="3"/>
  <c r="ADH32" i="3"/>
  <c r="ADD32" i="3"/>
  <c r="ACZ32" i="3"/>
  <c r="ACV32" i="3"/>
  <c r="ACR32" i="3"/>
  <c r="ACN32" i="3"/>
  <c r="ACJ32" i="3"/>
  <c r="ACF32" i="3"/>
  <c r="ACB32" i="3"/>
  <c r="ABX32" i="3"/>
  <c r="ABT32" i="3"/>
  <c r="ABP32" i="3"/>
  <c r="ABL32" i="3"/>
  <c r="ABH32" i="3"/>
  <c r="ABD32" i="3"/>
  <c r="AAZ32" i="3"/>
  <c r="AAV32" i="3"/>
  <c r="AAR32" i="3"/>
  <c r="AAN32" i="3"/>
  <c r="AAJ32" i="3"/>
  <c r="AAF32" i="3"/>
  <c r="AAB32" i="3"/>
  <c r="ZX32" i="3"/>
  <c r="ZT32" i="3"/>
  <c r="ZP32" i="3"/>
  <c r="ZL32" i="3"/>
  <c r="ZH32" i="3"/>
  <c r="ZD32" i="3"/>
  <c r="YZ32" i="3"/>
  <c r="YV32" i="3"/>
  <c r="YR32" i="3"/>
  <c r="YN32" i="3"/>
  <c r="YJ32" i="3"/>
  <c r="YF32" i="3"/>
  <c r="YB32" i="3"/>
  <c r="XX32" i="3"/>
  <c r="XT32" i="3"/>
  <c r="XP32" i="3"/>
  <c r="XL32" i="3"/>
  <c r="XH32" i="3"/>
  <c r="XD32" i="3"/>
  <c r="WZ32" i="3"/>
  <c r="WV32" i="3"/>
  <c r="WR32" i="3"/>
  <c r="WN32" i="3"/>
  <c r="WJ32" i="3"/>
  <c r="WF32" i="3"/>
  <c r="WB32" i="3"/>
  <c r="VX32" i="3"/>
  <c r="VT32" i="3"/>
  <c r="VP32" i="3"/>
  <c r="VL32" i="3"/>
  <c r="VH32" i="3"/>
  <c r="VD32" i="3"/>
  <c r="UZ32" i="3"/>
  <c r="UV32" i="3"/>
  <c r="UR32" i="3"/>
  <c r="UN32" i="3"/>
  <c r="UJ32" i="3"/>
  <c r="UF32" i="3"/>
  <c r="UB32" i="3"/>
  <c r="TX32" i="3"/>
  <c r="TT32" i="3"/>
  <c r="TP32" i="3"/>
  <c r="TL32" i="3"/>
  <c r="TH32" i="3"/>
  <c r="TD32" i="3"/>
  <c r="SZ32" i="3"/>
  <c r="SV32" i="3"/>
  <c r="SR32" i="3"/>
  <c r="SN32" i="3"/>
  <c r="SJ32" i="3"/>
  <c r="SF32" i="3"/>
  <c r="SB32" i="3"/>
  <c r="RX32" i="3"/>
  <c r="RT32" i="3"/>
  <c r="RP32" i="3"/>
  <c r="RL32" i="3"/>
  <c r="RH32" i="3"/>
  <c r="RD32" i="3"/>
  <c r="QZ32" i="3"/>
  <c r="QV32" i="3"/>
  <c r="QR32" i="3"/>
  <c r="QN32" i="3"/>
  <c r="QJ32" i="3"/>
  <c r="QF32" i="3"/>
  <c r="QB32" i="3"/>
  <c r="PX32" i="3"/>
  <c r="PT32" i="3"/>
  <c r="PP32" i="3"/>
  <c r="PL32" i="3"/>
  <c r="PH32" i="3"/>
  <c r="PD32" i="3"/>
  <c r="OZ32" i="3"/>
  <c r="OV32" i="3"/>
  <c r="OR32" i="3"/>
  <c r="ON32" i="3"/>
  <c r="OJ32" i="3"/>
  <c r="OF32" i="3"/>
  <c r="OB32" i="3"/>
  <c r="NX32" i="3"/>
  <c r="NT32" i="3"/>
  <c r="NP32" i="3"/>
  <c r="NL32" i="3"/>
  <c r="NH32" i="3"/>
  <c r="ND32" i="3"/>
  <c r="MZ32" i="3"/>
  <c r="MV32" i="3"/>
  <c r="MR32" i="3"/>
  <c r="MN32" i="3"/>
  <c r="MJ32" i="3"/>
  <c r="MF32" i="3"/>
  <c r="MB32" i="3"/>
  <c r="LX32" i="3"/>
  <c r="LT32" i="3"/>
  <c r="LP32" i="3"/>
  <c r="LL32" i="3"/>
  <c r="LH32" i="3"/>
  <c r="LD32" i="3"/>
  <c r="KZ32" i="3"/>
  <c r="KV32" i="3"/>
  <c r="KR32" i="3"/>
  <c r="KN32" i="3"/>
  <c r="KJ32" i="3"/>
  <c r="KF32" i="3"/>
  <c r="KB32" i="3"/>
  <c r="JX32" i="3"/>
  <c r="JT32" i="3"/>
  <c r="JP32" i="3"/>
  <c r="JL32" i="3"/>
  <c r="JH32" i="3"/>
  <c r="JD32" i="3"/>
  <c r="IZ32" i="3"/>
  <c r="IV32" i="3"/>
  <c r="IR32" i="3"/>
  <c r="IN32" i="3"/>
  <c r="IJ32" i="3"/>
  <c r="IF32" i="3"/>
  <c r="IB32" i="3"/>
  <c r="HX32" i="3"/>
  <c r="HT32" i="3"/>
  <c r="HP32" i="3"/>
  <c r="HL32" i="3"/>
  <c r="HH32" i="3"/>
  <c r="HD32" i="3"/>
  <c r="GZ32" i="3"/>
  <c r="GV32" i="3"/>
  <c r="GR32" i="3"/>
  <c r="GN32" i="3"/>
  <c r="GJ32" i="3"/>
  <c r="GF32" i="3"/>
  <c r="GB32" i="3"/>
  <c r="FX32" i="3"/>
  <c r="FT32" i="3"/>
  <c r="FP32" i="3"/>
  <c r="FL32" i="3"/>
  <c r="FH32" i="3"/>
  <c r="FD32" i="3"/>
  <c r="EZ32" i="3"/>
  <c r="EV32" i="3"/>
  <c r="ER32" i="3"/>
  <c r="EN32" i="3"/>
  <c r="EJ32" i="3"/>
  <c r="EF32" i="3"/>
  <c r="EB32" i="3"/>
  <c r="DX32" i="3"/>
  <c r="DT32" i="3"/>
  <c r="DP32" i="3"/>
  <c r="DL32" i="3"/>
  <c r="DH32" i="3"/>
  <c r="DD32" i="3"/>
  <c r="CZ32" i="3"/>
  <c r="CV32" i="3"/>
  <c r="CR32" i="3"/>
  <c r="CN32" i="3"/>
  <c r="CJ32" i="3"/>
  <c r="CF32" i="3"/>
  <c r="CB32" i="3"/>
  <c r="BX32" i="3"/>
  <c r="BT32" i="3"/>
  <c r="BP32" i="3"/>
  <c r="BL32" i="3"/>
  <c r="BH32" i="3"/>
  <c r="BD32" i="3"/>
  <c r="AZ32" i="3"/>
  <c r="AV32" i="3"/>
  <c r="AR32" i="3"/>
  <c r="AN32" i="3"/>
  <c r="AJ32" i="3"/>
  <c r="AF32" i="3"/>
  <c r="AB32" i="3"/>
  <c r="X32" i="3"/>
  <c r="T32" i="3"/>
  <c r="P32" i="3"/>
  <c r="L32" i="3"/>
  <c r="H32" i="3"/>
  <c r="ALO32" i="3"/>
  <c r="ALJ32" i="3"/>
  <c r="ALD32" i="3"/>
  <c r="AKY32" i="3"/>
  <c r="AKT32" i="3"/>
  <c r="AKN32" i="3"/>
  <c r="AKI32" i="3"/>
  <c r="AKD32" i="3"/>
  <c r="AJX32" i="3"/>
  <c r="AJS32" i="3"/>
  <c r="AJN32" i="3"/>
  <c r="AJH32" i="3"/>
  <c r="AJC32" i="3"/>
  <c r="AIX32" i="3"/>
  <c r="AIR32" i="3"/>
  <c r="AIM32" i="3"/>
  <c r="AII32" i="3"/>
  <c r="AIE32" i="3"/>
  <c r="AIA32" i="3"/>
  <c r="AHW32" i="3"/>
  <c r="AHS32" i="3"/>
  <c r="AHO32" i="3"/>
  <c r="AHK32" i="3"/>
  <c r="AHG32" i="3"/>
  <c r="AHC32" i="3"/>
  <c r="AGY32" i="3"/>
  <c r="AGU32" i="3"/>
  <c r="AGQ32" i="3"/>
  <c r="AGM32" i="3"/>
  <c r="AGI32" i="3"/>
  <c r="AGE32" i="3"/>
  <c r="AGA32" i="3"/>
  <c r="AFW32" i="3"/>
  <c r="AFS32" i="3"/>
  <c r="AFO32" i="3"/>
  <c r="AFK32" i="3"/>
  <c r="AFG32" i="3"/>
  <c r="AFC32" i="3"/>
  <c r="AEY32" i="3"/>
  <c r="AEU32" i="3"/>
  <c r="AEQ32" i="3"/>
  <c r="AEM32" i="3"/>
  <c r="AEI32" i="3"/>
  <c r="AEE32" i="3"/>
  <c r="AEA32" i="3"/>
  <c r="ADW32" i="3"/>
  <c r="ADS32" i="3"/>
  <c r="ADO32" i="3"/>
  <c r="ADK32" i="3"/>
  <c r="ADG32" i="3"/>
  <c r="ADC32" i="3"/>
  <c r="ACY32" i="3"/>
  <c r="ACU32" i="3"/>
  <c r="ACQ32" i="3"/>
  <c r="ACM32" i="3"/>
  <c r="ACI32" i="3"/>
  <c r="ACE32" i="3"/>
  <c r="ACA32" i="3"/>
  <c r="ABW32" i="3"/>
  <c r="ABS32" i="3"/>
  <c r="ABO32" i="3"/>
  <c r="ABK32" i="3"/>
  <c r="ABG32" i="3"/>
  <c r="ABC32" i="3"/>
  <c r="AAY32" i="3"/>
  <c r="AAU32" i="3"/>
  <c r="AAQ32" i="3"/>
  <c r="AAM32" i="3"/>
  <c r="AAI32" i="3"/>
  <c r="AAE32" i="3"/>
  <c r="AAA32" i="3"/>
  <c r="ZW32" i="3"/>
  <c r="ZS32" i="3"/>
  <c r="ZO32" i="3"/>
  <c r="ZK32" i="3"/>
  <c r="ZG32" i="3"/>
  <c r="ZC32" i="3"/>
  <c r="YY32" i="3"/>
  <c r="YU32" i="3"/>
  <c r="YQ32" i="3"/>
  <c r="YM32" i="3"/>
  <c r="YI32" i="3"/>
  <c r="YE32" i="3"/>
  <c r="YA32" i="3"/>
  <c r="XW32" i="3"/>
  <c r="XS32" i="3"/>
  <c r="XO32" i="3"/>
  <c r="XK32" i="3"/>
  <c r="XG32" i="3"/>
  <c r="XC32" i="3"/>
  <c r="WY32" i="3"/>
  <c r="WU32" i="3"/>
  <c r="WQ32" i="3"/>
  <c r="WM32" i="3"/>
  <c r="WI32" i="3"/>
  <c r="WE32" i="3"/>
  <c r="WA32" i="3"/>
  <c r="VW32" i="3"/>
  <c r="VS32" i="3"/>
  <c r="VO32" i="3"/>
  <c r="VK32" i="3"/>
  <c r="VG32" i="3"/>
  <c r="VC32" i="3"/>
  <c r="UY32" i="3"/>
  <c r="UU32" i="3"/>
  <c r="UQ32" i="3"/>
  <c r="UM32" i="3"/>
  <c r="UI32" i="3"/>
  <c r="UE32" i="3"/>
  <c r="UA32" i="3"/>
  <c r="TW32" i="3"/>
  <c r="TS32" i="3"/>
  <c r="TO32" i="3"/>
  <c r="TK32" i="3"/>
  <c r="TG32" i="3"/>
  <c r="TC32" i="3"/>
  <c r="SY32" i="3"/>
  <c r="SU32" i="3"/>
  <c r="SQ32" i="3"/>
  <c r="SM32" i="3"/>
  <c r="SI32" i="3"/>
  <c r="SE32" i="3"/>
  <c r="SA32" i="3"/>
  <c r="RW32" i="3"/>
  <c r="RS32" i="3"/>
  <c r="RO32" i="3"/>
  <c r="RK32" i="3"/>
  <c r="RG32" i="3"/>
  <c r="RC32" i="3"/>
  <c r="QY32" i="3"/>
  <c r="QU32" i="3"/>
  <c r="QQ32" i="3"/>
  <c r="QM32" i="3"/>
  <c r="QI32" i="3"/>
  <c r="QE32" i="3"/>
  <c r="QA32" i="3"/>
  <c r="PW32" i="3"/>
  <c r="PS32" i="3"/>
  <c r="PO32" i="3"/>
  <c r="PK32" i="3"/>
  <c r="PG32" i="3"/>
  <c r="PC32" i="3"/>
  <c r="OY32" i="3"/>
  <c r="OU32" i="3"/>
  <c r="OQ32" i="3"/>
  <c r="OM32" i="3"/>
  <c r="OI32" i="3"/>
  <c r="OE32" i="3"/>
  <c r="OA32" i="3"/>
  <c r="NW32" i="3"/>
  <c r="NS32" i="3"/>
  <c r="NO32" i="3"/>
  <c r="NK32" i="3"/>
  <c r="NG32" i="3"/>
  <c r="NC32" i="3"/>
  <c r="MY32" i="3"/>
  <c r="MU32" i="3"/>
  <c r="MQ32" i="3"/>
  <c r="MM32" i="3"/>
  <c r="MI32" i="3"/>
  <c r="ME32" i="3"/>
  <c r="MA32" i="3"/>
  <c r="LW32" i="3"/>
  <c r="LS32" i="3"/>
  <c r="LO32" i="3"/>
  <c r="LK32" i="3"/>
  <c r="LG32" i="3"/>
  <c r="LC32" i="3"/>
  <c r="KY32" i="3"/>
  <c r="KU32" i="3"/>
  <c r="KQ32" i="3"/>
  <c r="KM32" i="3"/>
  <c r="KI32" i="3"/>
  <c r="KE32" i="3"/>
  <c r="KA32" i="3"/>
  <c r="JW32" i="3"/>
  <c r="JS32" i="3"/>
  <c r="JO32" i="3"/>
  <c r="JK32" i="3"/>
  <c r="JG32" i="3"/>
  <c r="JC32" i="3"/>
  <c r="IY32" i="3"/>
  <c r="IU32" i="3"/>
  <c r="IQ32" i="3"/>
  <c r="IM32" i="3"/>
  <c r="II32" i="3"/>
  <c r="IE32" i="3"/>
  <c r="IA32" i="3"/>
  <c r="HW32" i="3"/>
  <c r="HS32" i="3"/>
  <c r="HO32" i="3"/>
  <c r="HK32" i="3"/>
  <c r="HG32" i="3"/>
  <c r="HC32" i="3"/>
  <c r="GY32" i="3"/>
  <c r="GU32" i="3"/>
  <c r="GQ32" i="3"/>
  <c r="GM32" i="3"/>
  <c r="GI32" i="3"/>
  <c r="GE32" i="3"/>
  <c r="GA32" i="3"/>
  <c r="FW32" i="3"/>
  <c r="FS32" i="3"/>
  <c r="FO32" i="3"/>
  <c r="FK32" i="3"/>
  <c r="FG32" i="3"/>
  <c r="FC32" i="3"/>
  <c r="EY32" i="3"/>
  <c r="EU32" i="3"/>
  <c r="EQ32" i="3"/>
  <c r="EM32" i="3"/>
  <c r="EI32" i="3"/>
  <c r="EE32" i="3"/>
  <c r="EA32" i="3"/>
  <c r="DW32" i="3"/>
  <c r="DS32" i="3"/>
  <c r="DO32" i="3"/>
  <c r="DK32" i="3"/>
  <c r="DG32" i="3"/>
  <c r="DC32" i="3"/>
  <c r="CY32" i="3"/>
  <c r="CU32" i="3"/>
  <c r="CQ32" i="3"/>
  <c r="CM32" i="3"/>
  <c r="CI32" i="3"/>
  <c r="CE32" i="3"/>
  <c r="CA32" i="3"/>
  <c r="BW32" i="3"/>
  <c r="BS32" i="3"/>
  <c r="BO32" i="3"/>
  <c r="BK32" i="3"/>
  <c r="BG32" i="3"/>
  <c r="BC32" i="3"/>
  <c r="AY32" i="3"/>
  <c r="AU32" i="3"/>
  <c r="AQ32" i="3"/>
  <c r="AM32" i="3"/>
  <c r="AI32" i="3"/>
  <c r="AE32" i="3"/>
  <c r="AA32" i="3"/>
  <c r="W32" i="3"/>
  <c r="S32" i="3"/>
  <c r="O32" i="3"/>
  <c r="K32" i="3"/>
  <c r="G32" i="3"/>
  <c r="ALN36" i="3"/>
  <c r="ALJ36" i="3"/>
  <c r="ALF36" i="3"/>
  <c r="ALB36" i="3"/>
  <c r="AKX36" i="3"/>
  <c r="AKT36" i="3"/>
  <c r="AKP36" i="3"/>
  <c r="AKL36" i="3"/>
  <c r="AKH36" i="3"/>
  <c r="AKD36" i="3"/>
  <c r="AJZ36" i="3"/>
  <c r="AJV36" i="3"/>
  <c r="AJR36" i="3"/>
  <c r="AJN36" i="3"/>
  <c r="AJJ36" i="3"/>
  <c r="AJF36" i="3"/>
  <c r="AJB36" i="3"/>
  <c r="AIX36" i="3"/>
  <c r="AIT36" i="3"/>
  <c r="AIP36" i="3"/>
  <c r="AIL36" i="3"/>
  <c r="AIH36" i="3"/>
  <c r="AID36" i="3"/>
  <c r="AHZ36" i="3"/>
  <c r="AHV36" i="3"/>
  <c r="AHR36" i="3"/>
  <c r="AHN36" i="3"/>
  <c r="AHJ36" i="3"/>
  <c r="AHF36" i="3"/>
  <c r="AHB36" i="3"/>
  <c r="AGX36" i="3"/>
  <c r="AGT36" i="3"/>
  <c r="AGP36" i="3"/>
  <c r="AGL36" i="3"/>
  <c r="AGH36" i="3"/>
  <c r="AGD36" i="3"/>
  <c r="AFZ36" i="3"/>
  <c r="AFV36" i="3"/>
  <c r="AFR36" i="3"/>
  <c r="AFN36" i="3"/>
  <c r="AFJ36" i="3"/>
  <c r="AFF36" i="3"/>
  <c r="AFB36" i="3"/>
  <c r="AEX36" i="3"/>
  <c r="AET36" i="3"/>
  <c r="AEP36" i="3"/>
  <c r="AEL36" i="3"/>
  <c r="AEH36" i="3"/>
  <c r="AED36" i="3"/>
  <c r="ADZ36" i="3"/>
  <c r="ADV36" i="3"/>
  <c r="ADR36" i="3"/>
  <c r="ADN36" i="3"/>
  <c r="ADJ36" i="3"/>
  <c r="ADF36" i="3"/>
  <c r="ADB36" i="3"/>
  <c r="ACX36" i="3"/>
  <c r="ACT36" i="3"/>
  <c r="ACP36" i="3"/>
  <c r="ACL36" i="3"/>
  <c r="ACH36" i="3"/>
  <c r="ACD36" i="3"/>
  <c r="ABZ36" i="3"/>
  <c r="ABV36" i="3"/>
  <c r="ABR36" i="3"/>
  <c r="ABN36" i="3"/>
  <c r="ABJ36" i="3"/>
  <c r="ABF36" i="3"/>
  <c r="ABB36" i="3"/>
  <c r="AAX36" i="3"/>
  <c r="AAT36" i="3"/>
  <c r="AAP36" i="3"/>
  <c r="AAL36" i="3"/>
  <c r="AAH36" i="3"/>
  <c r="AAD36" i="3"/>
  <c r="ZZ36" i="3"/>
  <c r="ZV36" i="3"/>
  <c r="ZR36" i="3"/>
  <c r="ZN36" i="3"/>
  <c r="ZJ36" i="3"/>
  <c r="ZF36" i="3"/>
  <c r="ZB36" i="3"/>
  <c r="YX36" i="3"/>
  <c r="YT36" i="3"/>
  <c r="YP36" i="3"/>
  <c r="YL36" i="3"/>
  <c r="YH36" i="3"/>
  <c r="YD36" i="3"/>
  <c r="XZ36" i="3"/>
  <c r="XV36" i="3"/>
  <c r="XR36" i="3"/>
  <c r="XN36" i="3"/>
  <c r="XJ36" i="3"/>
  <c r="XF36" i="3"/>
  <c r="XB36" i="3"/>
  <c r="WX36" i="3"/>
  <c r="WT36" i="3"/>
  <c r="WP36" i="3"/>
  <c r="WL36" i="3"/>
  <c r="WH36" i="3"/>
  <c r="WD36" i="3"/>
  <c r="VZ36" i="3"/>
  <c r="VV36" i="3"/>
  <c r="VR36" i="3"/>
  <c r="VN36" i="3"/>
  <c r="VJ36" i="3"/>
  <c r="VF36" i="3"/>
  <c r="VB36" i="3"/>
  <c r="UX36" i="3"/>
  <c r="UT36" i="3"/>
  <c r="UP36" i="3"/>
  <c r="UL36" i="3"/>
  <c r="UH36" i="3"/>
  <c r="UD36" i="3"/>
  <c r="TZ36" i="3"/>
  <c r="TV36" i="3"/>
  <c r="TR36" i="3"/>
  <c r="TN36" i="3"/>
  <c r="TJ36" i="3"/>
  <c r="TF36" i="3"/>
  <c r="TB36" i="3"/>
  <c r="SX36" i="3"/>
  <c r="ST36" i="3"/>
  <c r="SP36" i="3"/>
  <c r="SL36" i="3"/>
  <c r="SH36" i="3"/>
  <c r="SD36" i="3"/>
  <c r="RZ36" i="3"/>
  <c r="RV36" i="3"/>
  <c r="RR36" i="3"/>
  <c r="RN36" i="3"/>
  <c r="RJ36" i="3"/>
  <c r="RF36" i="3"/>
  <c r="RB36" i="3"/>
  <c r="QX36" i="3"/>
  <c r="QT36" i="3"/>
  <c r="QP36" i="3"/>
  <c r="QL36" i="3"/>
  <c r="QH36" i="3"/>
  <c r="QD36" i="3"/>
  <c r="PZ36" i="3"/>
  <c r="PV36" i="3"/>
  <c r="PR36" i="3"/>
  <c r="PN36" i="3"/>
  <c r="PJ36" i="3"/>
  <c r="PF36" i="3"/>
  <c r="PB36" i="3"/>
  <c r="OX36" i="3"/>
  <c r="OT36" i="3"/>
  <c r="OP36" i="3"/>
  <c r="OL36" i="3"/>
  <c r="OH36" i="3"/>
  <c r="OD36" i="3"/>
  <c r="NZ36" i="3"/>
  <c r="NV36" i="3"/>
  <c r="NR36" i="3"/>
  <c r="NN36" i="3"/>
  <c r="NJ36" i="3"/>
  <c r="NF36" i="3"/>
  <c r="NB36" i="3"/>
  <c r="MX36" i="3"/>
  <c r="MT36" i="3"/>
  <c r="MP36" i="3"/>
  <c r="ML36" i="3"/>
  <c r="MH36" i="3"/>
  <c r="MD36" i="3"/>
  <c r="LZ36" i="3"/>
  <c r="LV36" i="3"/>
  <c r="LR36" i="3"/>
  <c r="LN36" i="3"/>
  <c r="LJ36" i="3"/>
  <c r="LF36" i="3"/>
  <c r="LB36" i="3"/>
  <c r="KX36" i="3"/>
  <c r="KT36" i="3"/>
  <c r="KP36" i="3"/>
  <c r="KL36" i="3"/>
  <c r="KH36" i="3"/>
  <c r="KD36" i="3"/>
  <c r="JZ36" i="3"/>
  <c r="JV36" i="3"/>
  <c r="JR36" i="3"/>
  <c r="JN36" i="3"/>
  <c r="JJ36" i="3"/>
  <c r="JF36" i="3"/>
  <c r="JB36" i="3"/>
  <c r="IX36" i="3"/>
  <c r="IT36" i="3"/>
  <c r="IP36" i="3"/>
  <c r="IL36" i="3"/>
  <c r="IH36" i="3"/>
  <c r="ID36" i="3"/>
  <c r="HZ36" i="3"/>
  <c r="HV36" i="3"/>
  <c r="HR36" i="3"/>
  <c r="HN36" i="3"/>
  <c r="HJ36" i="3"/>
  <c r="HF36" i="3"/>
  <c r="HB36" i="3"/>
  <c r="GX36" i="3"/>
  <c r="GT36" i="3"/>
  <c r="GP36" i="3"/>
  <c r="GL36" i="3"/>
  <c r="GH36" i="3"/>
  <c r="GD36" i="3"/>
  <c r="FZ36" i="3"/>
  <c r="FV36" i="3"/>
  <c r="FR36" i="3"/>
  <c r="FN36" i="3"/>
  <c r="FJ36" i="3"/>
  <c r="FF36" i="3"/>
  <c r="FB36" i="3"/>
  <c r="EX36" i="3"/>
  <c r="ET36" i="3"/>
  <c r="EP36" i="3"/>
  <c r="EL36" i="3"/>
  <c r="EH36" i="3"/>
  <c r="ED36" i="3"/>
  <c r="DZ36" i="3"/>
  <c r="DV36" i="3"/>
  <c r="DR36" i="3"/>
  <c r="DN36" i="3"/>
  <c r="DJ36" i="3"/>
  <c r="DF36" i="3"/>
  <c r="DB36" i="3"/>
  <c r="CX36" i="3"/>
  <c r="CT36" i="3"/>
  <c r="CP36" i="3"/>
  <c r="CL36" i="3"/>
  <c r="CH36" i="3"/>
  <c r="CD36" i="3"/>
  <c r="BZ36" i="3"/>
  <c r="BV36" i="3"/>
  <c r="BR36" i="3"/>
  <c r="BN36" i="3"/>
  <c r="BJ36" i="3"/>
  <c r="BF36" i="3"/>
  <c r="BB36" i="3"/>
  <c r="AX36" i="3"/>
  <c r="AT36" i="3"/>
  <c r="AP36" i="3"/>
  <c r="AL36" i="3"/>
  <c r="AH36" i="3"/>
  <c r="AD36" i="3"/>
  <c r="Z36" i="3"/>
  <c r="V36" i="3"/>
  <c r="R36" i="3"/>
  <c r="N36" i="3"/>
  <c r="J36" i="3"/>
  <c r="ALQ36" i="3"/>
  <c r="ALM36" i="3"/>
  <c r="ALI36" i="3"/>
  <c r="ALE36" i="3"/>
  <c r="ALA36" i="3"/>
  <c r="AKW36" i="3"/>
  <c r="AKS36" i="3"/>
  <c r="AKO36" i="3"/>
  <c r="AKK36" i="3"/>
  <c r="AKG36" i="3"/>
  <c r="AKC36" i="3"/>
  <c r="AJY36" i="3"/>
  <c r="AJU36" i="3"/>
  <c r="AJQ36" i="3"/>
  <c r="AJM36" i="3"/>
  <c r="AJI36" i="3"/>
  <c r="AJE36" i="3"/>
  <c r="AJA36" i="3"/>
  <c r="AIW36" i="3"/>
  <c r="AIS36" i="3"/>
  <c r="AIO36" i="3"/>
  <c r="AIK36" i="3"/>
  <c r="AIG36" i="3"/>
  <c r="AIC36" i="3"/>
  <c r="AHY36" i="3"/>
  <c r="AHU36" i="3"/>
  <c r="AHQ36" i="3"/>
  <c r="AHM36" i="3"/>
  <c r="AHI36" i="3"/>
  <c r="AHE36" i="3"/>
  <c r="AHA36" i="3"/>
  <c r="AGW36" i="3"/>
  <c r="AGS36" i="3"/>
  <c r="AGO36" i="3"/>
  <c r="AGK36" i="3"/>
  <c r="AGG36" i="3"/>
  <c r="AGC36" i="3"/>
  <c r="AFY36" i="3"/>
  <c r="AFU36" i="3"/>
  <c r="AFQ36" i="3"/>
  <c r="AFM36" i="3"/>
  <c r="AFI36" i="3"/>
  <c r="AFE36" i="3"/>
  <c r="AFA36" i="3"/>
  <c r="AEW36" i="3"/>
  <c r="AES36" i="3"/>
  <c r="AEO36" i="3"/>
  <c r="AEK36" i="3"/>
  <c r="AEG36" i="3"/>
  <c r="AEC36" i="3"/>
  <c r="ADY36" i="3"/>
  <c r="ADU36" i="3"/>
  <c r="ADQ36" i="3"/>
  <c r="ADM36" i="3"/>
  <c r="ADI36" i="3"/>
  <c r="ADE36" i="3"/>
  <c r="ADA36" i="3"/>
  <c r="ACW36" i="3"/>
  <c r="ACS36" i="3"/>
  <c r="ACO36" i="3"/>
  <c r="ACK36" i="3"/>
  <c r="ACG36" i="3"/>
  <c r="ACC36" i="3"/>
  <c r="ABY36" i="3"/>
  <c r="ABU36" i="3"/>
  <c r="ABQ36" i="3"/>
  <c r="ABM36" i="3"/>
  <c r="ABI36" i="3"/>
  <c r="ABE36" i="3"/>
  <c r="ABA36" i="3"/>
  <c r="AAW36" i="3"/>
  <c r="AAS36" i="3"/>
  <c r="AAO36" i="3"/>
  <c r="AAK36" i="3"/>
  <c r="AAG36" i="3"/>
  <c r="AAC36" i="3"/>
  <c r="ZY36" i="3"/>
  <c r="ZU36" i="3"/>
  <c r="ZQ36" i="3"/>
  <c r="ZM36" i="3"/>
  <c r="ZI36" i="3"/>
  <c r="ZE36" i="3"/>
  <c r="ZA36" i="3"/>
  <c r="YW36" i="3"/>
  <c r="YS36" i="3"/>
  <c r="YO36" i="3"/>
  <c r="YK36" i="3"/>
  <c r="YG36" i="3"/>
  <c r="YC36" i="3"/>
  <c r="XY36" i="3"/>
  <c r="XU36" i="3"/>
  <c r="XQ36" i="3"/>
  <c r="XM36" i="3"/>
  <c r="XI36" i="3"/>
  <c r="XE36" i="3"/>
  <c r="XA36" i="3"/>
  <c r="WW36" i="3"/>
  <c r="WS36" i="3"/>
  <c r="WO36" i="3"/>
  <c r="WK36" i="3"/>
  <c r="WG36" i="3"/>
  <c r="WC36" i="3"/>
  <c r="VY36" i="3"/>
  <c r="VU36" i="3"/>
  <c r="VQ36" i="3"/>
  <c r="VM36" i="3"/>
  <c r="VI36" i="3"/>
  <c r="VE36" i="3"/>
  <c r="VA36" i="3"/>
  <c r="UW36" i="3"/>
  <c r="US36" i="3"/>
  <c r="UO36" i="3"/>
  <c r="UK36" i="3"/>
  <c r="UG36" i="3"/>
  <c r="UC36" i="3"/>
  <c r="TY36" i="3"/>
  <c r="TU36" i="3"/>
  <c r="TQ36" i="3"/>
  <c r="TM36" i="3"/>
  <c r="TI36" i="3"/>
  <c r="TE36" i="3"/>
  <c r="TA36" i="3"/>
  <c r="SW36" i="3"/>
  <c r="SS36" i="3"/>
  <c r="SO36" i="3"/>
  <c r="SK36" i="3"/>
  <c r="SG36" i="3"/>
  <c r="SC36" i="3"/>
  <c r="RY36" i="3"/>
  <c r="RU36" i="3"/>
  <c r="RQ36" i="3"/>
  <c r="RM36" i="3"/>
  <c r="RI36" i="3"/>
  <c r="RE36" i="3"/>
  <c r="RA36" i="3"/>
  <c r="QW36" i="3"/>
  <c r="QS36" i="3"/>
  <c r="QO36" i="3"/>
  <c r="QK36" i="3"/>
  <c r="QG36" i="3"/>
  <c r="QC36" i="3"/>
  <c r="PY36" i="3"/>
  <c r="PU36" i="3"/>
  <c r="PQ36" i="3"/>
  <c r="PM36" i="3"/>
  <c r="PI36" i="3"/>
  <c r="PE36" i="3"/>
  <c r="PA36" i="3"/>
  <c r="OW36" i="3"/>
  <c r="OS36" i="3"/>
  <c r="OO36" i="3"/>
  <c r="OK36" i="3"/>
  <c r="OG36" i="3"/>
  <c r="OC36" i="3"/>
  <c r="NY36" i="3"/>
  <c r="NU36" i="3"/>
  <c r="NQ36" i="3"/>
  <c r="NM36" i="3"/>
  <c r="NI36" i="3"/>
  <c r="NE36" i="3"/>
  <c r="NA36" i="3"/>
  <c r="MW36" i="3"/>
  <c r="MS36" i="3"/>
  <c r="MO36" i="3"/>
  <c r="MK36" i="3"/>
  <c r="MG36" i="3"/>
  <c r="MC36" i="3"/>
  <c r="LY36" i="3"/>
  <c r="LU36" i="3"/>
  <c r="LQ36" i="3"/>
  <c r="LM36" i="3"/>
  <c r="LI36" i="3"/>
  <c r="LE36" i="3"/>
  <c r="LA36" i="3"/>
  <c r="KW36" i="3"/>
  <c r="KS36" i="3"/>
  <c r="KO36" i="3"/>
  <c r="KK36" i="3"/>
  <c r="KG36" i="3"/>
  <c r="KC36" i="3"/>
  <c r="JY36" i="3"/>
  <c r="JU36" i="3"/>
  <c r="JQ36" i="3"/>
  <c r="JM36" i="3"/>
  <c r="JI36" i="3"/>
  <c r="JE36" i="3"/>
  <c r="JA36" i="3"/>
  <c r="IW36" i="3"/>
  <c r="IS36" i="3"/>
  <c r="IO36" i="3"/>
  <c r="IK36" i="3"/>
  <c r="IG36" i="3"/>
  <c r="IC36" i="3"/>
  <c r="HY36" i="3"/>
  <c r="HU36" i="3"/>
  <c r="HQ36" i="3"/>
  <c r="HM36" i="3"/>
  <c r="HI36" i="3"/>
  <c r="HE36" i="3"/>
  <c r="HA36" i="3"/>
  <c r="GW36" i="3"/>
  <c r="GS36" i="3"/>
  <c r="GO36" i="3"/>
  <c r="GK36" i="3"/>
  <c r="GG36" i="3"/>
  <c r="GC36" i="3"/>
  <c r="FY36" i="3"/>
  <c r="FU36" i="3"/>
  <c r="FQ36" i="3"/>
  <c r="FM36" i="3"/>
  <c r="FI36" i="3"/>
  <c r="FE36" i="3"/>
  <c r="FA36" i="3"/>
  <c r="EW36" i="3"/>
  <c r="ES36" i="3"/>
  <c r="EO36" i="3"/>
  <c r="EK36" i="3"/>
  <c r="EG36" i="3"/>
  <c r="EC36" i="3"/>
  <c r="DY36" i="3"/>
  <c r="DU36" i="3"/>
  <c r="DQ36" i="3"/>
  <c r="DM36" i="3"/>
  <c r="DI36" i="3"/>
  <c r="DE36" i="3"/>
  <c r="DA36" i="3"/>
  <c r="CW36" i="3"/>
  <c r="CS36" i="3"/>
  <c r="CO36" i="3"/>
  <c r="CK36" i="3"/>
  <c r="CG36" i="3"/>
  <c r="CC36" i="3"/>
  <c r="BY36" i="3"/>
  <c r="BU36" i="3"/>
  <c r="BQ36" i="3"/>
  <c r="BM36" i="3"/>
  <c r="BI36" i="3"/>
  <c r="BE36" i="3"/>
  <c r="BA36" i="3"/>
  <c r="AW36" i="3"/>
  <c r="AS36" i="3"/>
  <c r="AO36" i="3"/>
  <c r="AK36" i="3"/>
  <c r="AG36" i="3"/>
  <c r="AC36" i="3"/>
  <c r="Y36" i="3"/>
  <c r="U36" i="3"/>
  <c r="Q36" i="3"/>
  <c r="M36" i="3"/>
  <c r="I36" i="3"/>
  <c r="F36" i="3"/>
  <c r="ALP36" i="3"/>
  <c r="ALL36" i="3"/>
  <c r="ALH36" i="3"/>
  <c r="ALD36" i="3"/>
  <c r="AKZ36" i="3"/>
  <c r="AKV36" i="3"/>
  <c r="AKR36" i="3"/>
  <c r="AKN36" i="3"/>
  <c r="AKJ36" i="3"/>
  <c r="AKF36" i="3"/>
  <c r="AKB36" i="3"/>
  <c r="AJX36" i="3"/>
  <c r="AJT36" i="3"/>
  <c r="AJP36" i="3"/>
  <c r="AJL36" i="3"/>
  <c r="AJH36" i="3"/>
  <c r="AJD36" i="3"/>
  <c r="AIZ36" i="3"/>
  <c r="AIV36" i="3"/>
  <c r="AIR36" i="3"/>
  <c r="AIN36" i="3"/>
  <c r="AIJ36" i="3"/>
  <c r="AIF36" i="3"/>
  <c r="AIB36" i="3"/>
  <c r="AHX36" i="3"/>
  <c r="AHT36" i="3"/>
  <c r="AHP36" i="3"/>
  <c r="AHL36" i="3"/>
  <c r="AHH36" i="3"/>
  <c r="AHD36" i="3"/>
  <c r="AGZ36" i="3"/>
  <c r="AGV36" i="3"/>
  <c r="AGR36" i="3"/>
  <c r="AGN36" i="3"/>
  <c r="AGJ36" i="3"/>
  <c r="AGF36" i="3"/>
  <c r="AGB36" i="3"/>
  <c r="AFX36" i="3"/>
  <c r="AFT36" i="3"/>
  <c r="AFP36" i="3"/>
  <c r="AFL36" i="3"/>
  <c r="AFH36" i="3"/>
  <c r="AFD36" i="3"/>
  <c r="AEZ36" i="3"/>
  <c r="AEV36" i="3"/>
  <c r="AER36" i="3"/>
  <c r="AEN36" i="3"/>
  <c r="AEJ36" i="3"/>
  <c r="AEF36" i="3"/>
  <c r="AEB36" i="3"/>
  <c r="ADX36" i="3"/>
  <c r="ADT36" i="3"/>
  <c r="ADP36" i="3"/>
  <c r="ADL36" i="3"/>
  <c r="ADH36" i="3"/>
  <c r="ADD36" i="3"/>
  <c r="ACZ36" i="3"/>
  <c r="ACV36" i="3"/>
  <c r="ACR36" i="3"/>
  <c r="ACN36" i="3"/>
  <c r="ACJ36" i="3"/>
  <c r="ACF36" i="3"/>
  <c r="ACB36" i="3"/>
  <c r="ABX36" i="3"/>
  <c r="ABT36" i="3"/>
  <c r="ABP36" i="3"/>
  <c r="ABL36" i="3"/>
  <c r="ABH36" i="3"/>
  <c r="ABD36" i="3"/>
  <c r="AAZ36" i="3"/>
  <c r="AAV36" i="3"/>
  <c r="AAR36" i="3"/>
  <c r="AAN36" i="3"/>
  <c r="AAJ36" i="3"/>
  <c r="AAF36" i="3"/>
  <c r="AAB36" i="3"/>
  <c r="ZX36" i="3"/>
  <c r="ZT36" i="3"/>
  <c r="ZP36" i="3"/>
  <c r="ZL36" i="3"/>
  <c r="ZH36" i="3"/>
  <c r="ZD36" i="3"/>
  <c r="YZ36" i="3"/>
  <c r="YV36" i="3"/>
  <c r="YR36" i="3"/>
  <c r="YN36" i="3"/>
  <c r="YJ36" i="3"/>
  <c r="YF36" i="3"/>
  <c r="YB36" i="3"/>
  <c r="XX36" i="3"/>
  <c r="XT36" i="3"/>
  <c r="XP36" i="3"/>
  <c r="XL36" i="3"/>
  <c r="XH36" i="3"/>
  <c r="XD36" i="3"/>
  <c r="WZ36" i="3"/>
  <c r="WV36" i="3"/>
  <c r="WR36" i="3"/>
  <c r="WN36" i="3"/>
  <c r="WJ36" i="3"/>
  <c r="WF36" i="3"/>
  <c r="WB36" i="3"/>
  <c r="VX36" i="3"/>
  <c r="VT36" i="3"/>
  <c r="VP36" i="3"/>
  <c r="VL36" i="3"/>
  <c r="VH36" i="3"/>
  <c r="VD36" i="3"/>
  <c r="UZ36" i="3"/>
  <c r="UV36" i="3"/>
  <c r="UR36" i="3"/>
  <c r="UN36" i="3"/>
  <c r="UJ36" i="3"/>
  <c r="UF36" i="3"/>
  <c r="UB36" i="3"/>
  <c r="TX36" i="3"/>
  <c r="TT36" i="3"/>
  <c r="TP36" i="3"/>
  <c r="TL36" i="3"/>
  <c r="TH36" i="3"/>
  <c r="TD36" i="3"/>
  <c r="SZ36" i="3"/>
  <c r="SV36" i="3"/>
  <c r="SR36" i="3"/>
  <c r="SN36" i="3"/>
  <c r="SJ36" i="3"/>
  <c r="SF36" i="3"/>
  <c r="SB36" i="3"/>
  <c r="RX36" i="3"/>
  <c r="RT36" i="3"/>
  <c r="RP36" i="3"/>
  <c r="RL36" i="3"/>
  <c r="RH36" i="3"/>
  <c r="RD36" i="3"/>
  <c r="QZ36" i="3"/>
  <c r="QV36" i="3"/>
  <c r="QR36" i="3"/>
  <c r="QN36" i="3"/>
  <c r="QJ36" i="3"/>
  <c r="QF36" i="3"/>
  <c r="QB36" i="3"/>
  <c r="PX36" i="3"/>
  <c r="PT36" i="3"/>
  <c r="PP36" i="3"/>
  <c r="PL36" i="3"/>
  <c r="PH36" i="3"/>
  <c r="PD36" i="3"/>
  <c r="OZ36" i="3"/>
  <c r="OV36" i="3"/>
  <c r="OR36" i="3"/>
  <c r="ON36" i="3"/>
  <c r="OJ36" i="3"/>
  <c r="OF36" i="3"/>
  <c r="OB36" i="3"/>
  <c r="NX36" i="3"/>
  <c r="NT36" i="3"/>
  <c r="NP36" i="3"/>
  <c r="NL36" i="3"/>
  <c r="NH36" i="3"/>
  <c r="ND36" i="3"/>
  <c r="MZ36" i="3"/>
  <c r="MV36" i="3"/>
  <c r="MR36" i="3"/>
  <c r="MN36" i="3"/>
  <c r="MJ36" i="3"/>
  <c r="MF36" i="3"/>
  <c r="MB36" i="3"/>
  <c r="LX36" i="3"/>
  <c r="LT36" i="3"/>
  <c r="LP36" i="3"/>
  <c r="LL36" i="3"/>
  <c r="LH36" i="3"/>
  <c r="LD36" i="3"/>
  <c r="KZ36" i="3"/>
  <c r="KV36" i="3"/>
  <c r="KR36" i="3"/>
  <c r="KN36" i="3"/>
  <c r="KJ36" i="3"/>
  <c r="KF36" i="3"/>
  <c r="KB36" i="3"/>
  <c r="JX36" i="3"/>
  <c r="JT36" i="3"/>
  <c r="JP36" i="3"/>
  <c r="JL36" i="3"/>
  <c r="JH36" i="3"/>
  <c r="JD36" i="3"/>
  <c r="IZ36" i="3"/>
  <c r="IV36" i="3"/>
  <c r="IR36" i="3"/>
  <c r="IN36" i="3"/>
  <c r="IJ36" i="3"/>
  <c r="IF36" i="3"/>
  <c r="IB36" i="3"/>
  <c r="HX36" i="3"/>
  <c r="HT36" i="3"/>
  <c r="HP36" i="3"/>
  <c r="HL36" i="3"/>
  <c r="HH36" i="3"/>
  <c r="HD36" i="3"/>
  <c r="GZ36" i="3"/>
  <c r="GV36" i="3"/>
  <c r="GR36" i="3"/>
  <c r="GN36" i="3"/>
  <c r="GJ36" i="3"/>
  <c r="GF36" i="3"/>
  <c r="GB36" i="3"/>
  <c r="FX36" i="3"/>
  <c r="FT36" i="3"/>
  <c r="FP36" i="3"/>
  <c r="FL36" i="3"/>
  <c r="FH36" i="3"/>
  <c r="FD36" i="3"/>
  <c r="EZ36" i="3"/>
  <c r="EV36" i="3"/>
  <c r="ER36" i="3"/>
  <c r="EN36" i="3"/>
  <c r="EJ36" i="3"/>
  <c r="EF36" i="3"/>
  <c r="EB36" i="3"/>
  <c r="DX36" i="3"/>
  <c r="DT36" i="3"/>
  <c r="DP36" i="3"/>
  <c r="DL36" i="3"/>
  <c r="DH36" i="3"/>
  <c r="DD36" i="3"/>
  <c r="CZ36" i="3"/>
  <c r="CV36" i="3"/>
  <c r="CR36" i="3"/>
  <c r="CN36" i="3"/>
  <c r="CJ36" i="3"/>
  <c r="CF36" i="3"/>
  <c r="CB36" i="3"/>
  <c r="BX36" i="3"/>
  <c r="BT36" i="3"/>
  <c r="BP36" i="3"/>
  <c r="BL36" i="3"/>
  <c r="BH36" i="3"/>
  <c r="BD36" i="3"/>
  <c r="AZ36" i="3"/>
  <c r="AV36" i="3"/>
  <c r="AR36" i="3"/>
  <c r="AN36" i="3"/>
  <c r="AJ36" i="3"/>
  <c r="AF36" i="3"/>
  <c r="AB36" i="3"/>
  <c r="X36" i="3"/>
  <c r="T36" i="3"/>
  <c r="P36" i="3"/>
  <c r="L36" i="3"/>
  <c r="H36" i="3"/>
  <c r="ALG36" i="3"/>
  <c r="AKQ36" i="3"/>
  <c r="AKA36" i="3"/>
  <c r="AJK36" i="3"/>
  <c r="AIU36" i="3"/>
  <c r="AIE36" i="3"/>
  <c r="AHO36" i="3"/>
  <c r="AGY36" i="3"/>
  <c r="AGI36" i="3"/>
  <c r="AFS36" i="3"/>
  <c r="AFC36" i="3"/>
  <c r="AEM36" i="3"/>
  <c r="ADW36" i="3"/>
  <c r="ADG36" i="3"/>
  <c r="ACQ36" i="3"/>
  <c r="ACA36" i="3"/>
  <c r="ABK36" i="3"/>
  <c r="AAU36" i="3"/>
  <c r="AAE36" i="3"/>
  <c r="ZO36" i="3"/>
  <c r="YY36" i="3"/>
  <c r="YI36" i="3"/>
  <c r="XS36" i="3"/>
  <c r="XC36" i="3"/>
  <c r="WM36" i="3"/>
  <c r="VW36" i="3"/>
  <c r="VG36" i="3"/>
  <c r="UQ36" i="3"/>
  <c r="UA36" i="3"/>
  <c r="TK36" i="3"/>
  <c r="SU36" i="3"/>
  <c r="SE36" i="3"/>
  <c r="RO36" i="3"/>
  <c r="QY36" i="3"/>
  <c r="QI36" i="3"/>
  <c r="PS36" i="3"/>
  <c r="PC36" i="3"/>
  <c r="OM36" i="3"/>
  <c r="NW36" i="3"/>
  <c r="NG36" i="3"/>
  <c r="MQ36" i="3"/>
  <c r="MA36" i="3"/>
  <c r="LK36" i="3"/>
  <c r="KU36" i="3"/>
  <c r="KE36" i="3"/>
  <c r="JO36" i="3"/>
  <c r="IY36" i="3"/>
  <c r="II36" i="3"/>
  <c r="HS36" i="3"/>
  <c r="HC36" i="3"/>
  <c r="GM36" i="3"/>
  <c r="FW36" i="3"/>
  <c r="FG36" i="3"/>
  <c r="EQ36" i="3"/>
  <c r="EA36" i="3"/>
  <c r="DK36" i="3"/>
  <c r="CU36" i="3"/>
  <c r="CE36" i="3"/>
  <c r="BO36" i="3"/>
  <c r="AY36" i="3"/>
  <c r="AI36" i="3"/>
  <c r="S36" i="3"/>
  <c r="ALC36" i="3"/>
  <c r="AKM36" i="3"/>
  <c r="AJW36" i="3"/>
  <c r="AJG36" i="3"/>
  <c r="AIQ36" i="3"/>
  <c r="AIA36" i="3"/>
  <c r="AHK36" i="3"/>
  <c r="AGU36" i="3"/>
  <c r="AGE36" i="3"/>
  <c r="AFO36" i="3"/>
  <c r="AEY36" i="3"/>
  <c r="AEI36" i="3"/>
  <c r="ADS36" i="3"/>
  <c r="ADC36" i="3"/>
  <c r="ACM36" i="3"/>
  <c r="ABW36" i="3"/>
  <c r="ABG36" i="3"/>
  <c r="AAQ36" i="3"/>
  <c r="AAA36" i="3"/>
  <c r="ZK36" i="3"/>
  <c r="YU36" i="3"/>
  <c r="YE36" i="3"/>
  <c r="XO36" i="3"/>
  <c r="WY36" i="3"/>
  <c r="WI36" i="3"/>
  <c r="VS36" i="3"/>
  <c r="VC36" i="3"/>
  <c r="UM36" i="3"/>
  <c r="TW36" i="3"/>
  <c r="TG36" i="3"/>
  <c r="SQ36" i="3"/>
  <c r="SA36" i="3"/>
  <c r="RK36" i="3"/>
  <c r="QU36" i="3"/>
  <c r="QE36" i="3"/>
  <c r="PO36" i="3"/>
  <c r="OY36" i="3"/>
  <c r="OI36" i="3"/>
  <c r="NS36" i="3"/>
  <c r="NC36" i="3"/>
  <c r="MM36" i="3"/>
  <c r="LW36" i="3"/>
  <c r="LG36" i="3"/>
  <c r="KQ36" i="3"/>
  <c r="KA36" i="3"/>
  <c r="JK36" i="3"/>
  <c r="IU36" i="3"/>
  <c r="IE36" i="3"/>
  <c r="HO36" i="3"/>
  <c r="GY36" i="3"/>
  <c r="GI36" i="3"/>
  <c r="FS36" i="3"/>
  <c r="FC36" i="3"/>
  <c r="EM36" i="3"/>
  <c r="DW36" i="3"/>
  <c r="DG36" i="3"/>
  <c r="CQ36" i="3"/>
  <c r="CA36" i="3"/>
  <c r="BK36" i="3"/>
  <c r="AU36" i="3"/>
  <c r="AE36" i="3"/>
  <c r="O36" i="3"/>
  <c r="ALO36" i="3"/>
  <c r="AKY36" i="3"/>
  <c r="AKI36" i="3"/>
  <c r="AJS36" i="3"/>
  <c r="AJC36" i="3"/>
  <c r="AIM36" i="3"/>
  <c r="AHW36" i="3"/>
  <c r="AHG36" i="3"/>
  <c r="AGQ36" i="3"/>
  <c r="AGA36" i="3"/>
  <c r="AFK36" i="3"/>
  <c r="AEU36" i="3"/>
  <c r="AEE36" i="3"/>
  <c r="ADO36" i="3"/>
  <c r="ACY36" i="3"/>
  <c r="ACI36" i="3"/>
  <c r="ABS36" i="3"/>
  <c r="ABC36" i="3"/>
  <c r="AAM36" i="3"/>
  <c r="ZW36" i="3"/>
  <c r="ZG36" i="3"/>
  <c r="YQ36" i="3"/>
  <c r="YA36" i="3"/>
  <c r="XK36" i="3"/>
  <c r="WU36" i="3"/>
  <c r="WE36" i="3"/>
  <c r="VO36" i="3"/>
  <c r="UY36" i="3"/>
  <c r="UI36" i="3"/>
  <c r="TS36" i="3"/>
  <c r="TC36" i="3"/>
  <c r="SM36" i="3"/>
  <c r="RW36" i="3"/>
  <c r="RG36" i="3"/>
  <c r="QQ36" i="3"/>
  <c r="QA36" i="3"/>
  <c r="PK36" i="3"/>
  <c r="OU36" i="3"/>
  <c r="OE36" i="3"/>
  <c r="NO36" i="3"/>
  <c r="MY36" i="3"/>
  <c r="MI36" i="3"/>
  <c r="LS36" i="3"/>
  <c r="LC36" i="3"/>
  <c r="KM36" i="3"/>
  <c r="JW36" i="3"/>
  <c r="JG36" i="3"/>
  <c r="IQ36" i="3"/>
  <c r="IA36" i="3"/>
  <c r="HK36" i="3"/>
  <c r="GU36" i="3"/>
  <c r="GE36" i="3"/>
  <c r="FO36" i="3"/>
  <c r="EY36" i="3"/>
  <c r="EI36" i="3"/>
  <c r="DS36" i="3"/>
  <c r="DC36" i="3"/>
  <c r="CM36" i="3"/>
  <c r="BW36" i="3"/>
  <c r="BG36" i="3"/>
  <c r="AQ36" i="3"/>
  <c r="AA36" i="3"/>
  <c r="K36" i="3"/>
  <c r="ALK36" i="3"/>
  <c r="AKU36" i="3"/>
  <c r="AKE36" i="3"/>
  <c r="AJO36" i="3"/>
  <c r="AIY36" i="3"/>
  <c r="AII36" i="3"/>
  <c r="AHS36" i="3"/>
  <c r="AHC36" i="3"/>
  <c r="AGM36" i="3"/>
  <c r="AFW36" i="3"/>
  <c r="AFG36" i="3"/>
  <c r="AEQ36" i="3"/>
  <c r="AEA36" i="3"/>
  <c r="ADK36" i="3"/>
  <c r="ACU36" i="3"/>
  <c r="ACE36" i="3"/>
  <c r="ABO36" i="3"/>
  <c r="AAY36" i="3"/>
  <c r="AAI36" i="3"/>
  <c r="ZS36" i="3"/>
  <c r="ZC36" i="3"/>
  <c r="YM36" i="3"/>
  <c r="XW36" i="3"/>
  <c r="XG36" i="3"/>
  <c r="WQ36" i="3"/>
  <c r="WA36" i="3"/>
  <c r="VK36" i="3"/>
  <c r="UU36" i="3"/>
  <c r="UE36" i="3"/>
  <c r="TO36" i="3"/>
  <c r="SY36" i="3"/>
  <c r="SI36" i="3"/>
  <c r="RS36" i="3"/>
  <c r="RC36" i="3"/>
  <c r="QM36" i="3"/>
  <c r="PW36" i="3"/>
  <c r="PG36" i="3"/>
  <c r="OQ36" i="3"/>
  <c r="OA36" i="3"/>
  <c r="NK36" i="3"/>
  <c r="MU36" i="3"/>
  <c r="ME36" i="3"/>
  <c r="LO36" i="3"/>
  <c r="KY36" i="3"/>
  <c r="KI36" i="3"/>
  <c r="JS36" i="3"/>
  <c r="JC36" i="3"/>
  <c r="IM36" i="3"/>
  <c r="HW36" i="3"/>
  <c r="HG36" i="3"/>
  <c r="GQ36" i="3"/>
  <c r="GA36" i="3"/>
  <c r="FK36" i="3"/>
  <c r="EU36" i="3"/>
  <c r="EE36" i="3"/>
  <c r="DO36" i="3"/>
  <c r="CY36" i="3"/>
  <c r="CI36" i="3"/>
  <c r="BS36" i="3"/>
  <c r="BC36" i="3"/>
  <c r="AM36" i="3"/>
  <c r="W36" i="3"/>
  <c r="G36" i="3"/>
  <c r="ALO40" i="3"/>
  <c r="ALK40" i="3"/>
  <c r="ALG40" i="3"/>
  <c r="ALC40" i="3"/>
  <c r="AKY40" i="3"/>
  <c r="AKU40" i="3"/>
  <c r="AKQ40" i="3"/>
  <c r="AKM40" i="3"/>
  <c r="AKI40" i="3"/>
  <c r="AKE40" i="3"/>
  <c r="AKA40" i="3"/>
  <c r="AJW40" i="3"/>
  <c r="AJS40" i="3"/>
  <c r="AJO40" i="3"/>
  <c r="AJK40" i="3"/>
  <c r="AJG40" i="3"/>
  <c r="AJC40" i="3"/>
  <c r="AIY40" i="3"/>
  <c r="AIU40" i="3"/>
  <c r="AIQ40" i="3"/>
  <c r="AIM40" i="3"/>
  <c r="AII40" i="3"/>
  <c r="AIE40" i="3"/>
  <c r="AIA40" i="3"/>
  <c r="AHW40" i="3"/>
  <c r="AHS40" i="3"/>
  <c r="AHO40" i="3"/>
  <c r="AHK40" i="3"/>
  <c r="AHG40" i="3"/>
  <c r="AHC40" i="3"/>
  <c r="AGY40" i="3"/>
  <c r="AGU40" i="3"/>
  <c r="AGQ40" i="3"/>
  <c r="AGM40" i="3"/>
  <c r="AGI40" i="3"/>
  <c r="AGE40" i="3"/>
  <c r="AGA40" i="3"/>
  <c r="AFW40" i="3"/>
  <c r="AFS40" i="3"/>
  <c r="AFO40" i="3"/>
  <c r="AFK40" i="3"/>
  <c r="AFG40" i="3"/>
  <c r="AFC40" i="3"/>
  <c r="AEY40" i="3"/>
  <c r="AEU40" i="3"/>
  <c r="AEQ40" i="3"/>
  <c r="AEM40" i="3"/>
  <c r="AEI40" i="3"/>
  <c r="AEE40" i="3"/>
  <c r="AEA40" i="3"/>
  <c r="ADW40" i="3"/>
  <c r="ADS40" i="3"/>
  <c r="ADO40" i="3"/>
  <c r="ADK40" i="3"/>
  <c r="ADG40" i="3"/>
  <c r="ADC40" i="3"/>
  <c r="ACY40" i="3"/>
  <c r="ACU40" i="3"/>
  <c r="ACQ40" i="3"/>
  <c r="ACM40" i="3"/>
  <c r="ACI40" i="3"/>
  <c r="ACE40" i="3"/>
  <c r="ACA40" i="3"/>
  <c r="ABW40" i="3"/>
  <c r="ABS40" i="3"/>
  <c r="ABO40" i="3"/>
  <c r="ABK40" i="3"/>
  <c r="ABG40" i="3"/>
  <c r="ABC40" i="3"/>
  <c r="AAY40" i="3"/>
  <c r="AAU40" i="3"/>
  <c r="AAQ40" i="3"/>
  <c r="AAM40" i="3"/>
  <c r="AAI40" i="3"/>
  <c r="AAE40" i="3"/>
  <c r="AAA40" i="3"/>
  <c r="ZW40" i="3"/>
  <c r="ZS40" i="3"/>
  <c r="ZO40" i="3"/>
  <c r="ZK40" i="3"/>
  <c r="ZG40" i="3"/>
  <c r="ZC40" i="3"/>
  <c r="YY40" i="3"/>
  <c r="YU40" i="3"/>
  <c r="YQ40" i="3"/>
  <c r="YM40" i="3"/>
  <c r="YI40" i="3"/>
  <c r="YE40" i="3"/>
  <c r="YA40" i="3"/>
  <c r="XW40" i="3"/>
  <c r="XS40" i="3"/>
  <c r="XO40" i="3"/>
  <c r="XK40" i="3"/>
  <c r="XG40" i="3"/>
  <c r="XC40" i="3"/>
  <c r="WY40" i="3"/>
  <c r="WU40" i="3"/>
  <c r="WQ40" i="3"/>
  <c r="WM40" i="3"/>
  <c r="WI40" i="3"/>
  <c r="WE40" i="3"/>
  <c r="WA40" i="3"/>
  <c r="VW40" i="3"/>
  <c r="VS40" i="3"/>
  <c r="VO40" i="3"/>
  <c r="VK40" i="3"/>
  <c r="VG40" i="3"/>
  <c r="VC40" i="3"/>
  <c r="UY40" i="3"/>
  <c r="UU40" i="3"/>
  <c r="UQ40" i="3"/>
  <c r="UM40" i="3"/>
  <c r="UI40" i="3"/>
  <c r="UE40" i="3"/>
  <c r="UA40" i="3"/>
  <c r="TW40" i="3"/>
  <c r="TS40" i="3"/>
  <c r="TO40" i="3"/>
  <c r="TK40" i="3"/>
  <c r="TG40" i="3"/>
  <c r="TC40" i="3"/>
  <c r="SY40" i="3"/>
  <c r="SU40" i="3"/>
  <c r="SQ40" i="3"/>
  <c r="SM40" i="3"/>
  <c r="SI40" i="3"/>
  <c r="SE40" i="3"/>
  <c r="SA40" i="3"/>
  <c r="RW40" i="3"/>
  <c r="RS40" i="3"/>
  <c r="RO40" i="3"/>
  <c r="RK40" i="3"/>
  <c r="RG40" i="3"/>
  <c r="RC40" i="3"/>
  <c r="QY40" i="3"/>
  <c r="QU40" i="3"/>
  <c r="QQ40" i="3"/>
  <c r="QM40" i="3"/>
  <c r="QI40" i="3"/>
  <c r="QE40" i="3"/>
  <c r="QA40" i="3"/>
  <c r="PW40" i="3"/>
  <c r="PS40" i="3"/>
  <c r="PO40" i="3"/>
  <c r="PK40" i="3"/>
  <c r="PG40" i="3"/>
  <c r="PC40" i="3"/>
  <c r="OY40" i="3"/>
  <c r="OU40" i="3"/>
  <c r="OQ40" i="3"/>
  <c r="OM40" i="3"/>
  <c r="OI40" i="3"/>
  <c r="OE40" i="3"/>
  <c r="OA40" i="3"/>
  <c r="NW40" i="3"/>
  <c r="NS40" i="3"/>
  <c r="NO40" i="3"/>
  <c r="NK40" i="3"/>
  <c r="NG40" i="3"/>
  <c r="NC40" i="3"/>
  <c r="MY40" i="3"/>
  <c r="MU40" i="3"/>
  <c r="MQ40" i="3"/>
  <c r="MM40" i="3"/>
  <c r="MI40" i="3"/>
  <c r="ME40" i="3"/>
  <c r="MA40" i="3"/>
  <c r="LW40" i="3"/>
  <c r="LS40" i="3"/>
  <c r="LO40" i="3"/>
  <c r="LK40" i="3"/>
  <c r="LG40" i="3"/>
  <c r="LC40" i="3"/>
  <c r="KY40" i="3"/>
  <c r="KU40" i="3"/>
  <c r="KQ40" i="3"/>
  <c r="KM40" i="3"/>
  <c r="KI40" i="3"/>
  <c r="KE40" i="3"/>
  <c r="KA40" i="3"/>
  <c r="JW40" i="3"/>
  <c r="JS40" i="3"/>
  <c r="JO40" i="3"/>
  <c r="JK40" i="3"/>
  <c r="JG40" i="3"/>
  <c r="JC40" i="3"/>
  <c r="IY40" i="3"/>
  <c r="IU40" i="3"/>
  <c r="IQ40" i="3"/>
  <c r="IM40" i="3"/>
  <c r="II40" i="3"/>
  <c r="IE40" i="3"/>
  <c r="IA40" i="3"/>
  <c r="HW40" i="3"/>
  <c r="HS40" i="3"/>
  <c r="HO40" i="3"/>
  <c r="HK40" i="3"/>
  <c r="HG40" i="3"/>
  <c r="HC40" i="3"/>
  <c r="GY40" i="3"/>
  <c r="GU40" i="3"/>
  <c r="GQ40" i="3"/>
  <c r="GM40" i="3"/>
  <c r="GI40" i="3"/>
  <c r="GE40" i="3"/>
  <c r="GA40" i="3"/>
  <c r="FW40" i="3"/>
  <c r="FS40" i="3"/>
  <c r="FO40" i="3"/>
  <c r="FK40" i="3"/>
  <c r="FG40" i="3"/>
  <c r="FC40" i="3"/>
  <c r="EY40" i="3"/>
  <c r="EU40" i="3"/>
  <c r="EQ40" i="3"/>
  <c r="EM40" i="3"/>
  <c r="EI40" i="3"/>
  <c r="EE40" i="3"/>
  <c r="EA40" i="3"/>
  <c r="DW40" i="3"/>
  <c r="DS40" i="3"/>
  <c r="DO40" i="3"/>
  <c r="DK40" i="3"/>
  <c r="DG40" i="3"/>
  <c r="DC40" i="3"/>
  <c r="CY40" i="3"/>
  <c r="CU40" i="3"/>
  <c r="CQ40" i="3"/>
  <c r="CM40" i="3"/>
  <c r="CI40" i="3"/>
  <c r="CE40" i="3"/>
  <c r="CA40" i="3"/>
  <c r="BW40" i="3"/>
  <c r="BS40" i="3"/>
  <c r="BO40" i="3"/>
  <c r="BK40" i="3"/>
  <c r="BG40" i="3"/>
  <c r="BC40" i="3"/>
  <c r="AY40" i="3"/>
  <c r="AU40" i="3"/>
  <c r="AQ40" i="3"/>
  <c r="AM40" i="3"/>
  <c r="AI40" i="3"/>
  <c r="AE40" i="3"/>
  <c r="AA40" i="3"/>
  <c r="W40" i="3"/>
  <c r="S40" i="3"/>
  <c r="O40" i="3"/>
  <c r="K40" i="3"/>
  <c r="G40" i="3"/>
  <c r="ALP40" i="3"/>
  <c r="ALJ40" i="3"/>
  <c r="ALE40" i="3"/>
  <c r="AKZ40" i="3"/>
  <c r="AKT40" i="3"/>
  <c r="AKO40" i="3"/>
  <c r="AKJ40" i="3"/>
  <c r="AKD40" i="3"/>
  <c r="AJY40" i="3"/>
  <c r="AJT40" i="3"/>
  <c r="AJN40" i="3"/>
  <c r="AJI40" i="3"/>
  <c r="AJD40" i="3"/>
  <c r="AIX40" i="3"/>
  <c r="AIS40" i="3"/>
  <c r="AIN40" i="3"/>
  <c r="AIH40" i="3"/>
  <c r="AIC40" i="3"/>
  <c r="AHX40" i="3"/>
  <c r="AHR40" i="3"/>
  <c r="AHM40" i="3"/>
  <c r="AHH40" i="3"/>
  <c r="AHB40" i="3"/>
  <c r="AGW40" i="3"/>
  <c r="AGR40" i="3"/>
  <c r="AGL40" i="3"/>
  <c r="AGG40" i="3"/>
  <c r="AGB40" i="3"/>
  <c r="AFV40" i="3"/>
  <c r="AFQ40" i="3"/>
  <c r="AFL40" i="3"/>
  <c r="AFF40" i="3"/>
  <c r="AFA40" i="3"/>
  <c r="AEV40" i="3"/>
  <c r="AEP40" i="3"/>
  <c r="AEK40" i="3"/>
  <c r="AEF40" i="3"/>
  <c r="ADZ40" i="3"/>
  <c r="ADU40" i="3"/>
  <c r="ADP40" i="3"/>
  <c r="ADJ40" i="3"/>
  <c r="ADE40" i="3"/>
  <c r="ACZ40" i="3"/>
  <c r="ACT40" i="3"/>
  <c r="ACO40" i="3"/>
  <c r="ACJ40" i="3"/>
  <c r="ACD40" i="3"/>
  <c r="ABY40" i="3"/>
  <c r="ABT40" i="3"/>
  <c r="ABN40" i="3"/>
  <c r="ABI40" i="3"/>
  <c r="ABD40" i="3"/>
  <c r="AAX40" i="3"/>
  <c r="AAS40" i="3"/>
  <c r="AAN40" i="3"/>
  <c r="AAH40" i="3"/>
  <c r="AAC40" i="3"/>
  <c r="ZX40" i="3"/>
  <c r="ZR40" i="3"/>
  <c r="ZM40" i="3"/>
  <c r="ZH40" i="3"/>
  <c r="ZB40" i="3"/>
  <c r="YW40" i="3"/>
  <c r="YR40" i="3"/>
  <c r="YL40" i="3"/>
  <c r="YG40" i="3"/>
  <c r="YB40" i="3"/>
  <c r="XV40" i="3"/>
  <c r="XQ40" i="3"/>
  <c r="XL40" i="3"/>
  <c r="XF40" i="3"/>
  <c r="XA40" i="3"/>
  <c r="WV40" i="3"/>
  <c r="WP40" i="3"/>
  <c r="WK40" i="3"/>
  <c r="WF40" i="3"/>
  <c r="VZ40" i="3"/>
  <c r="VU40" i="3"/>
  <c r="VP40" i="3"/>
  <c r="VJ40" i="3"/>
  <c r="VE40" i="3"/>
  <c r="UZ40" i="3"/>
  <c r="UT40" i="3"/>
  <c r="UO40" i="3"/>
  <c r="UJ40" i="3"/>
  <c r="UD40" i="3"/>
  <c r="TY40" i="3"/>
  <c r="TT40" i="3"/>
  <c r="TN40" i="3"/>
  <c r="TI40" i="3"/>
  <c r="TD40" i="3"/>
  <c r="SX40" i="3"/>
  <c r="SS40" i="3"/>
  <c r="SN40" i="3"/>
  <c r="SH40" i="3"/>
  <c r="SC40" i="3"/>
  <c r="RX40" i="3"/>
  <c r="RR40" i="3"/>
  <c r="RM40" i="3"/>
  <c r="RH40" i="3"/>
  <c r="RB40" i="3"/>
  <c r="QW40" i="3"/>
  <c r="QR40" i="3"/>
  <c r="QL40" i="3"/>
  <c r="QG40" i="3"/>
  <c r="QB40" i="3"/>
  <c r="PV40" i="3"/>
  <c r="PQ40" i="3"/>
  <c r="PL40" i="3"/>
  <c r="PF40" i="3"/>
  <c r="PA40" i="3"/>
  <c r="OV40" i="3"/>
  <c r="OP40" i="3"/>
  <c r="OK40" i="3"/>
  <c r="OF40" i="3"/>
  <c r="NZ40" i="3"/>
  <c r="NU40" i="3"/>
  <c r="NP40" i="3"/>
  <c r="NJ40" i="3"/>
  <c r="NE40" i="3"/>
  <c r="MZ40" i="3"/>
  <c r="MT40" i="3"/>
  <c r="MO40" i="3"/>
  <c r="MJ40" i="3"/>
  <c r="MD40" i="3"/>
  <c r="LY40" i="3"/>
  <c r="LT40" i="3"/>
  <c r="LN40" i="3"/>
  <c r="LI40" i="3"/>
  <c r="LD40" i="3"/>
  <c r="KX40" i="3"/>
  <c r="KS40" i="3"/>
  <c r="KN40" i="3"/>
  <c r="KH40" i="3"/>
  <c r="KC40" i="3"/>
  <c r="JX40" i="3"/>
  <c r="JR40" i="3"/>
  <c r="JM40" i="3"/>
  <c r="JH40" i="3"/>
  <c r="JB40" i="3"/>
  <c r="IW40" i="3"/>
  <c r="IR40" i="3"/>
  <c r="IL40" i="3"/>
  <c r="IG40" i="3"/>
  <c r="IB40" i="3"/>
  <c r="HV40" i="3"/>
  <c r="HQ40" i="3"/>
  <c r="HL40" i="3"/>
  <c r="HF40" i="3"/>
  <c r="HA40" i="3"/>
  <c r="GV40" i="3"/>
  <c r="GP40" i="3"/>
  <c r="GK40" i="3"/>
  <c r="GF40" i="3"/>
  <c r="FZ40" i="3"/>
  <c r="FU40" i="3"/>
  <c r="FP40" i="3"/>
  <c r="FJ40" i="3"/>
  <c r="FE40" i="3"/>
  <c r="EZ40" i="3"/>
  <c r="ET40" i="3"/>
  <c r="EO40" i="3"/>
  <c r="EJ40" i="3"/>
  <c r="ED40" i="3"/>
  <c r="DY40" i="3"/>
  <c r="DT40" i="3"/>
  <c r="DN40" i="3"/>
  <c r="DI40" i="3"/>
  <c r="DD40" i="3"/>
  <c r="CX40" i="3"/>
  <c r="CS40" i="3"/>
  <c r="CN40" i="3"/>
  <c r="CH40" i="3"/>
  <c r="CC40" i="3"/>
  <c r="BX40" i="3"/>
  <c r="BR40" i="3"/>
  <c r="BM40" i="3"/>
  <c r="BH40" i="3"/>
  <c r="BB40" i="3"/>
  <c r="AW40" i="3"/>
  <c r="AR40" i="3"/>
  <c r="AL40" i="3"/>
  <c r="AG40" i="3"/>
  <c r="AB40" i="3"/>
  <c r="V40" i="3"/>
  <c r="Q40" i="3"/>
  <c r="L40" i="3"/>
  <c r="ALN40" i="3"/>
  <c r="ALI40" i="3"/>
  <c r="ALD40" i="3"/>
  <c r="AKX40" i="3"/>
  <c r="AKS40" i="3"/>
  <c r="AKN40" i="3"/>
  <c r="AKH40" i="3"/>
  <c r="AKC40" i="3"/>
  <c r="AJX40" i="3"/>
  <c r="AJR40" i="3"/>
  <c r="AJM40" i="3"/>
  <c r="AJH40" i="3"/>
  <c r="AJB40" i="3"/>
  <c r="AIW40" i="3"/>
  <c r="AIR40" i="3"/>
  <c r="AIL40" i="3"/>
  <c r="AIG40" i="3"/>
  <c r="AIB40" i="3"/>
  <c r="AHV40" i="3"/>
  <c r="AHQ40" i="3"/>
  <c r="AHL40" i="3"/>
  <c r="AHF40" i="3"/>
  <c r="AHA40" i="3"/>
  <c r="AGV40" i="3"/>
  <c r="AGP40" i="3"/>
  <c r="AGK40" i="3"/>
  <c r="AGF40" i="3"/>
  <c r="AFZ40" i="3"/>
  <c r="AFU40" i="3"/>
  <c r="AFP40" i="3"/>
  <c r="AFJ40" i="3"/>
  <c r="AFE40" i="3"/>
  <c r="AEZ40" i="3"/>
  <c r="AET40" i="3"/>
  <c r="AEO40" i="3"/>
  <c r="AEJ40" i="3"/>
  <c r="AED40" i="3"/>
  <c r="ADY40" i="3"/>
  <c r="ADT40" i="3"/>
  <c r="ADN40" i="3"/>
  <c r="ADI40" i="3"/>
  <c r="ADD40" i="3"/>
  <c r="ACX40" i="3"/>
  <c r="ACS40" i="3"/>
  <c r="ACN40" i="3"/>
  <c r="ACH40" i="3"/>
  <c r="ACC40" i="3"/>
  <c r="ABX40" i="3"/>
  <c r="ABR40" i="3"/>
  <c r="ABM40" i="3"/>
  <c r="ABH40" i="3"/>
  <c r="ABB40" i="3"/>
  <c r="AAW40" i="3"/>
  <c r="AAR40" i="3"/>
  <c r="AAL40" i="3"/>
  <c r="AAG40" i="3"/>
  <c r="AAB40" i="3"/>
  <c r="ZV40" i="3"/>
  <c r="ZQ40" i="3"/>
  <c r="ZL40" i="3"/>
  <c r="ZF40" i="3"/>
  <c r="ZA40" i="3"/>
  <c r="YV40" i="3"/>
  <c r="YP40" i="3"/>
  <c r="YK40" i="3"/>
  <c r="YF40" i="3"/>
  <c r="XZ40" i="3"/>
  <c r="XU40" i="3"/>
  <c r="XP40" i="3"/>
  <c r="XJ40" i="3"/>
  <c r="XE40" i="3"/>
  <c r="WZ40" i="3"/>
  <c r="WT40" i="3"/>
  <c r="WO40" i="3"/>
  <c r="WJ40" i="3"/>
  <c r="WD40" i="3"/>
  <c r="VY40" i="3"/>
  <c r="VT40" i="3"/>
  <c r="VN40" i="3"/>
  <c r="VI40" i="3"/>
  <c r="VD40" i="3"/>
  <c r="UX40" i="3"/>
  <c r="US40" i="3"/>
  <c r="UN40" i="3"/>
  <c r="UH40" i="3"/>
  <c r="UC40" i="3"/>
  <c r="TX40" i="3"/>
  <c r="TR40" i="3"/>
  <c r="TM40" i="3"/>
  <c r="TH40" i="3"/>
  <c r="TB40" i="3"/>
  <c r="SW40" i="3"/>
  <c r="SR40" i="3"/>
  <c r="SL40" i="3"/>
  <c r="SG40" i="3"/>
  <c r="SB40" i="3"/>
  <c r="RV40" i="3"/>
  <c r="RQ40" i="3"/>
  <c r="RL40" i="3"/>
  <c r="RF40" i="3"/>
  <c r="RA40" i="3"/>
  <c r="QV40" i="3"/>
  <c r="QP40" i="3"/>
  <c r="QK40" i="3"/>
  <c r="QF40" i="3"/>
  <c r="PZ40" i="3"/>
  <c r="PU40" i="3"/>
  <c r="PP40" i="3"/>
  <c r="PJ40" i="3"/>
  <c r="PE40" i="3"/>
  <c r="OZ40" i="3"/>
  <c r="OT40" i="3"/>
  <c r="OO40" i="3"/>
  <c r="OJ40" i="3"/>
  <c r="OD40" i="3"/>
  <c r="NY40" i="3"/>
  <c r="NT40" i="3"/>
  <c r="NN40" i="3"/>
  <c r="NI40" i="3"/>
  <c r="ND40" i="3"/>
  <c r="MX40" i="3"/>
  <c r="MS40" i="3"/>
  <c r="MN40" i="3"/>
  <c r="MH40" i="3"/>
  <c r="MC40" i="3"/>
  <c r="LX40" i="3"/>
  <c r="LR40" i="3"/>
  <c r="LM40" i="3"/>
  <c r="LH40" i="3"/>
  <c r="LB40" i="3"/>
  <c r="KW40" i="3"/>
  <c r="KR40" i="3"/>
  <c r="KL40" i="3"/>
  <c r="KG40" i="3"/>
  <c r="KB40" i="3"/>
  <c r="JV40" i="3"/>
  <c r="JQ40" i="3"/>
  <c r="JL40" i="3"/>
  <c r="JF40" i="3"/>
  <c r="JA40" i="3"/>
  <c r="IV40" i="3"/>
  <c r="IP40" i="3"/>
  <c r="IK40" i="3"/>
  <c r="IF40" i="3"/>
  <c r="HZ40" i="3"/>
  <c r="HU40" i="3"/>
  <c r="HP40" i="3"/>
  <c r="HJ40" i="3"/>
  <c r="HE40" i="3"/>
  <c r="GZ40" i="3"/>
  <c r="GT40" i="3"/>
  <c r="GO40" i="3"/>
  <c r="GJ40" i="3"/>
  <c r="GD40" i="3"/>
  <c r="FY40" i="3"/>
  <c r="FT40" i="3"/>
  <c r="FN40" i="3"/>
  <c r="FI40" i="3"/>
  <c r="FD40" i="3"/>
  <c r="EX40" i="3"/>
  <c r="ES40" i="3"/>
  <c r="EN40" i="3"/>
  <c r="EH40" i="3"/>
  <c r="EC40" i="3"/>
  <c r="DX40" i="3"/>
  <c r="DR40" i="3"/>
  <c r="DM40" i="3"/>
  <c r="DH40" i="3"/>
  <c r="DB40" i="3"/>
  <c r="CW40" i="3"/>
  <c r="CR40" i="3"/>
  <c r="CL40" i="3"/>
  <c r="CG40" i="3"/>
  <c r="CB40" i="3"/>
  <c r="BV40" i="3"/>
  <c r="BQ40" i="3"/>
  <c r="BL40" i="3"/>
  <c r="BF40" i="3"/>
  <c r="BA40" i="3"/>
  <c r="AV40" i="3"/>
  <c r="AP40" i="3"/>
  <c r="AK40" i="3"/>
  <c r="AF40" i="3"/>
  <c r="Z40" i="3"/>
  <c r="U40" i="3"/>
  <c r="P40" i="3"/>
  <c r="J40" i="3"/>
  <c r="F40" i="3"/>
  <c r="ALH40" i="3"/>
  <c r="AKW40" i="3"/>
  <c r="AKL40" i="3"/>
  <c r="AKB40" i="3"/>
  <c r="AJQ40" i="3"/>
  <c r="AJF40" i="3"/>
  <c r="AIV40" i="3"/>
  <c r="AIK40" i="3"/>
  <c r="AHZ40" i="3"/>
  <c r="AHP40" i="3"/>
  <c r="AHE40" i="3"/>
  <c r="AGT40" i="3"/>
  <c r="AGJ40" i="3"/>
  <c r="AFY40" i="3"/>
  <c r="AFN40" i="3"/>
  <c r="AFD40" i="3"/>
  <c r="AES40" i="3"/>
  <c r="AEH40" i="3"/>
  <c r="ADX40" i="3"/>
  <c r="ADM40" i="3"/>
  <c r="ADB40" i="3"/>
  <c r="ACR40" i="3"/>
  <c r="ACG40" i="3"/>
  <c r="ABV40" i="3"/>
  <c r="ABL40" i="3"/>
  <c r="ABA40" i="3"/>
  <c r="AAP40" i="3"/>
  <c r="AAF40" i="3"/>
  <c r="ZU40" i="3"/>
  <c r="ZJ40" i="3"/>
  <c r="YZ40" i="3"/>
  <c r="YO40" i="3"/>
  <c r="YD40" i="3"/>
  <c r="XT40" i="3"/>
  <c r="XI40" i="3"/>
  <c r="WX40" i="3"/>
  <c r="WN40" i="3"/>
  <c r="WC40" i="3"/>
  <c r="VR40" i="3"/>
  <c r="VH40" i="3"/>
  <c r="UW40" i="3"/>
  <c r="UL40" i="3"/>
  <c r="UB40" i="3"/>
  <c r="TQ40" i="3"/>
  <c r="TF40" i="3"/>
  <c r="SV40" i="3"/>
  <c r="SK40" i="3"/>
  <c r="RZ40" i="3"/>
  <c r="RP40" i="3"/>
  <c r="RE40" i="3"/>
  <c r="QT40" i="3"/>
  <c r="QJ40" i="3"/>
  <c r="PY40" i="3"/>
  <c r="PN40" i="3"/>
  <c r="PD40" i="3"/>
  <c r="OS40" i="3"/>
  <c r="OH40" i="3"/>
  <c r="NX40" i="3"/>
  <c r="NM40" i="3"/>
  <c r="NB40" i="3"/>
  <c r="MR40" i="3"/>
  <c r="MG40" i="3"/>
  <c r="LV40" i="3"/>
  <c r="LL40" i="3"/>
  <c r="LA40" i="3"/>
  <c r="KP40" i="3"/>
  <c r="KF40" i="3"/>
  <c r="JU40" i="3"/>
  <c r="JJ40" i="3"/>
  <c r="IZ40" i="3"/>
  <c r="IO40" i="3"/>
  <c r="ID40" i="3"/>
  <c r="HT40" i="3"/>
  <c r="HI40" i="3"/>
  <c r="GX40" i="3"/>
  <c r="GN40" i="3"/>
  <c r="GC40" i="3"/>
  <c r="FR40" i="3"/>
  <c r="FH40" i="3"/>
  <c r="EW40" i="3"/>
  <c r="EL40" i="3"/>
  <c r="EB40" i="3"/>
  <c r="DQ40" i="3"/>
  <c r="DF40" i="3"/>
  <c r="CV40" i="3"/>
  <c r="CK40" i="3"/>
  <c r="BZ40" i="3"/>
  <c r="BP40" i="3"/>
  <c r="BE40" i="3"/>
  <c r="AT40" i="3"/>
  <c r="AJ40" i="3"/>
  <c r="Y40" i="3"/>
  <c r="N40" i="3"/>
  <c r="ALM40" i="3"/>
  <c r="ALB40" i="3"/>
  <c r="AKR40" i="3"/>
  <c r="AKG40" i="3"/>
  <c r="AJV40" i="3"/>
  <c r="AJL40" i="3"/>
  <c r="AJA40" i="3"/>
  <c r="AIP40" i="3"/>
  <c r="AIF40" i="3"/>
  <c r="AHU40" i="3"/>
  <c r="AHJ40" i="3"/>
  <c r="AGZ40" i="3"/>
  <c r="AGO40" i="3"/>
  <c r="AGD40" i="3"/>
  <c r="AFT40" i="3"/>
  <c r="AFI40" i="3"/>
  <c r="AEX40" i="3"/>
  <c r="AEN40" i="3"/>
  <c r="AEC40" i="3"/>
  <c r="ADR40" i="3"/>
  <c r="ADH40" i="3"/>
  <c r="ACW40" i="3"/>
  <c r="ACL40" i="3"/>
  <c r="ACB40" i="3"/>
  <c r="ABQ40" i="3"/>
  <c r="ABF40" i="3"/>
  <c r="AAV40" i="3"/>
  <c r="AAK40" i="3"/>
  <c r="ZZ40" i="3"/>
  <c r="ZP40" i="3"/>
  <c r="ZE40" i="3"/>
  <c r="YT40" i="3"/>
  <c r="YJ40" i="3"/>
  <c r="XY40" i="3"/>
  <c r="XN40" i="3"/>
  <c r="XD40" i="3"/>
  <c r="WS40" i="3"/>
  <c r="WH40" i="3"/>
  <c r="VX40" i="3"/>
  <c r="VM40" i="3"/>
  <c r="VB40" i="3"/>
  <c r="UR40" i="3"/>
  <c r="UG40" i="3"/>
  <c r="TV40" i="3"/>
  <c r="TL40" i="3"/>
  <c r="TA40" i="3"/>
  <c r="SP40" i="3"/>
  <c r="SF40" i="3"/>
  <c r="RU40" i="3"/>
  <c r="RJ40" i="3"/>
  <c r="QZ40" i="3"/>
  <c r="QO40" i="3"/>
  <c r="QD40" i="3"/>
  <c r="PT40" i="3"/>
  <c r="PI40" i="3"/>
  <c r="OX40" i="3"/>
  <c r="ON40" i="3"/>
  <c r="OC40" i="3"/>
  <c r="NR40" i="3"/>
  <c r="NH40" i="3"/>
  <c r="MW40" i="3"/>
  <c r="ML40" i="3"/>
  <c r="MB40" i="3"/>
  <c r="LQ40" i="3"/>
  <c r="LF40" i="3"/>
  <c r="KV40" i="3"/>
  <c r="KK40" i="3"/>
  <c r="JZ40" i="3"/>
  <c r="JP40" i="3"/>
  <c r="JE40" i="3"/>
  <c r="IT40" i="3"/>
  <c r="IJ40" i="3"/>
  <c r="HY40" i="3"/>
  <c r="HN40" i="3"/>
  <c r="HD40" i="3"/>
  <c r="GS40" i="3"/>
  <c r="GH40" i="3"/>
  <c r="FX40" i="3"/>
  <c r="FM40" i="3"/>
  <c r="FB40" i="3"/>
  <c r="ER40" i="3"/>
  <c r="EG40" i="3"/>
  <c r="DV40" i="3"/>
  <c r="DL40" i="3"/>
  <c r="DA40" i="3"/>
  <c r="CP40" i="3"/>
  <c r="CF40" i="3"/>
  <c r="BU40" i="3"/>
  <c r="BJ40" i="3"/>
  <c r="AZ40" i="3"/>
  <c r="AO40" i="3"/>
  <c r="AD40" i="3"/>
  <c r="T40" i="3"/>
  <c r="I40" i="3"/>
  <c r="ALA40" i="3"/>
  <c r="AKF40" i="3"/>
  <c r="AJJ40" i="3"/>
  <c r="AIO40" i="3"/>
  <c r="AHT40" i="3"/>
  <c r="AGX40" i="3"/>
  <c r="AGC40" i="3"/>
  <c r="AFH40" i="3"/>
  <c r="AEL40" i="3"/>
  <c r="ADQ40" i="3"/>
  <c r="ACV40" i="3"/>
  <c r="ABZ40" i="3"/>
  <c r="ABE40" i="3"/>
  <c r="AAJ40" i="3"/>
  <c r="ZN40" i="3"/>
  <c r="YS40" i="3"/>
  <c r="XX40" i="3"/>
  <c r="XB40" i="3"/>
  <c r="WG40" i="3"/>
  <c r="VL40" i="3"/>
  <c r="UP40" i="3"/>
  <c r="TU40" i="3"/>
  <c r="SZ40" i="3"/>
  <c r="SD40" i="3"/>
  <c r="RI40" i="3"/>
  <c r="QN40" i="3"/>
  <c r="PR40" i="3"/>
  <c r="OW40" i="3"/>
  <c r="OB40" i="3"/>
  <c r="NF40" i="3"/>
  <c r="MK40" i="3"/>
  <c r="LP40" i="3"/>
  <c r="KT40" i="3"/>
  <c r="JY40" i="3"/>
  <c r="JD40" i="3"/>
  <c r="IH40" i="3"/>
  <c r="HM40" i="3"/>
  <c r="GR40" i="3"/>
  <c r="FV40" i="3"/>
  <c r="FA40" i="3"/>
  <c r="EF40" i="3"/>
  <c r="DJ40" i="3"/>
  <c r="CO40" i="3"/>
  <c r="BT40" i="3"/>
  <c r="AX40" i="3"/>
  <c r="AC40" i="3"/>
  <c r="H40" i="3"/>
  <c r="ALQ40" i="3"/>
  <c r="AKV40" i="3"/>
  <c r="AJZ40" i="3"/>
  <c r="AJE40" i="3"/>
  <c r="AIJ40" i="3"/>
  <c r="AHN40" i="3"/>
  <c r="AGS40" i="3"/>
  <c r="AFX40" i="3"/>
  <c r="AFB40" i="3"/>
  <c r="AEG40" i="3"/>
  <c r="ADL40" i="3"/>
  <c r="ACP40" i="3"/>
  <c r="ABU40" i="3"/>
  <c r="AAZ40" i="3"/>
  <c r="AAD40" i="3"/>
  <c r="ZI40" i="3"/>
  <c r="YN40" i="3"/>
  <c r="XR40" i="3"/>
  <c r="WW40" i="3"/>
  <c r="WB40" i="3"/>
  <c r="VF40" i="3"/>
  <c r="UK40" i="3"/>
  <c r="TP40" i="3"/>
  <c r="ST40" i="3"/>
  <c r="RY40" i="3"/>
  <c r="RD40" i="3"/>
  <c r="QH40" i="3"/>
  <c r="PM40" i="3"/>
  <c r="OR40" i="3"/>
  <c r="NV40" i="3"/>
  <c r="NA40" i="3"/>
  <c r="MF40" i="3"/>
  <c r="LJ40" i="3"/>
  <c r="KO40" i="3"/>
  <c r="JT40" i="3"/>
  <c r="IX40" i="3"/>
  <c r="IC40" i="3"/>
  <c r="HH40" i="3"/>
  <c r="GL40" i="3"/>
  <c r="FQ40" i="3"/>
  <c r="EV40" i="3"/>
  <c r="DZ40" i="3"/>
  <c r="DE40" i="3"/>
  <c r="CJ40" i="3"/>
  <c r="BN40" i="3"/>
  <c r="AS40" i="3"/>
  <c r="X40" i="3"/>
  <c r="ALL40" i="3"/>
  <c r="AKP40" i="3"/>
  <c r="AJU40" i="3"/>
  <c r="AIZ40" i="3"/>
  <c r="AID40" i="3"/>
  <c r="AHI40" i="3"/>
  <c r="AGN40" i="3"/>
  <c r="AFR40" i="3"/>
  <c r="AEW40" i="3"/>
  <c r="AEB40" i="3"/>
  <c r="ADF40" i="3"/>
  <c r="ACK40" i="3"/>
  <c r="ABP40" i="3"/>
  <c r="AAT40" i="3"/>
  <c r="ZY40" i="3"/>
  <c r="ZD40" i="3"/>
  <c r="YH40" i="3"/>
  <c r="XM40" i="3"/>
  <c r="WR40" i="3"/>
  <c r="VV40" i="3"/>
  <c r="VA40" i="3"/>
  <c r="UF40" i="3"/>
  <c r="TJ40" i="3"/>
  <c r="SO40" i="3"/>
  <c r="RT40" i="3"/>
  <c r="QX40" i="3"/>
  <c r="QC40" i="3"/>
  <c r="PH40" i="3"/>
  <c r="OL40" i="3"/>
  <c r="NQ40" i="3"/>
  <c r="MV40" i="3"/>
  <c r="LZ40" i="3"/>
  <c r="LE40" i="3"/>
  <c r="KJ40" i="3"/>
  <c r="JN40" i="3"/>
  <c r="IS40" i="3"/>
  <c r="HX40" i="3"/>
  <c r="HB40" i="3"/>
  <c r="GG40" i="3"/>
  <c r="FL40" i="3"/>
  <c r="EP40" i="3"/>
  <c r="DU40" i="3"/>
  <c r="CZ40" i="3"/>
  <c r="CD40" i="3"/>
  <c r="BI40" i="3"/>
  <c r="AN40" i="3"/>
  <c r="R40" i="3"/>
  <c r="ALF40" i="3"/>
  <c r="AKK40" i="3"/>
  <c r="AJP40" i="3"/>
  <c r="AIT40" i="3"/>
  <c r="AHY40" i="3"/>
  <c r="AHD40" i="3"/>
  <c r="AGH40" i="3"/>
  <c r="AFM40" i="3"/>
  <c r="AER40" i="3"/>
  <c r="ADV40" i="3"/>
  <c r="ADA40" i="3"/>
  <c r="ACF40" i="3"/>
  <c r="ABJ40" i="3"/>
  <c r="AAO40" i="3"/>
  <c r="ZT40" i="3"/>
  <c r="YX40" i="3"/>
  <c r="YC40" i="3"/>
  <c r="XH40" i="3"/>
  <c r="WL40" i="3"/>
  <c r="VQ40" i="3"/>
  <c r="UV40" i="3"/>
  <c r="TZ40" i="3"/>
  <c r="TE40" i="3"/>
  <c r="SJ40" i="3"/>
  <c r="RN40" i="3"/>
  <c r="QS40" i="3"/>
  <c r="PX40" i="3"/>
  <c r="PB40" i="3"/>
  <c r="OG40" i="3"/>
  <c r="NL40" i="3"/>
  <c r="MP40" i="3"/>
  <c r="LU40" i="3"/>
  <c r="KZ40" i="3"/>
  <c r="KD40" i="3"/>
  <c r="JI40" i="3"/>
  <c r="IN40" i="3"/>
  <c r="HR40" i="3"/>
  <c r="GW40" i="3"/>
  <c r="GB40" i="3"/>
  <c r="FF40" i="3"/>
  <c r="EK40" i="3"/>
  <c r="DP40" i="3"/>
  <c r="CT40" i="3"/>
  <c r="BY40" i="3"/>
  <c r="BD40" i="3"/>
  <c r="AH40" i="3"/>
  <c r="M40" i="3"/>
  <c r="ALP44" i="3"/>
  <c r="ALL44" i="3"/>
  <c r="ALH44" i="3"/>
  <c r="ALD44" i="3"/>
  <c r="AKZ44" i="3"/>
  <c r="AKV44" i="3"/>
  <c r="AKR44" i="3"/>
  <c r="AKN44" i="3"/>
  <c r="AKJ44" i="3"/>
  <c r="AKF44" i="3"/>
  <c r="AKB44" i="3"/>
  <c r="AJX44" i="3"/>
  <c r="AJT44" i="3"/>
  <c r="AJP44" i="3"/>
  <c r="AJL44" i="3"/>
  <c r="AJH44" i="3"/>
  <c r="AJD44" i="3"/>
  <c r="AIZ44" i="3"/>
  <c r="AIV44" i="3"/>
  <c r="AIR44" i="3"/>
  <c r="AIN44" i="3"/>
  <c r="AIJ44" i="3"/>
  <c r="AIF44" i="3"/>
  <c r="AIB44" i="3"/>
  <c r="AHX44" i="3"/>
  <c r="AHT44" i="3"/>
  <c r="AHP44" i="3"/>
  <c r="AHL44" i="3"/>
  <c r="AHH44" i="3"/>
  <c r="AHD44" i="3"/>
  <c r="AGZ44" i="3"/>
  <c r="AGV44" i="3"/>
  <c r="AGR44" i="3"/>
  <c r="AGN44" i="3"/>
  <c r="AGJ44" i="3"/>
  <c r="AGF44" i="3"/>
  <c r="AGB44" i="3"/>
  <c r="AFX44" i="3"/>
  <c r="AFT44" i="3"/>
  <c r="AFP44" i="3"/>
  <c r="AFL44" i="3"/>
  <c r="AFH44" i="3"/>
  <c r="AFD44" i="3"/>
  <c r="AEZ44" i="3"/>
  <c r="AEV44" i="3"/>
  <c r="AER44" i="3"/>
  <c r="AEN44" i="3"/>
  <c r="AEJ44" i="3"/>
  <c r="AEF44" i="3"/>
  <c r="AEB44" i="3"/>
  <c r="ADX44" i="3"/>
  <c r="ADT44" i="3"/>
  <c r="ADP44" i="3"/>
  <c r="ADL44" i="3"/>
  <c r="ADH44" i="3"/>
  <c r="ADD44" i="3"/>
  <c r="ACZ44" i="3"/>
  <c r="ACV44" i="3"/>
  <c r="ACR44" i="3"/>
  <c r="ACN44" i="3"/>
  <c r="ACJ44" i="3"/>
  <c r="ACF44" i="3"/>
  <c r="ACB44" i="3"/>
  <c r="ABX44" i="3"/>
  <c r="ABT44" i="3"/>
  <c r="ABP44" i="3"/>
  <c r="ABL44" i="3"/>
  <c r="ABH44" i="3"/>
  <c r="ABD44" i="3"/>
  <c r="AAZ44" i="3"/>
  <c r="AAV44" i="3"/>
  <c r="AAR44" i="3"/>
  <c r="AAN44" i="3"/>
  <c r="AAJ44" i="3"/>
  <c r="AAF44" i="3"/>
  <c r="AAB44" i="3"/>
  <c r="ZX44" i="3"/>
  <c r="ZT44" i="3"/>
  <c r="ZP44" i="3"/>
  <c r="ZL44" i="3"/>
  <c r="ZH44" i="3"/>
  <c r="ZD44" i="3"/>
  <c r="YZ44" i="3"/>
  <c r="YV44" i="3"/>
  <c r="YR44" i="3"/>
  <c r="YN44" i="3"/>
  <c r="YJ44" i="3"/>
  <c r="YF44" i="3"/>
  <c r="YB44" i="3"/>
  <c r="XX44" i="3"/>
  <c r="XT44" i="3"/>
  <c r="XP44" i="3"/>
  <c r="XL44" i="3"/>
  <c r="XH44" i="3"/>
  <c r="XD44" i="3"/>
  <c r="WZ44" i="3"/>
  <c r="WV44" i="3"/>
  <c r="WR44" i="3"/>
  <c r="WN44" i="3"/>
  <c r="WJ44" i="3"/>
  <c r="WF44" i="3"/>
  <c r="WB44" i="3"/>
  <c r="VX44" i="3"/>
  <c r="VT44" i="3"/>
  <c r="VP44" i="3"/>
  <c r="VL44" i="3"/>
  <c r="VH44" i="3"/>
  <c r="VD44" i="3"/>
  <c r="UZ44" i="3"/>
  <c r="UV44" i="3"/>
  <c r="UR44" i="3"/>
  <c r="UN44" i="3"/>
  <c r="UJ44" i="3"/>
  <c r="UF44" i="3"/>
  <c r="UB44" i="3"/>
  <c r="TX44" i="3"/>
  <c r="TT44" i="3"/>
  <c r="TP44" i="3"/>
  <c r="TL44" i="3"/>
  <c r="TH44" i="3"/>
  <c r="TD44" i="3"/>
  <c r="SZ44" i="3"/>
  <c r="SV44" i="3"/>
  <c r="SR44" i="3"/>
  <c r="SN44" i="3"/>
  <c r="SJ44" i="3"/>
  <c r="SF44" i="3"/>
  <c r="SB44" i="3"/>
  <c r="RX44" i="3"/>
  <c r="RT44" i="3"/>
  <c r="RP44" i="3"/>
  <c r="RL44" i="3"/>
  <c r="RH44" i="3"/>
  <c r="RD44" i="3"/>
  <c r="QZ44" i="3"/>
  <c r="QV44" i="3"/>
  <c r="QR44" i="3"/>
  <c r="QN44" i="3"/>
  <c r="QJ44" i="3"/>
  <c r="QF44" i="3"/>
  <c r="QB44" i="3"/>
  <c r="PX44" i="3"/>
  <c r="PT44" i="3"/>
  <c r="PP44" i="3"/>
  <c r="PL44" i="3"/>
  <c r="PH44" i="3"/>
  <c r="PD44" i="3"/>
  <c r="OZ44" i="3"/>
  <c r="OV44" i="3"/>
  <c r="OR44" i="3"/>
  <c r="ON44" i="3"/>
  <c r="OJ44" i="3"/>
  <c r="OF44" i="3"/>
  <c r="OB44" i="3"/>
  <c r="NX44" i="3"/>
  <c r="NT44" i="3"/>
  <c r="NP44" i="3"/>
  <c r="NL44" i="3"/>
  <c r="NH44" i="3"/>
  <c r="ND44" i="3"/>
  <c r="MZ44" i="3"/>
  <c r="MV44" i="3"/>
  <c r="MR44" i="3"/>
  <c r="MN44" i="3"/>
  <c r="MJ44" i="3"/>
  <c r="MF44" i="3"/>
  <c r="MB44" i="3"/>
  <c r="LX44" i="3"/>
  <c r="LT44" i="3"/>
  <c r="LP44" i="3"/>
  <c r="LL44" i="3"/>
  <c r="LH44" i="3"/>
  <c r="LD44" i="3"/>
  <c r="KZ44" i="3"/>
  <c r="KV44" i="3"/>
  <c r="KR44" i="3"/>
  <c r="KN44" i="3"/>
  <c r="KJ44" i="3"/>
  <c r="KF44" i="3"/>
  <c r="KB44" i="3"/>
  <c r="JX44" i="3"/>
  <c r="JT44" i="3"/>
  <c r="JP44" i="3"/>
  <c r="JL44" i="3"/>
  <c r="JH44" i="3"/>
  <c r="JD44" i="3"/>
  <c r="IZ44" i="3"/>
  <c r="IV44" i="3"/>
  <c r="IR44" i="3"/>
  <c r="IN44" i="3"/>
  <c r="IJ44" i="3"/>
  <c r="IF44" i="3"/>
  <c r="IB44" i="3"/>
  <c r="HX44" i="3"/>
  <c r="HT44" i="3"/>
  <c r="HP44" i="3"/>
  <c r="HL44" i="3"/>
  <c r="HH44" i="3"/>
  <c r="HD44" i="3"/>
  <c r="GZ44" i="3"/>
  <c r="GV44" i="3"/>
  <c r="GR44" i="3"/>
  <c r="GN44" i="3"/>
  <c r="GJ44" i="3"/>
  <c r="GF44" i="3"/>
  <c r="GB44" i="3"/>
  <c r="FX44" i="3"/>
  <c r="FT44" i="3"/>
  <c r="FP44" i="3"/>
  <c r="FL44" i="3"/>
  <c r="FH44" i="3"/>
  <c r="FD44" i="3"/>
  <c r="EZ44" i="3"/>
  <c r="EV44" i="3"/>
  <c r="ER44" i="3"/>
  <c r="EN44" i="3"/>
  <c r="EJ44" i="3"/>
  <c r="EF44" i="3"/>
  <c r="EB44" i="3"/>
  <c r="DX44" i="3"/>
  <c r="DT44" i="3"/>
  <c r="DP44" i="3"/>
  <c r="DL44" i="3"/>
  <c r="DH44" i="3"/>
  <c r="DD44" i="3"/>
  <c r="CZ44" i="3"/>
  <c r="CV44" i="3"/>
  <c r="CR44" i="3"/>
  <c r="CN44" i="3"/>
  <c r="CJ44" i="3"/>
  <c r="CF44" i="3"/>
  <c r="CB44" i="3"/>
  <c r="BX44" i="3"/>
  <c r="BT44" i="3"/>
  <c r="BP44" i="3"/>
  <c r="ALO44" i="3"/>
  <c r="ALK44" i="3"/>
  <c r="ALG44" i="3"/>
  <c r="ALC44" i="3"/>
  <c r="AKY44" i="3"/>
  <c r="AKU44" i="3"/>
  <c r="AKQ44" i="3"/>
  <c r="AKM44" i="3"/>
  <c r="AKI44" i="3"/>
  <c r="AKE44" i="3"/>
  <c r="AKA44" i="3"/>
  <c r="AJW44" i="3"/>
  <c r="AJS44" i="3"/>
  <c r="AJO44" i="3"/>
  <c r="AJK44" i="3"/>
  <c r="AJG44" i="3"/>
  <c r="AJC44" i="3"/>
  <c r="AIY44" i="3"/>
  <c r="AIU44" i="3"/>
  <c r="AIQ44" i="3"/>
  <c r="AIM44" i="3"/>
  <c r="AII44" i="3"/>
  <c r="AIE44" i="3"/>
  <c r="AIA44" i="3"/>
  <c r="AHW44" i="3"/>
  <c r="AHS44" i="3"/>
  <c r="AHO44" i="3"/>
  <c r="AHK44" i="3"/>
  <c r="AHG44" i="3"/>
  <c r="AHC44" i="3"/>
  <c r="AGY44" i="3"/>
  <c r="AGU44" i="3"/>
  <c r="AGQ44" i="3"/>
  <c r="AGM44" i="3"/>
  <c r="AGI44" i="3"/>
  <c r="AGE44" i="3"/>
  <c r="AGA44" i="3"/>
  <c r="AFW44" i="3"/>
  <c r="AFS44" i="3"/>
  <c r="AFO44" i="3"/>
  <c r="AFK44" i="3"/>
  <c r="AFG44" i="3"/>
  <c r="AFC44" i="3"/>
  <c r="AEY44" i="3"/>
  <c r="AEU44" i="3"/>
  <c r="AEQ44" i="3"/>
  <c r="AEM44" i="3"/>
  <c r="AEI44" i="3"/>
  <c r="AEE44" i="3"/>
  <c r="AEA44" i="3"/>
  <c r="ADW44" i="3"/>
  <c r="ADS44" i="3"/>
  <c r="ADO44" i="3"/>
  <c r="ADK44" i="3"/>
  <c r="ADG44" i="3"/>
  <c r="ADC44" i="3"/>
  <c r="ACY44" i="3"/>
  <c r="ACU44" i="3"/>
  <c r="ACQ44" i="3"/>
  <c r="ACM44" i="3"/>
  <c r="ACI44" i="3"/>
  <c r="ACE44" i="3"/>
  <c r="ACA44" i="3"/>
  <c r="ABW44" i="3"/>
  <c r="ABS44" i="3"/>
  <c r="ABO44" i="3"/>
  <c r="ABK44" i="3"/>
  <c r="ABG44" i="3"/>
  <c r="ABC44" i="3"/>
  <c r="AAY44" i="3"/>
  <c r="AAU44" i="3"/>
  <c r="AAQ44" i="3"/>
  <c r="AAM44" i="3"/>
  <c r="AAI44" i="3"/>
  <c r="AAE44" i="3"/>
  <c r="AAA44" i="3"/>
  <c r="ZW44" i="3"/>
  <c r="ZS44" i="3"/>
  <c r="ZO44" i="3"/>
  <c r="ZK44" i="3"/>
  <c r="ZG44" i="3"/>
  <c r="ZC44" i="3"/>
  <c r="YY44" i="3"/>
  <c r="YU44" i="3"/>
  <c r="YQ44" i="3"/>
  <c r="YM44" i="3"/>
  <c r="YI44" i="3"/>
  <c r="YE44" i="3"/>
  <c r="YA44" i="3"/>
  <c r="XW44" i="3"/>
  <c r="XS44" i="3"/>
  <c r="XO44" i="3"/>
  <c r="XK44" i="3"/>
  <c r="XG44" i="3"/>
  <c r="XC44" i="3"/>
  <c r="WY44" i="3"/>
  <c r="WU44" i="3"/>
  <c r="WQ44" i="3"/>
  <c r="WM44" i="3"/>
  <c r="WI44" i="3"/>
  <c r="WE44" i="3"/>
  <c r="WA44" i="3"/>
  <c r="VW44" i="3"/>
  <c r="VS44" i="3"/>
  <c r="VO44" i="3"/>
  <c r="VK44" i="3"/>
  <c r="VG44" i="3"/>
  <c r="VC44" i="3"/>
  <c r="UY44" i="3"/>
  <c r="UU44" i="3"/>
  <c r="UQ44" i="3"/>
  <c r="UM44" i="3"/>
  <c r="UI44" i="3"/>
  <c r="UE44" i="3"/>
  <c r="UA44" i="3"/>
  <c r="TW44" i="3"/>
  <c r="TS44" i="3"/>
  <c r="TO44" i="3"/>
  <c r="TK44" i="3"/>
  <c r="TG44" i="3"/>
  <c r="TC44" i="3"/>
  <c r="SY44" i="3"/>
  <c r="SU44" i="3"/>
  <c r="SQ44" i="3"/>
  <c r="SM44" i="3"/>
  <c r="SI44" i="3"/>
  <c r="SE44" i="3"/>
  <c r="SA44" i="3"/>
  <c r="RW44" i="3"/>
  <c r="RS44" i="3"/>
  <c r="RO44" i="3"/>
  <c r="RK44" i="3"/>
  <c r="RG44" i="3"/>
  <c r="RC44" i="3"/>
  <c r="QY44" i="3"/>
  <c r="QU44" i="3"/>
  <c r="QQ44" i="3"/>
  <c r="QM44" i="3"/>
  <c r="QI44" i="3"/>
  <c r="QE44" i="3"/>
  <c r="QA44" i="3"/>
  <c r="PW44" i="3"/>
  <c r="PS44" i="3"/>
  <c r="PO44" i="3"/>
  <c r="PK44" i="3"/>
  <c r="PG44" i="3"/>
  <c r="PC44" i="3"/>
  <c r="OY44" i="3"/>
  <c r="OU44" i="3"/>
  <c r="OQ44" i="3"/>
  <c r="OM44" i="3"/>
  <c r="OI44" i="3"/>
  <c r="OE44" i="3"/>
  <c r="OA44" i="3"/>
  <c r="NW44" i="3"/>
  <c r="NS44" i="3"/>
  <c r="NO44" i="3"/>
  <c r="NK44" i="3"/>
  <c r="NG44" i="3"/>
  <c r="NC44" i="3"/>
  <c r="MY44" i="3"/>
  <c r="MU44" i="3"/>
  <c r="MQ44" i="3"/>
  <c r="MM44" i="3"/>
  <c r="MI44" i="3"/>
  <c r="ME44" i="3"/>
  <c r="MA44" i="3"/>
  <c r="LW44" i="3"/>
  <c r="LS44" i="3"/>
  <c r="LO44" i="3"/>
  <c r="LK44" i="3"/>
  <c r="LG44" i="3"/>
  <c r="LC44" i="3"/>
  <c r="KY44" i="3"/>
  <c r="KU44" i="3"/>
  <c r="KQ44" i="3"/>
  <c r="KM44" i="3"/>
  <c r="KI44" i="3"/>
  <c r="KE44" i="3"/>
  <c r="KA44" i="3"/>
  <c r="JW44" i="3"/>
  <c r="JS44" i="3"/>
  <c r="JO44" i="3"/>
  <c r="JK44" i="3"/>
  <c r="JG44" i="3"/>
  <c r="JC44" i="3"/>
  <c r="IY44" i="3"/>
  <c r="IU44" i="3"/>
  <c r="IQ44" i="3"/>
  <c r="IM44" i="3"/>
  <c r="II44" i="3"/>
  <c r="IE44" i="3"/>
  <c r="IA44" i="3"/>
  <c r="HW44" i="3"/>
  <c r="HS44" i="3"/>
  <c r="HO44" i="3"/>
  <c r="HK44" i="3"/>
  <c r="HG44" i="3"/>
  <c r="HC44" i="3"/>
  <c r="GY44" i="3"/>
  <c r="GU44" i="3"/>
  <c r="GQ44" i="3"/>
  <c r="GM44" i="3"/>
  <c r="GI44" i="3"/>
  <c r="GE44" i="3"/>
  <c r="GA44" i="3"/>
  <c r="FW44" i="3"/>
  <c r="FS44" i="3"/>
  <c r="FO44" i="3"/>
  <c r="FK44" i="3"/>
  <c r="FG44" i="3"/>
  <c r="FC44" i="3"/>
  <c r="EY44" i="3"/>
  <c r="EU44" i="3"/>
  <c r="EQ44" i="3"/>
  <c r="EM44" i="3"/>
  <c r="EI44" i="3"/>
  <c r="EE44" i="3"/>
  <c r="EA44" i="3"/>
  <c r="DW44" i="3"/>
  <c r="DS44" i="3"/>
  <c r="DO44" i="3"/>
  <c r="DK44" i="3"/>
  <c r="DG44" i="3"/>
  <c r="DC44" i="3"/>
  <c r="CY44" i="3"/>
  <c r="CU44" i="3"/>
  <c r="CQ44" i="3"/>
  <c r="CM44" i="3"/>
  <c r="CI44" i="3"/>
  <c r="CE44" i="3"/>
  <c r="CA44" i="3"/>
  <c r="BW44" i="3"/>
  <c r="BS44" i="3"/>
  <c r="BO44" i="3"/>
  <c r="ALQ44" i="3"/>
  <c r="ALI44" i="3"/>
  <c r="ALA44" i="3"/>
  <c r="AKS44" i="3"/>
  <c r="AKK44" i="3"/>
  <c r="AKC44" i="3"/>
  <c r="AJU44" i="3"/>
  <c r="AJM44" i="3"/>
  <c r="AJE44" i="3"/>
  <c r="AIW44" i="3"/>
  <c r="AIO44" i="3"/>
  <c r="AIG44" i="3"/>
  <c r="AHY44" i="3"/>
  <c r="AHQ44" i="3"/>
  <c r="AHI44" i="3"/>
  <c r="AHA44" i="3"/>
  <c r="AGS44" i="3"/>
  <c r="AGK44" i="3"/>
  <c r="AGC44" i="3"/>
  <c r="AFU44" i="3"/>
  <c r="AFM44" i="3"/>
  <c r="AFE44" i="3"/>
  <c r="AEW44" i="3"/>
  <c r="AEO44" i="3"/>
  <c r="AEG44" i="3"/>
  <c r="ADY44" i="3"/>
  <c r="ADQ44" i="3"/>
  <c r="ADI44" i="3"/>
  <c r="ADA44" i="3"/>
  <c r="ACS44" i="3"/>
  <c r="ACK44" i="3"/>
  <c r="ACC44" i="3"/>
  <c r="ABU44" i="3"/>
  <c r="ABM44" i="3"/>
  <c r="ABE44" i="3"/>
  <c r="AAW44" i="3"/>
  <c r="AAO44" i="3"/>
  <c r="AAG44" i="3"/>
  <c r="ZY44" i="3"/>
  <c r="ZQ44" i="3"/>
  <c r="ZI44" i="3"/>
  <c r="ZA44" i="3"/>
  <c r="YS44" i="3"/>
  <c r="YK44" i="3"/>
  <c r="YC44" i="3"/>
  <c r="XU44" i="3"/>
  <c r="XM44" i="3"/>
  <c r="XE44" i="3"/>
  <c r="WW44" i="3"/>
  <c r="WO44" i="3"/>
  <c r="WG44" i="3"/>
  <c r="VY44" i="3"/>
  <c r="VQ44" i="3"/>
  <c r="VI44" i="3"/>
  <c r="VA44" i="3"/>
  <c r="US44" i="3"/>
  <c r="UK44" i="3"/>
  <c r="UC44" i="3"/>
  <c r="TU44" i="3"/>
  <c r="TM44" i="3"/>
  <c r="TE44" i="3"/>
  <c r="SW44" i="3"/>
  <c r="SO44" i="3"/>
  <c r="SG44" i="3"/>
  <c r="RY44" i="3"/>
  <c r="RQ44" i="3"/>
  <c r="RI44" i="3"/>
  <c r="RA44" i="3"/>
  <c r="QS44" i="3"/>
  <c r="QK44" i="3"/>
  <c r="QC44" i="3"/>
  <c r="PU44" i="3"/>
  <c r="PM44" i="3"/>
  <c r="PE44" i="3"/>
  <c r="OW44" i="3"/>
  <c r="OO44" i="3"/>
  <c r="OG44" i="3"/>
  <c r="NY44" i="3"/>
  <c r="NQ44" i="3"/>
  <c r="NI44" i="3"/>
  <c r="NA44" i="3"/>
  <c r="MS44" i="3"/>
  <c r="MK44" i="3"/>
  <c r="MC44" i="3"/>
  <c r="LU44" i="3"/>
  <c r="LM44" i="3"/>
  <c r="LE44" i="3"/>
  <c r="KW44" i="3"/>
  <c r="KO44" i="3"/>
  <c r="KG44" i="3"/>
  <c r="JY44" i="3"/>
  <c r="JQ44" i="3"/>
  <c r="JI44" i="3"/>
  <c r="JA44" i="3"/>
  <c r="IS44" i="3"/>
  <c r="IK44" i="3"/>
  <c r="IC44" i="3"/>
  <c r="HU44" i="3"/>
  <c r="HM44" i="3"/>
  <c r="HE44" i="3"/>
  <c r="GW44" i="3"/>
  <c r="GO44" i="3"/>
  <c r="GG44" i="3"/>
  <c r="FY44" i="3"/>
  <c r="FQ44" i="3"/>
  <c r="FI44" i="3"/>
  <c r="FA44" i="3"/>
  <c r="ES44" i="3"/>
  <c r="EK44" i="3"/>
  <c r="EC44" i="3"/>
  <c r="DU44" i="3"/>
  <c r="DM44" i="3"/>
  <c r="DE44" i="3"/>
  <c r="CW44" i="3"/>
  <c r="CO44" i="3"/>
  <c r="CG44" i="3"/>
  <c r="BY44" i="3"/>
  <c r="BQ44" i="3"/>
  <c r="BK44" i="3"/>
  <c r="BG44" i="3"/>
  <c r="BC44" i="3"/>
  <c r="AY44" i="3"/>
  <c r="AU44" i="3"/>
  <c r="AQ44" i="3"/>
  <c r="AM44" i="3"/>
  <c r="AI44" i="3"/>
  <c r="AE44" i="3"/>
  <c r="AA44" i="3"/>
  <c r="W44" i="3"/>
  <c r="S44" i="3"/>
  <c r="O44" i="3"/>
  <c r="K44" i="3"/>
  <c r="G44" i="3"/>
  <c r="ALN44" i="3"/>
  <c r="ALF44" i="3"/>
  <c r="AKX44" i="3"/>
  <c r="AKP44" i="3"/>
  <c r="AKH44" i="3"/>
  <c r="AJZ44" i="3"/>
  <c r="AJR44" i="3"/>
  <c r="AJJ44" i="3"/>
  <c r="AJB44" i="3"/>
  <c r="AIT44" i="3"/>
  <c r="AIL44" i="3"/>
  <c r="AID44" i="3"/>
  <c r="AHV44" i="3"/>
  <c r="AHN44" i="3"/>
  <c r="AHF44" i="3"/>
  <c r="AGX44" i="3"/>
  <c r="AGP44" i="3"/>
  <c r="AGH44" i="3"/>
  <c r="AFZ44" i="3"/>
  <c r="AFR44" i="3"/>
  <c r="AFJ44" i="3"/>
  <c r="AFB44" i="3"/>
  <c r="AET44" i="3"/>
  <c r="AEL44" i="3"/>
  <c r="AED44" i="3"/>
  <c r="ADV44" i="3"/>
  <c r="ADN44" i="3"/>
  <c r="ADF44" i="3"/>
  <c r="ACX44" i="3"/>
  <c r="ACP44" i="3"/>
  <c r="ACH44" i="3"/>
  <c r="ABZ44" i="3"/>
  <c r="ABR44" i="3"/>
  <c r="ABJ44" i="3"/>
  <c r="ABB44" i="3"/>
  <c r="AAT44" i="3"/>
  <c r="AAL44" i="3"/>
  <c r="AAD44" i="3"/>
  <c r="ZV44" i="3"/>
  <c r="ZN44" i="3"/>
  <c r="ZF44" i="3"/>
  <c r="YX44" i="3"/>
  <c r="YP44" i="3"/>
  <c r="YH44" i="3"/>
  <c r="XZ44" i="3"/>
  <c r="XR44" i="3"/>
  <c r="XJ44" i="3"/>
  <c r="XB44" i="3"/>
  <c r="WT44" i="3"/>
  <c r="WL44" i="3"/>
  <c r="WD44" i="3"/>
  <c r="VV44" i="3"/>
  <c r="VN44" i="3"/>
  <c r="VF44" i="3"/>
  <c r="UX44" i="3"/>
  <c r="UP44" i="3"/>
  <c r="UH44" i="3"/>
  <c r="TZ44" i="3"/>
  <c r="TR44" i="3"/>
  <c r="TJ44" i="3"/>
  <c r="TB44" i="3"/>
  <c r="ST44" i="3"/>
  <c r="SL44" i="3"/>
  <c r="SD44" i="3"/>
  <c r="RV44" i="3"/>
  <c r="RN44" i="3"/>
  <c r="RF44" i="3"/>
  <c r="QX44" i="3"/>
  <c r="QP44" i="3"/>
  <c r="QH44" i="3"/>
  <c r="PZ44" i="3"/>
  <c r="PR44" i="3"/>
  <c r="PJ44" i="3"/>
  <c r="PB44" i="3"/>
  <c r="OT44" i="3"/>
  <c r="OL44" i="3"/>
  <c r="OD44" i="3"/>
  <c r="NV44" i="3"/>
  <c r="NN44" i="3"/>
  <c r="NF44" i="3"/>
  <c r="MX44" i="3"/>
  <c r="MP44" i="3"/>
  <c r="MH44" i="3"/>
  <c r="LZ44" i="3"/>
  <c r="LR44" i="3"/>
  <c r="LJ44" i="3"/>
  <c r="LB44" i="3"/>
  <c r="KT44" i="3"/>
  <c r="KL44" i="3"/>
  <c r="KD44" i="3"/>
  <c r="JV44" i="3"/>
  <c r="JN44" i="3"/>
  <c r="JF44" i="3"/>
  <c r="IX44" i="3"/>
  <c r="IP44" i="3"/>
  <c r="IH44" i="3"/>
  <c r="HZ44" i="3"/>
  <c r="HR44" i="3"/>
  <c r="HJ44" i="3"/>
  <c r="HB44" i="3"/>
  <c r="GT44" i="3"/>
  <c r="GL44" i="3"/>
  <c r="GD44" i="3"/>
  <c r="FV44" i="3"/>
  <c r="FN44" i="3"/>
  <c r="FF44" i="3"/>
  <c r="EX44" i="3"/>
  <c r="EP44" i="3"/>
  <c r="EH44" i="3"/>
  <c r="DZ44" i="3"/>
  <c r="DR44" i="3"/>
  <c r="DJ44" i="3"/>
  <c r="DB44" i="3"/>
  <c r="CT44" i="3"/>
  <c r="CL44" i="3"/>
  <c r="CD44" i="3"/>
  <c r="BV44" i="3"/>
  <c r="BN44" i="3"/>
  <c r="BJ44" i="3"/>
  <c r="BF44" i="3"/>
  <c r="BB44" i="3"/>
  <c r="AX44" i="3"/>
  <c r="AT44" i="3"/>
  <c r="AP44" i="3"/>
  <c r="AL44" i="3"/>
  <c r="AH44" i="3"/>
  <c r="AD44" i="3"/>
  <c r="Z44" i="3"/>
  <c r="V44" i="3"/>
  <c r="R44" i="3"/>
  <c r="N44" i="3"/>
  <c r="J44" i="3"/>
  <c r="ALM44" i="3"/>
  <c r="AKW44" i="3"/>
  <c r="AKG44" i="3"/>
  <c r="AJQ44" i="3"/>
  <c r="AJA44" i="3"/>
  <c r="AIK44" i="3"/>
  <c r="AHU44" i="3"/>
  <c r="AHE44" i="3"/>
  <c r="AGO44" i="3"/>
  <c r="AFY44" i="3"/>
  <c r="AFI44" i="3"/>
  <c r="AES44" i="3"/>
  <c r="AEC44" i="3"/>
  <c r="ADM44" i="3"/>
  <c r="ACW44" i="3"/>
  <c r="ACG44" i="3"/>
  <c r="ABQ44" i="3"/>
  <c r="ABA44" i="3"/>
  <c r="AAK44" i="3"/>
  <c r="ZU44" i="3"/>
  <c r="ZE44" i="3"/>
  <c r="YO44" i="3"/>
  <c r="XY44" i="3"/>
  <c r="XI44" i="3"/>
  <c r="WS44" i="3"/>
  <c r="WC44" i="3"/>
  <c r="VM44" i="3"/>
  <c r="ALJ44" i="3"/>
  <c r="AKT44" i="3"/>
  <c r="AKD44" i="3"/>
  <c r="AJN44" i="3"/>
  <c r="AIX44" i="3"/>
  <c r="AIH44" i="3"/>
  <c r="AHR44" i="3"/>
  <c r="AHB44" i="3"/>
  <c r="AGL44" i="3"/>
  <c r="AFV44" i="3"/>
  <c r="AFF44" i="3"/>
  <c r="AEP44" i="3"/>
  <c r="ADZ44" i="3"/>
  <c r="ADJ44" i="3"/>
  <c r="ACT44" i="3"/>
  <c r="ACD44" i="3"/>
  <c r="ABN44" i="3"/>
  <c r="AAX44" i="3"/>
  <c r="AAH44" i="3"/>
  <c r="ZR44" i="3"/>
  <c r="ZB44" i="3"/>
  <c r="YL44" i="3"/>
  <c r="XV44" i="3"/>
  <c r="XF44" i="3"/>
  <c r="WP44" i="3"/>
  <c r="VZ44" i="3"/>
  <c r="VJ44" i="3"/>
  <c r="UT44" i="3"/>
  <c r="UD44" i="3"/>
  <c r="TN44" i="3"/>
  <c r="SX44" i="3"/>
  <c r="SH44" i="3"/>
  <c r="RR44" i="3"/>
  <c r="RB44" i="3"/>
  <c r="QL44" i="3"/>
  <c r="PV44" i="3"/>
  <c r="PF44" i="3"/>
  <c r="OP44" i="3"/>
  <c r="NZ44" i="3"/>
  <c r="NJ44" i="3"/>
  <c r="MT44" i="3"/>
  <c r="MD44" i="3"/>
  <c r="LN44" i="3"/>
  <c r="KX44" i="3"/>
  <c r="KH44" i="3"/>
  <c r="JR44" i="3"/>
  <c r="JB44" i="3"/>
  <c r="IL44" i="3"/>
  <c r="HV44" i="3"/>
  <c r="HF44" i="3"/>
  <c r="GP44" i="3"/>
  <c r="FZ44" i="3"/>
  <c r="FJ44" i="3"/>
  <c r="ET44" i="3"/>
  <c r="ED44" i="3"/>
  <c r="DN44" i="3"/>
  <c r="CX44" i="3"/>
  <c r="CH44" i="3"/>
  <c r="BR44" i="3"/>
  <c r="BH44" i="3"/>
  <c r="AZ44" i="3"/>
  <c r="AR44" i="3"/>
  <c r="AJ44" i="3"/>
  <c r="AB44" i="3"/>
  <c r="T44" i="3"/>
  <c r="L44" i="3"/>
  <c r="AKL44" i="3"/>
  <c r="AJF44" i="3"/>
  <c r="AHZ44" i="3"/>
  <c r="AGT44" i="3"/>
  <c r="AFN44" i="3"/>
  <c r="AEH44" i="3"/>
  <c r="ADB44" i="3"/>
  <c r="ABV44" i="3"/>
  <c r="AAP44" i="3"/>
  <c r="ZJ44" i="3"/>
  <c r="YD44" i="3"/>
  <c r="WX44" i="3"/>
  <c r="VR44" i="3"/>
  <c r="UO44" i="3"/>
  <c r="TV44" i="3"/>
  <c r="TA44" i="3"/>
  <c r="SC44" i="3"/>
  <c r="RJ44" i="3"/>
  <c r="QO44" i="3"/>
  <c r="PQ44" i="3"/>
  <c r="OX44" i="3"/>
  <c r="OC44" i="3"/>
  <c r="NE44" i="3"/>
  <c r="ML44" i="3"/>
  <c r="LQ44" i="3"/>
  <c r="KS44" i="3"/>
  <c r="JZ44" i="3"/>
  <c r="JE44" i="3"/>
  <c r="IG44" i="3"/>
  <c r="HN44" i="3"/>
  <c r="GS44" i="3"/>
  <c r="FU44" i="3"/>
  <c r="FB44" i="3"/>
  <c r="EG44" i="3"/>
  <c r="DI44" i="3"/>
  <c r="CP44" i="3"/>
  <c r="BU44" i="3"/>
  <c r="BE44" i="3"/>
  <c r="AV44" i="3"/>
  <c r="AK44" i="3"/>
  <c r="Y44" i="3"/>
  <c r="P44" i="3"/>
  <c r="F44" i="3"/>
  <c r="ALE44" i="3"/>
  <c r="AJY44" i="3"/>
  <c r="AIS44" i="3"/>
  <c r="AHM44" i="3"/>
  <c r="AGG44" i="3"/>
  <c r="AFA44" i="3"/>
  <c r="ADU44" i="3"/>
  <c r="ACO44" i="3"/>
  <c r="ABI44" i="3"/>
  <c r="AAC44" i="3"/>
  <c r="YW44" i="3"/>
  <c r="XQ44" i="3"/>
  <c r="WK44" i="3"/>
  <c r="VE44" i="3"/>
  <c r="UL44" i="3"/>
  <c r="TQ44" i="3"/>
  <c r="SS44" i="3"/>
  <c r="RZ44" i="3"/>
  <c r="RE44" i="3"/>
  <c r="QG44" i="3"/>
  <c r="PN44" i="3"/>
  <c r="OS44" i="3"/>
  <c r="NU44" i="3"/>
  <c r="NB44" i="3"/>
  <c r="MG44" i="3"/>
  <c r="LI44" i="3"/>
  <c r="KP44" i="3"/>
  <c r="JU44" i="3"/>
  <c r="IW44" i="3"/>
  <c r="ID44" i="3"/>
  <c r="HI44" i="3"/>
  <c r="GK44" i="3"/>
  <c r="FR44" i="3"/>
  <c r="EW44" i="3"/>
  <c r="DY44" i="3"/>
  <c r="DF44" i="3"/>
  <c r="CK44" i="3"/>
  <c r="BM44" i="3"/>
  <c r="BD44" i="3"/>
  <c r="AS44" i="3"/>
  <c r="AG44" i="3"/>
  <c r="X44" i="3"/>
  <c r="M44" i="3"/>
  <c r="ALB44" i="3"/>
  <c r="AJV44" i="3"/>
  <c r="AIP44" i="3"/>
  <c r="AHJ44" i="3"/>
  <c r="AGD44" i="3"/>
  <c r="AEX44" i="3"/>
  <c r="ADR44" i="3"/>
  <c r="ACL44" i="3"/>
  <c r="ABF44" i="3"/>
  <c r="ZZ44" i="3"/>
  <c r="YT44" i="3"/>
  <c r="XN44" i="3"/>
  <c r="WH44" i="3"/>
  <c r="VB44" i="3"/>
  <c r="UG44" i="3"/>
  <c r="TI44" i="3"/>
  <c r="SP44" i="3"/>
  <c r="RU44" i="3"/>
  <c r="QW44" i="3"/>
  <c r="QD44" i="3"/>
  <c r="PI44" i="3"/>
  <c r="OK44" i="3"/>
  <c r="NR44" i="3"/>
  <c r="MW44" i="3"/>
  <c r="LY44" i="3"/>
  <c r="LF44" i="3"/>
  <c r="KK44" i="3"/>
  <c r="JM44" i="3"/>
  <c r="IT44" i="3"/>
  <c r="HY44" i="3"/>
  <c r="HA44" i="3"/>
  <c r="GH44" i="3"/>
  <c r="FM44" i="3"/>
  <c r="EO44" i="3"/>
  <c r="DV44" i="3"/>
  <c r="DA44" i="3"/>
  <c r="CC44" i="3"/>
  <c r="BL44" i="3"/>
  <c r="BA44" i="3"/>
  <c r="AO44" i="3"/>
  <c r="AF44" i="3"/>
  <c r="U44" i="3"/>
  <c r="I44" i="3"/>
  <c r="AJI44" i="3"/>
  <c r="AEK44" i="3"/>
  <c r="ZM44" i="3"/>
  <c r="UW44" i="3"/>
  <c r="RM44" i="3"/>
  <c r="OH44" i="3"/>
  <c r="LA44" i="3"/>
  <c r="HQ44" i="3"/>
  <c r="EL44" i="3"/>
  <c r="BI44" i="3"/>
  <c r="Q44" i="3"/>
  <c r="AIC44" i="3"/>
  <c r="ADE44" i="3"/>
  <c r="YG44" i="3"/>
  <c r="TY44" i="3"/>
  <c r="QT44" i="3"/>
  <c r="NM44" i="3"/>
  <c r="KC44" i="3"/>
  <c r="GX44" i="3"/>
  <c r="DQ44" i="3"/>
  <c r="AW44" i="3"/>
  <c r="H44" i="3"/>
  <c r="AGW44" i="3"/>
  <c r="ABY44" i="3"/>
  <c r="XA44" i="3"/>
  <c r="TF44" i="3"/>
  <c r="PY44" i="3"/>
  <c r="MO44" i="3"/>
  <c r="JJ44" i="3"/>
  <c r="GC44" i="3"/>
  <c r="CS44" i="3"/>
  <c r="AN44" i="3"/>
  <c r="AKO44" i="3"/>
  <c r="AFQ44" i="3"/>
  <c r="AAS44" i="3"/>
  <c r="VU44" i="3"/>
  <c r="SK44" i="3"/>
  <c r="PA44" i="3"/>
  <c r="LV44" i="3"/>
  <c r="IO44" i="3"/>
  <c r="FE44" i="3"/>
  <c r="BZ44" i="3"/>
  <c r="AC44" i="3"/>
  <c r="C13" i="6"/>
  <c r="C13" i="5"/>
  <c r="C11" i="4"/>
  <c r="C14" i="6"/>
  <c r="C14" i="5"/>
  <c r="C12" i="4"/>
  <c r="C15" i="5"/>
  <c r="C13" i="4"/>
  <c r="C15" i="6"/>
  <c r="C16" i="6"/>
  <c r="C16" i="5"/>
  <c r="C14" i="4"/>
  <c r="C17" i="6"/>
  <c r="C17" i="5"/>
  <c r="C15" i="4"/>
  <c r="C18" i="6"/>
  <c r="C18" i="5"/>
  <c r="C16" i="4"/>
  <c r="C19" i="6"/>
  <c r="C19" i="5"/>
  <c r="C17" i="4"/>
  <c r="C20" i="6"/>
  <c r="C18" i="4"/>
  <c r="C20" i="5"/>
  <c r="C21" i="6"/>
  <c r="C19" i="4"/>
  <c r="C21" i="5"/>
  <c r="C22" i="6"/>
  <c r="C22" i="5"/>
  <c r="C20" i="4"/>
  <c r="C23" i="6"/>
  <c r="C23" i="5"/>
  <c r="C21" i="4"/>
  <c r="C24" i="6"/>
  <c r="C24" i="5"/>
  <c r="C22" i="4"/>
  <c r="C25" i="6"/>
  <c r="C25" i="5"/>
  <c r="C23" i="4"/>
  <c r="C26" i="6"/>
  <c r="C26" i="5"/>
  <c r="C24" i="4"/>
  <c r="C27" i="6"/>
  <c r="C27" i="5"/>
  <c r="C25" i="4"/>
  <c r="C28" i="6"/>
  <c r="C26" i="4"/>
  <c r="C28" i="5"/>
  <c r="C29" i="6"/>
  <c r="C29" i="5"/>
  <c r="C27" i="4"/>
  <c r="C30" i="6"/>
  <c r="C30" i="5"/>
  <c r="C28" i="4"/>
  <c r="C31" i="6"/>
  <c r="C31" i="5"/>
  <c r="C29" i="4"/>
  <c r="C32" i="6"/>
  <c r="C32" i="5"/>
  <c r="C30" i="4"/>
  <c r="C33" i="6"/>
  <c r="C33" i="5"/>
  <c r="C31" i="4"/>
  <c r="C34" i="6"/>
  <c r="C34" i="5"/>
  <c r="C32" i="4"/>
  <c r="C35" i="6"/>
  <c r="C35" i="5"/>
  <c r="C33" i="4"/>
  <c r="C36" i="6"/>
  <c r="C34" i="4"/>
  <c r="C36" i="5"/>
  <c r="C37" i="6"/>
  <c r="C35" i="4"/>
  <c r="C37" i="5"/>
  <c r="C38" i="6"/>
  <c r="C38" i="5"/>
  <c r="C36" i="4"/>
  <c r="C39" i="6"/>
  <c r="C39" i="5"/>
  <c r="C37" i="4"/>
  <c r="C40" i="6"/>
  <c r="C40" i="5"/>
  <c r="C38" i="4"/>
  <c r="C41" i="6"/>
  <c r="C41" i="5"/>
  <c r="C39" i="4"/>
  <c r="C42" i="6"/>
  <c r="C42" i="5"/>
  <c r="C40" i="4"/>
  <c r="C43" i="6"/>
  <c r="C43" i="5"/>
  <c r="C41" i="4"/>
  <c r="C44" i="6"/>
  <c r="C42" i="4"/>
  <c r="C44" i="5"/>
  <c r="C45" i="6"/>
  <c r="C45" i="5"/>
  <c r="C43" i="4"/>
  <c r="C46" i="6"/>
  <c r="C46" i="5"/>
  <c r="C44" i="4"/>
  <c r="C47" i="6"/>
  <c r="C47" i="5"/>
  <c r="C45" i="4"/>
  <c r="C48" i="6"/>
  <c r="C48" i="5"/>
  <c r="C46" i="4"/>
  <c r="C49" i="6"/>
  <c r="C49" i="5"/>
  <c r="C47" i="4"/>
  <c r="C50" i="6"/>
  <c r="C50" i="5"/>
  <c r="C48" i="4"/>
  <c r="C51" i="6"/>
  <c r="C51" i="5"/>
  <c r="C49" i="4"/>
  <c r="C52" i="6"/>
  <c r="C50" i="4"/>
  <c r="C52" i="5"/>
  <c r="C53" i="6"/>
  <c r="C51" i="4"/>
  <c r="C53" i="5"/>
  <c r="C54" i="6"/>
  <c r="C54" i="5"/>
  <c r="C52" i="4"/>
  <c r="C55" i="6"/>
  <c r="C55" i="5"/>
  <c r="C53" i="4"/>
  <c r="C56" i="6"/>
  <c r="C56" i="5"/>
  <c r="C54" i="4"/>
  <c r="C57" i="6"/>
  <c r="C57" i="5"/>
  <c r="C55" i="4"/>
  <c r="C58" i="6"/>
  <c r="C58" i="5"/>
  <c r="C56" i="4"/>
  <c r="C59" i="6"/>
  <c r="C59" i="5"/>
  <c r="C57" i="4"/>
  <c r="C60" i="6"/>
  <c r="C60" i="5"/>
  <c r="C58" i="4"/>
  <c r="C61" i="6"/>
  <c r="C61" i="5"/>
  <c r="C59" i="4"/>
  <c r="C62" i="6"/>
  <c r="C62" i="5"/>
  <c r="C60" i="4"/>
  <c r="C63" i="6"/>
  <c r="C63" i="5"/>
  <c r="C61" i="4"/>
  <c r="C64" i="6"/>
  <c r="C64" i="5"/>
  <c r="C62" i="4"/>
  <c r="C65" i="6"/>
  <c r="C65" i="5"/>
  <c r="C63" i="4"/>
  <c r="C66" i="6"/>
  <c r="C66" i="5"/>
  <c r="C64" i="4"/>
  <c r="C67" i="5"/>
  <c r="C67" i="6"/>
  <c r="C65" i="4"/>
  <c r="C68" i="6"/>
  <c r="C68" i="5"/>
  <c r="C66" i="4"/>
  <c r="C69" i="6"/>
  <c r="C69" i="5"/>
  <c r="C67" i="4"/>
  <c r="C70" i="5"/>
  <c r="C70" i="6"/>
  <c r="C68" i="4"/>
  <c r="C71" i="6"/>
  <c r="C71" i="5"/>
  <c r="C69" i="4"/>
  <c r="C72" i="6"/>
  <c r="C72" i="5"/>
  <c r="C70" i="4"/>
  <c r="C73" i="6"/>
  <c r="C73" i="5"/>
  <c r="C71" i="4"/>
  <c r="C74" i="6"/>
  <c r="C74" i="5"/>
  <c r="C72" i="4"/>
  <c r="C75" i="6"/>
  <c r="C75" i="5"/>
  <c r="C73" i="4"/>
  <c r="C76" i="6"/>
  <c r="C74" i="4"/>
  <c r="C76" i="5"/>
  <c r="C77" i="6"/>
  <c r="C77" i="5"/>
  <c r="C75" i="4"/>
  <c r="C78" i="6"/>
  <c r="C78" i="5"/>
  <c r="C76" i="4"/>
  <c r="C79" i="6"/>
  <c r="C79" i="5"/>
  <c r="C77" i="4"/>
  <c r="C80" i="6"/>
  <c r="C80" i="5"/>
  <c r="C78" i="4"/>
  <c r="C81" i="6"/>
  <c r="C81" i="5"/>
  <c r="C79" i="4"/>
  <c r="C82" i="6"/>
  <c r="C82" i="5"/>
  <c r="C80" i="4"/>
  <c r="C83" i="6"/>
  <c r="C83" i="5"/>
  <c r="C81" i="4"/>
  <c r="C84" i="6"/>
  <c r="C84" i="5"/>
  <c r="C82" i="4"/>
  <c r="C85" i="6"/>
  <c r="C85" i="5"/>
  <c r="C83" i="4"/>
  <c r="C86" i="6"/>
  <c r="C86" i="5"/>
  <c r="C84" i="4"/>
  <c r="C87" i="6"/>
  <c r="C85" i="4"/>
  <c r="C87" i="5"/>
  <c r="C88" i="6"/>
  <c r="C88" i="5"/>
  <c r="C86" i="4"/>
  <c r="C89" i="6"/>
  <c r="C89" i="5"/>
  <c r="C87" i="4"/>
  <c r="C90" i="6"/>
  <c r="C90" i="5"/>
  <c r="C88" i="4"/>
  <c r="C91" i="6"/>
  <c r="C91" i="5"/>
  <c r="C89" i="4"/>
  <c r="C92" i="6"/>
  <c r="C92" i="5"/>
  <c r="C90" i="4"/>
  <c r="C93" i="6"/>
  <c r="C93" i="5"/>
  <c r="C91" i="4"/>
  <c r="C94" i="6"/>
  <c r="C94" i="5"/>
  <c r="C92" i="4"/>
  <c r="C95" i="6"/>
  <c r="C95" i="5"/>
  <c r="C93" i="4"/>
  <c r="C96" i="6"/>
  <c r="C96" i="5"/>
  <c r="C94" i="4"/>
  <c r="C97" i="6"/>
  <c r="C97" i="5"/>
  <c r="C95" i="4"/>
  <c r="C98" i="6"/>
  <c r="C98" i="5"/>
  <c r="C96" i="4"/>
  <c r="C99" i="6"/>
  <c r="C99" i="5"/>
  <c r="C97" i="4"/>
  <c r="C100" i="6"/>
  <c r="C100" i="5"/>
  <c r="C98" i="4"/>
  <c r="C101" i="6"/>
  <c r="C101" i="5"/>
  <c r="C99" i="4"/>
  <c r="C102" i="6"/>
  <c r="C102" i="5"/>
  <c r="C100" i="4"/>
  <c r="C103" i="6"/>
  <c r="C103" i="5"/>
  <c r="C101" i="4"/>
  <c r="C104" i="6"/>
  <c r="C104" i="5"/>
  <c r="C102" i="4"/>
  <c r="C105" i="6"/>
  <c r="C105" i="5"/>
  <c r="C103" i="4"/>
  <c r="C106" i="6"/>
  <c r="C106" i="5"/>
  <c r="C104" i="4"/>
  <c r="C107" i="6"/>
  <c r="C107" i="5"/>
  <c r="C105" i="4"/>
  <c r="C108" i="6"/>
  <c r="C106" i="4"/>
  <c r="C108" i="5"/>
  <c r="C109" i="6"/>
  <c r="C109" i="5"/>
  <c r="C107" i="4"/>
  <c r="C110" i="6"/>
  <c r="C110" i="5"/>
  <c r="C108" i="4"/>
  <c r="C111" i="6"/>
  <c r="C111" i="5"/>
  <c r="C109" i="4"/>
  <c r="C112" i="6"/>
  <c r="C112" i="5"/>
  <c r="C110" i="4"/>
  <c r="C113" i="5"/>
  <c r="C113" i="6"/>
  <c r="C111" i="4"/>
  <c r="C114" i="6"/>
  <c r="C114" i="5"/>
  <c r="C112" i="4"/>
  <c r="C115" i="6"/>
  <c r="C115" i="5"/>
  <c r="C113" i="4"/>
  <c r="C116" i="6"/>
  <c r="C116" i="5"/>
  <c r="C114" i="4"/>
  <c r="C117" i="6"/>
  <c r="C117" i="5"/>
  <c r="C115" i="4"/>
  <c r="C118" i="6"/>
  <c r="C118" i="5"/>
  <c r="C116" i="4"/>
  <c r="C119" i="6"/>
  <c r="C119" i="5"/>
  <c r="C117" i="4"/>
  <c r="C120" i="6"/>
  <c r="C120" i="5"/>
  <c r="C118" i="4"/>
  <c r="C121" i="6"/>
  <c r="C121" i="5"/>
  <c r="C119" i="4"/>
  <c r="C122" i="6"/>
  <c r="C122" i="5"/>
  <c r="C120" i="4"/>
  <c r="C123" i="6"/>
  <c r="C123" i="5"/>
  <c r="C121" i="4"/>
  <c r="C124" i="6"/>
  <c r="C124" i="5"/>
  <c r="C122" i="4"/>
  <c r="C125" i="6"/>
  <c r="C125" i="5"/>
  <c r="C123" i="4"/>
  <c r="C126" i="5"/>
  <c r="C126" i="6"/>
  <c r="C124" i="4"/>
  <c r="C127" i="6"/>
  <c r="C127" i="5"/>
  <c r="C125" i="4"/>
  <c r="C128" i="6"/>
  <c r="C128" i="5"/>
  <c r="C126" i="4"/>
  <c r="C129" i="6"/>
  <c r="C129" i="5"/>
  <c r="C127" i="4"/>
  <c r="C130" i="6"/>
  <c r="C130" i="5"/>
  <c r="C128" i="4"/>
  <c r="C131" i="6"/>
  <c r="C131" i="5"/>
  <c r="C129" i="4"/>
  <c r="C132" i="6"/>
  <c r="C132" i="5"/>
  <c r="C130" i="4"/>
  <c r="C133" i="6"/>
  <c r="C133" i="5"/>
  <c r="C131" i="4"/>
  <c r="C134" i="6"/>
  <c r="C134" i="5"/>
  <c r="C132" i="4"/>
  <c r="C135" i="6"/>
  <c r="C135" i="5"/>
  <c r="C133" i="4"/>
  <c r="C136" i="6"/>
  <c r="C136" i="5"/>
  <c r="C134" i="4"/>
  <c r="C137" i="6"/>
  <c r="C137" i="5"/>
  <c r="C135" i="4"/>
  <c r="C138" i="6"/>
  <c r="C138" i="5"/>
  <c r="C136" i="4"/>
  <c r="C139" i="6"/>
  <c r="C139" i="5"/>
  <c r="C137" i="4"/>
  <c r="C140" i="6"/>
  <c r="C140" i="5"/>
  <c r="C138" i="4"/>
  <c r="C141" i="6"/>
  <c r="C139" i="4"/>
  <c r="C141" i="5"/>
  <c r="C142" i="6"/>
  <c r="C142" i="5"/>
  <c r="C140" i="4"/>
  <c r="C143" i="6"/>
  <c r="C143" i="5"/>
  <c r="C141" i="4"/>
  <c r="C144" i="6"/>
  <c r="C144" i="5"/>
  <c r="C142" i="4"/>
  <c r="C145" i="6"/>
  <c r="C143" i="4"/>
  <c r="C145" i="5"/>
  <c r="C146" i="6"/>
  <c r="C146" i="5"/>
  <c r="C144" i="4"/>
  <c r="C147" i="6"/>
  <c r="C147" i="5"/>
  <c r="C145" i="4"/>
  <c r="C148" i="6"/>
  <c r="C148" i="5"/>
  <c r="C146" i="4"/>
  <c r="C149" i="6"/>
  <c r="C149" i="5"/>
  <c r="C147" i="4"/>
  <c r="C150" i="6"/>
  <c r="C150" i="5"/>
  <c r="C148" i="4"/>
  <c r="C151" i="6"/>
  <c r="C151" i="5"/>
  <c r="C149" i="4"/>
  <c r="C152" i="6"/>
  <c r="C152" i="5"/>
  <c r="C150" i="4"/>
  <c r="C153" i="6"/>
  <c r="C153" i="5"/>
  <c r="C151" i="4"/>
  <c r="C154" i="6"/>
  <c r="C154" i="5"/>
  <c r="C152" i="4"/>
  <c r="C155" i="6"/>
  <c r="C155" i="5"/>
  <c r="C153" i="4"/>
  <c r="C156" i="6"/>
  <c r="C156" i="5"/>
  <c r="C154" i="4"/>
  <c r="C157" i="6"/>
  <c r="C157" i="5"/>
  <c r="C155" i="4"/>
  <c r="C158" i="6"/>
  <c r="C158" i="5"/>
  <c r="C156" i="4"/>
  <c r="C159" i="6"/>
  <c r="C159" i="5"/>
  <c r="C157" i="4"/>
  <c r="C160" i="6"/>
  <c r="C160" i="5"/>
  <c r="C158" i="4"/>
  <c r="C161" i="6"/>
  <c r="C161" i="5"/>
  <c r="C159" i="4"/>
  <c r="C162" i="6"/>
  <c r="C162" i="5"/>
  <c r="C160" i="4"/>
  <c r="C163" i="6"/>
  <c r="C163" i="5"/>
  <c r="C161" i="4"/>
  <c r="C164" i="6"/>
  <c r="C164" i="5"/>
  <c r="C162" i="4"/>
  <c r="C165" i="6"/>
  <c r="C165" i="5"/>
  <c r="C163" i="4"/>
  <c r="C166" i="6"/>
  <c r="C166" i="5"/>
  <c r="C164" i="4"/>
  <c r="C167" i="6"/>
  <c r="C167" i="5"/>
  <c r="C165" i="4"/>
  <c r="C168" i="6"/>
  <c r="C168" i="5"/>
  <c r="C166" i="4"/>
  <c r="C169" i="6"/>
  <c r="C169" i="5"/>
  <c r="C167" i="4"/>
  <c r="C170" i="6"/>
  <c r="C170" i="5"/>
  <c r="C168" i="4"/>
  <c r="C171" i="6"/>
  <c r="C171" i="5"/>
  <c r="C169" i="4"/>
  <c r="C172" i="6"/>
  <c r="C170" i="4"/>
  <c r="C172" i="5"/>
  <c r="C173" i="6"/>
  <c r="C173" i="5"/>
  <c r="C171" i="4"/>
  <c r="C174" i="6"/>
  <c r="C174" i="5"/>
  <c r="C172" i="4"/>
  <c r="C175" i="6"/>
  <c r="C175" i="5"/>
  <c r="C173" i="4"/>
  <c r="C176" i="6"/>
  <c r="C176" i="5"/>
  <c r="C174" i="4"/>
  <c r="C177" i="6"/>
  <c r="C177" i="5"/>
  <c r="C175" i="4"/>
  <c r="C178" i="6"/>
  <c r="C178" i="5"/>
  <c r="C176" i="4"/>
  <c r="C179" i="6"/>
  <c r="C179" i="5"/>
  <c r="C177" i="4"/>
  <c r="C180" i="6"/>
  <c r="C180" i="5"/>
  <c r="C178" i="4"/>
  <c r="C181" i="6"/>
  <c r="C181" i="5"/>
  <c r="C179" i="4"/>
  <c r="C182" i="6"/>
  <c r="C182" i="5"/>
  <c r="C180" i="4"/>
  <c r="H20" i="3"/>
  <c r="P20" i="3"/>
  <c r="X20" i="3"/>
  <c r="AF20" i="3"/>
  <c r="AN20" i="3"/>
  <c r="AV20" i="3"/>
  <c r="BD20" i="3"/>
  <c r="BL20" i="3"/>
  <c r="BT20" i="3"/>
  <c r="CB20" i="3"/>
  <c r="CJ20" i="3"/>
  <c r="CR20" i="3"/>
  <c r="CZ20" i="3"/>
  <c r="DH20" i="3"/>
  <c r="DP20" i="3"/>
  <c r="DX20" i="3"/>
  <c r="EF20" i="3"/>
  <c r="EN20" i="3"/>
  <c r="EV20" i="3"/>
  <c r="FD20" i="3"/>
  <c r="FL20" i="3"/>
  <c r="FT20" i="3"/>
  <c r="GB20" i="3"/>
  <c r="GJ20" i="3"/>
  <c r="GR20" i="3"/>
  <c r="GZ20" i="3"/>
  <c r="HH20" i="3"/>
  <c r="HP20" i="3"/>
  <c r="HX20" i="3"/>
  <c r="IF20" i="3"/>
  <c r="IN20" i="3"/>
  <c r="IV20" i="3"/>
  <c r="JD20" i="3"/>
  <c r="JL20" i="3"/>
  <c r="JT20" i="3"/>
  <c r="KB20" i="3"/>
  <c r="KJ20" i="3"/>
  <c r="KR20" i="3"/>
  <c r="KZ20" i="3"/>
  <c r="LH20" i="3"/>
  <c r="LP20" i="3"/>
  <c r="LX20" i="3"/>
  <c r="MF20" i="3"/>
  <c r="MN20" i="3"/>
  <c r="MV20" i="3"/>
  <c r="ND20" i="3"/>
  <c r="NL20" i="3"/>
  <c r="NT20" i="3"/>
  <c r="OB20" i="3"/>
  <c r="OJ20" i="3"/>
  <c r="OR20" i="3"/>
  <c r="OZ20" i="3"/>
  <c r="PH20" i="3"/>
  <c r="PP20" i="3"/>
  <c r="PX20" i="3"/>
  <c r="QF20" i="3"/>
  <c r="QN20" i="3"/>
  <c r="QV20" i="3"/>
  <c r="RD20" i="3"/>
  <c r="RL20" i="3"/>
  <c r="RT20" i="3"/>
  <c r="SB20" i="3"/>
  <c r="SJ20" i="3"/>
  <c r="SR20" i="3"/>
  <c r="SZ20" i="3"/>
  <c r="TH20" i="3"/>
  <c r="TP20" i="3"/>
  <c r="TX20" i="3"/>
  <c r="UF20" i="3"/>
  <c r="UN20" i="3"/>
  <c r="UV20" i="3"/>
  <c r="VD20" i="3"/>
  <c r="VL20" i="3"/>
  <c r="VT20" i="3"/>
  <c r="WB20" i="3"/>
  <c r="WJ20" i="3"/>
  <c r="WR20" i="3"/>
  <c r="WZ20" i="3"/>
  <c r="XH20" i="3"/>
  <c r="XP20" i="3"/>
  <c r="XX20" i="3"/>
  <c r="YF20" i="3"/>
  <c r="YN20" i="3"/>
  <c r="YV20" i="3"/>
  <c r="ZD20" i="3"/>
  <c r="ZL20" i="3"/>
  <c r="ZT20" i="3"/>
  <c r="AAB20" i="3"/>
  <c r="AAJ20" i="3"/>
  <c r="AAR20" i="3"/>
  <c r="AAZ20" i="3"/>
  <c r="ABH20" i="3"/>
  <c r="ABP20" i="3"/>
  <c r="ABX20" i="3"/>
  <c r="ACF20" i="3"/>
  <c r="ACN20" i="3"/>
  <c r="ACV20" i="3"/>
  <c r="ADD20" i="3"/>
  <c r="ADL20" i="3"/>
  <c r="ADT20" i="3"/>
  <c r="AEB20" i="3"/>
  <c r="AEJ20" i="3"/>
  <c r="AER20" i="3"/>
  <c r="AEZ20" i="3"/>
  <c r="AFH20" i="3"/>
  <c r="AFP20" i="3"/>
  <c r="AFX20" i="3"/>
  <c r="AGF20" i="3"/>
  <c r="AGN20" i="3"/>
  <c r="AGV20" i="3"/>
  <c r="AHD20" i="3"/>
  <c r="AHL20" i="3"/>
  <c r="AHT20" i="3"/>
  <c r="AIB20" i="3"/>
  <c r="AIJ20" i="3"/>
  <c r="AIR20" i="3"/>
  <c r="AIZ20" i="3"/>
  <c r="AJH20" i="3"/>
  <c r="AJP20" i="3"/>
  <c r="AJX20" i="3"/>
  <c r="AKF20" i="3"/>
  <c r="AKN20" i="3"/>
  <c r="AKV20" i="3"/>
  <c r="ALD20" i="3"/>
  <c r="ALL20" i="3"/>
  <c r="G21" i="3"/>
  <c r="O21" i="3"/>
  <c r="W21" i="3"/>
  <c r="AE21" i="3"/>
  <c r="AM21" i="3"/>
  <c r="AU21" i="3"/>
  <c r="BC21" i="3"/>
  <c r="BK21" i="3"/>
  <c r="BS21" i="3"/>
  <c r="CA21" i="3"/>
  <c r="CI21" i="3"/>
  <c r="CQ21" i="3"/>
  <c r="CY21" i="3"/>
  <c r="DG21" i="3"/>
  <c r="DO21" i="3"/>
  <c r="DW21" i="3"/>
  <c r="EE21" i="3"/>
  <c r="EM21" i="3"/>
  <c r="EU21" i="3"/>
  <c r="FC21" i="3"/>
  <c r="FK21" i="3"/>
  <c r="FS21" i="3"/>
  <c r="GA21" i="3"/>
  <c r="GI21" i="3"/>
  <c r="GQ21" i="3"/>
  <c r="GY21" i="3"/>
  <c r="HG21" i="3"/>
  <c r="HO21" i="3"/>
  <c r="HW21" i="3"/>
  <c r="IE21" i="3"/>
  <c r="IM21" i="3"/>
  <c r="IU21" i="3"/>
  <c r="JC21" i="3"/>
  <c r="JK21" i="3"/>
  <c r="JS21" i="3"/>
  <c r="KA21" i="3"/>
  <c r="KI21" i="3"/>
  <c r="KQ21" i="3"/>
  <c r="KY21" i="3"/>
  <c r="LG21" i="3"/>
  <c r="LO21" i="3"/>
  <c r="LW21" i="3"/>
  <c r="ME21" i="3"/>
  <c r="MM21" i="3"/>
  <c r="MU21" i="3"/>
  <c r="NC21" i="3"/>
  <c r="NK21" i="3"/>
  <c r="NS21" i="3"/>
  <c r="OA21" i="3"/>
  <c r="OI21" i="3"/>
  <c r="OQ21" i="3"/>
  <c r="OY21" i="3"/>
  <c r="PG21" i="3"/>
  <c r="PO21" i="3"/>
  <c r="PW21" i="3"/>
  <c r="QE21" i="3"/>
  <c r="QM21" i="3"/>
  <c r="QU21" i="3"/>
  <c r="RC21" i="3"/>
  <c r="RK21" i="3"/>
  <c r="RS21" i="3"/>
  <c r="SA21" i="3"/>
  <c r="SI21" i="3"/>
  <c r="SQ21" i="3"/>
  <c r="SY21" i="3"/>
  <c r="TG21" i="3"/>
  <c r="TO21" i="3"/>
  <c r="TW21" i="3"/>
  <c r="UE21" i="3"/>
  <c r="UM21" i="3"/>
  <c r="UU21" i="3"/>
  <c r="VC21" i="3"/>
  <c r="VK21" i="3"/>
  <c r="VS21" i="3"/>
  <c r="WA21" i="3"/>
  <c r="WI21" i="3"/>
  <c r="WQ21" i="3"/>
  <c r="WY21" i="3"/>
  <c r="XG21" i="3"/>
  <c r="XO21" i="3"/>
  <c r="XW21" i="3"/>
  <c r="YE21" i="3"/>
  <c r="YM21" i="3"/>
  <c r="YU21" i="3"/>
  <c r="ZC21" i="3"/>
  <c r="ZK21" i="3"/>
  <c r="ZS21" i="3"/>
  <c r="AAA21" i="3"/>
  <c r="AAI21" i="3"/>
  <c r="AAQ21" i="3"/>
  <c r="AAY21" i="3"/>
  <c r="ABG21" i="3"/>
  <c r="ABO21" i="3"/>
  <c r="ABW21" i="3"/>
  <c r="ACE21" i="3"/>
  <c r="ACM21" i="3"/>
  <c r="ACU21" i="3"/>
  <c r="ADC21" i="3"/>
  <c r="ADK21" i="3"/>
  <c r="ADS21" i="3"/>
  <c r="AEA21" i="3"/>
  <c r="AEI21" i="3"/>
  <c r="AEQ21" i="3"/>
  <c r="AEY21" i="3"/>
  <c r="AFG21" i="3"/>
  <c r="AFO21" i="3"/>
  <c r="AFW21" i="3"/>
  <c r="AGE21" i="3"/>
  <c r="AGM21" i="3"/>
  <c r="AGU21" i="3"/>
  <c r="AHC21" i="3"/>
  <c r="AHK21" i="3"/>
  <c r="AHS21" i="3"/>
  <c r="AIA21" i="3"/>
  <c r="AII21" i="3"/>
  <c r="AIQ21" i="3"/>
  <c r="AIY21" i="3"/>
  <c r="AJG21" i="3"/>
  <c r="AJO21" i="3"/>
  <c r="AJW21" i="3"/>
  <c r="AKE21" i="3"/>
  <c r="AKM21" i="3"/>
  <c r="AKU21" i="3"/>
  <c r="ALC21" i="3"/>
  <c r="ALK21" i="3"/>
  <c r="L24" i="3"/>
  <c r="AB24" i="3"/>
  <c r="AR24" i="3"/>
  <c r="BH24" i="3"/>
  <c r="BX24" i="3"/>
  <c r="CN24" i="3"/>
  <c r="DD24" i="3"/>
  <c r="DT24" i="3"/>
  <c r="EJ24" i="3"/>
  <c r="EZ24" i="3"/>
  <c r="FP24" i="3"/>
  <c r="GF24" i="3"/>
  <c r="GV24" i="3"/>
  <c r="HL24" i="3"/>
  <c r="IB24" i="3"/>
  <c r="IR24" i="3"/>
  <c r="JH24" i="3"/>
  <c r="JX24" i="3"/>
  <c r="KN24" i="3"/>
  <c r="LD24" i="3"/>
  <c r="LT24" i="3"/>
  <c r="MJ24" i="3"/>
  <c r="MZ24" i="3"/>
  <c r="NP24" i="3"/>
  <c r="OF24" i="3"/>
  <c r="OV24" i="3"/>
  <c r="PL24" i="3"/>
  <c r="QB24" i="3"/>
  <c r="QR24" i="3"/>
  <c r="RH24" i="3"/>
  <c r="RX24" i="3"/>
  <c r="SN24" i="3"/>
  <c r="TD24" i="3"/>
  <c r="TT24" i="3"/>
  <c r="UJ24" i="3"/>
  <c r="UZ24" i="3"/>
  <c r="VP24" i="3"/>
  <c r="WF24" i="3"/>
  <c r="WV24" i="3"/>
  <c r="XL24" i="3"/>
  <c r="YB24" i="3"/>
  <c r="YR24" i="3"/>
  <c r="ZH24" i="3"/>
  <c r="ZX24" i="3"/>
  <c r="AAN24" i="3"/>
  <c r="ABD24" i="3"/>
  <c r="ABT24" i="3"/>
  <c r="ACJ24" i="3"/>
  <c r="ACZ24" i="3"/>
  <c r="ADP24" i="3"/>
  <c r="AEF24" i="3"/>
  <c r="AEV24" i="3"/>
  <c r="AFL24" i="3"/>
  <c r="AGB24" i="3"/>
  <c r="AGR24" i="3"/>
  <c r="AHH24" i="3"/>
  <c r="AHX24" i="3"/>
  <c r="AIN24" i="3"/>
  <c r="AJD24" i="3"/>
  <c r="AJT24" i="3"/>
  <c r="AKJ24" i="3"/>
  <c r="AKZ24" i="3"/>
  <c r="ALP24" i="3"/>
  <c r="S25" i="3"/>
  <c r="AI25" i="3"/>
  <c r="AY25" i="3"/>
  <c r="BO25" i="3"/>
  <c r="CE25" i="3"/>
  <c r="CU25" i="3"/>
  <c r="DK25" i="3"/>
  <c r="EA25" i="3"/>
  <c r="EQ25" i="3"/>
  <c r="FG25" i="3"/>
  <c r="FW25" i="3"/>
  <c r="GM25" i="3"/>
  <c r="HC25" i="3"/>
  <c r="HS25" i="3"/>
  <c r="II25" i="3"/>
  <c r="IY25" i="3"/>
  <c r="JO25" i="3"/>
  <c r="KE25" i="3"/>
  <c r="KU25" i="3"/>
  <c r="LK25" i="3"/>
  <c r="MA25" i="3"/>
  <c r="MQ25" i="3"/>
  <c r="NG25" i="3"/>
  <c r="NW25" i="3"/>
  <c r="OM25" i="3"/>
  <c r="PC25" i="3"/>
  <c r="PS25" i="3"/>
  <c r="QI25" i="3"/>
  <c r="QY25" i="3"/>
  <c r="RO25" i="3"/>
  <c r="SE25" i="3"/>
  <c r="SU25" i="3"/>
  <c r="TK25" i="3"/>
  <c r="UA25" i="3"/>
  <c r="UQ25" i="3"/>
  <c r="VG25" i="3"/>
  <c r="VW25" i="3"/>
  <c r="WM25" i="3"/>
  <c r="XC25" i="3"/>
  <c r="XS25" i="3"/>
  <c r="YI25" i="3"/>
  <c r="YY25" i="3"/>
  <c r="ZO25" i="3"/>
  <c r="AAE25" i="3"/>
  <c r="AAU25" i="3"/>
  <c r="ABK25" i="3"/>
  <c r="ACA25" i="3"/>
  <c r="ACQ25" i="3"/>
  <c r="ADG25" i="3"/>
  <c r="ADW25" i="3"/>
  <c r="AEM25" i="3"/>
  <c r="AFC25" i="3"/>
  <c r="AFS25" i="3"/>
  <c r="AGI25" i="3"/>
  <c r="AGY25" i="3"/>
  <c r="AHO25" i="3"/>
  <c r="AIE25" i="3"/>
  <c r="AIU25" i="3"/>
  <c r="AJK25" i="3"/>
  <c r="AKA25" i="3"/>
  <c r="AKQ25" i="3"/>
  <c r="H28" i="3"/>
  <c r="X28" i="3"/>
  <c r="AN28" i="3"/>
  <c r="BD28" i="3"/>
  <c r="BT28" i="3"/>
  <c r="CJ28" i="3"/>
  <c r="CZ28" i="3"/>
  <c r="DP28" i="3"/>
  <c r="EF28" i="3"/>
  <c r="EV28" i="3"/>
  <c r="FL28" i="3"/>
  <c r="GB28" i="3"/>
  <c r="GR28" i="3"/>
  <c r="HH28" i="3"/>
  <c r="HX28" i="3"/>
  <c r="IN28" i="3"/>
  <c r="JD28" i="3"/>
  <c r="JT28" i="3"/>
  <c r="KJ28" i="3"/>
  <c r="KZ28" i="3"/>
  <c r="LP28" i="3"/>
  <c r="MU28" i="3"/>
  <c r="OA28" i="3"/>
  <c r="PG28" i="3"/>
  <c r="QM28" i="3"/>
  <c r="RS28" i="3"/>
  <c r="SY28" i="3"/>
  <c r="UE28" i="3"/>
  <c r="VK28" i="3"/>
  <c r="WQ28" i="3"/>
  <c r="XW28" i="3"/>
  <c r="ZC28" i="3"/>
  <c r="AAI28" i="3"/>
  <c r="ABO28" i="3"/>
  <c r="ACU28" i="3"/>
  <c r="AEA28" i="3"/>
  <c r="AFG28" i="3"/>
  <c r="AGM28" i="3"/>
  <c r="AHS28" i="3"/>
  <c r="AIY28" i="3"/>
  <c r="AKE28" i="3"/>
  <c r="ALK28" i="3"/>
  <c r="BE29" i="3"/>
  <c r="DQ29" i="3"/>
  <c r="GC29" i="3"/>
  <c r="IO29" i="3"/>
  <c r="LA29" i="3"/>
  <c r="NM29" i="3"/>
  <c r="PY29" i="3"/>
  <c r="SK29" i="3"/>
  <c r="UW29" i="3"/>
  <c r="XI29" i="3"/>
  <c r="ZU29" i="3"/>
  <c r="ACG29" i="3"/>
  <c r="AES29" i="3"/>
  <c r="AHE29" i="3"/>
  <c r="P30" i="3"/>
  <c r="CB30" i="3"/>
  <c r="EN30" i="3"/>
  <c r="GZ30" i="3"/>
  <c r="JL30" i="3"/>
  <c r="LX30" i="3"/>
  <c r="OJ30" i="3"/>
  <c r="QV30" i="3"/>
  <c r="TH30" i="3"/>
  <c r="VT30" i="3"/>
  <c r="YF30" i="3"/>
  <c r="AAR30" i="3"/>
  <c r="ADD30" i="3"/>
  <c r="AFP30" i="3"/>
  <c r="AIB30" i="3"/>
  <c r="AKN30" i="3"/>
  <c r="C12" i="6"/>
  <c r="C10" i="4"/>
  <c r="C12" i="5"/>
  <c r="D12" i="5"/>
  <c r="D12" i="6"/>
  <c r="D10" i="4"/>
  <c r="ALN25" i="3"/>
  <c r="ALJ25" i="3"/>
  <c r="ALF25" i="3"/>
  <c r="ALB25" i="3"/>
  <c r="AKX25" i="3"/>
  <c r="AKT25" i="3"/>
  <c r="AKP25" i="3"/>
  <c r="AKL25" i="3"/>
  <c r="AKH25" i="3"/>
  <c r="AKD25" i="3"/>
  <c r="AJZ25" i="3"/>
  <c r="AJV25" i="3"/>
  <c r="AJR25" i="3"/>
  <c r="AJN25" i="3"/>
  <c r="AJJ25" i="3"/>
  <c r="AJF25" i="3"/>
  <c r="AJB25" i="3"/>
  <c r="AIX25" i="3"/>
  <c r="AIT25" i="3"/>
  <c r="AIP25" i="3"/>
  <c r="AIL25" i="3"/>
  <c r="AIH25" i="3"/>
  <c r="AID25" i="3"/>
  <c r="AHZ25" i="3"/>
  <c r="AHV25" i="3"/>
  <c r="AHR25" i="3"/>
  <c r="AHN25" i="3"/>
  <c r="AHJ25" i="3"/>
  <c r="AHF25" i="3"/>
  <c r="AHB25" i="3"/>
  <c r="AGX25" i="3"/>
  <c r="AGT25" i="3"/>
  <c r="AGP25" i="3"/>
  <c r="AGL25" i="3"/>
  <c r="AGH25" i="3"/>
  <c r="AGD25" i="3"/>
  <c r="AFZ25" i="3"/>
  <c r="AFV25" i="3"/>
  <c r="AFR25" i="3"/>
  <c r="AFN25" i="3"/>
  <c r="AFJ25" i="3"/>
  <c r="AFF25" i="3"/>
  <c r="AFB25" i="3"/>
  <c r="AEX25" i="3"/>
  <c r="AET25" i="3"/>
  <c r="AEP25" i="3"/>
  <c r="AEL25" i="3"/>
  <c r="AEH25" i="3"/>
  <c r="AED25" i="3"/>
  <c r="ADZ25" i="3"/>
  <c r="ADV25" i="3"/>
  <c r="ADR25" i="3"/>
  <c r="ADN25" i="3"/>
  <c r="ADJ25" i="3"/>
  <c r="ADF25" i="3"/>
  <c r="ADB25" i="3"/>
  <c r="ACX25" i="3"/>
  <c r="ACT25" i="3"/>
  <c r="ACP25" i="3"/>
  <c r="ACL25" i="3"/>
  <c r="ACH25" i="3"/>
  <c r="ACD25" i="3"/>
  <c r="ABZ25" i="3"/>
  <c r="ABV25" i="3"/>
  <c r="ABR25" i="3"/>
  <c r="ABN25" i="3"/>
  <c r="ABJ25" i="3"/>
  <c r="ABF25" i="3"/>
  <c r="ABB25" i="3"/>
  <c r="AAX25" i="3"/>
  <c r="AAT25" i="3"/>
  <c r="AAP25" i="3"/>
  <c r="AAL25" i="3"/>
  <c r="AAH25" i="3"/>
  <c r="AAD25" i="3"/>
  <c r="ZZ25" i="3"/>
  <c r="ZV25" i="3"/>
  <c r="ZR25" i="3"/>
  <c r="ZN25" i="3"/>
  <c r="ZJ25" i="3"/>
  <c r="ZF25" i="3"/>
  <c r="ZB25" i="3"/>
  <c r="YX25" i="3"/>
  <c r="YT25" i="3"/>
  <c r="YP25" i="3"/>
  <c r="YL25" i="3"/>
  <c r="YH25" i="3"/>
  <c r="YD25" i="3"/>
  <c r="XZ25" i="3"/>
  <c r="XV25" i="3"/>
  <c r="XR25" i="3"/>
  <c r="XN25" i="3"/>
  <c r="XJ25" i="3"/>
  <c r="XF25" i="3"/>
  <c r="XB25" i="3"/>
  <c r="WX25" i="3"/>
  <c r="WT25" i="3"/>
  <c r="WP25" i="3"/>
  <c r="WL25" i="3"/>
  <c r="WH25" i="3"/>
  <c r="WD25" i="3"/>
  <c r="VZ25" i="3"/>
  <c r="VV25" i="3"/>
  <c r="VR25" i="3"/>
  <c r="VN25" i="3"/>
  <c r="VJ25" i="3"/>
  <c r="VF25" i="3"/>
  <c r="VB25" i="3"/>
  <c r="UX25" i="3"/>
  <c r="UT25" i="3"/>
  <c r="UP25" i="3"/>
  <c r="UL25" i="3"/>
  <c r="UH25" i="3"/>
  <c r="UD25" i="3"/>
  <c r="TZ25" i="3"/>
  <c r="TV25" i="3"/>
  <c r="TR25" i="3"/>
  <c r="TN25" i="3"/>
  <c r="TJ25" i="3"/>
  <c r="TF25" i="3"/>
  <c r="TB25" i="3"/>
  <c r="SX25" i="3"/>
  <c r="ST25" i="3"/>
  <c r="SP25" i="3"/>
  <c r="SL25" i="3"/>
  <c r="SH25" i="3"/>
  <c r="SD25" i="3"/>
  <c r="RZ25" i="3"/>
  <c r="RV25" i="3"/>
  <c r="RR25" i="3"/>
  <c r="RN25" i="3"/>
  <c r="RJ25" i="3"/>
  <c r="RF25" i="3"/>
  <c r="RB25" i="3"/>
  <c r="QX25" i="3"/>
  <c r="QT25" i="3"/>
  <c r="QP25" i="3"/>
  <c r="QL25" i="3"/>
  <c r="QH25" i="3"/>
  <c r="QD25" i="3"/>
  <c r="PZ25" i="3"/>
  <c r="PV25" i="3"/>
  <c r="PR25" i="3"/>
  <c r="PN25" i="3"/>
  <c r="PJ25" i="3"/>
  <c r="PF25" i="3"/>
  <c r="PB25" i="3"/>
  <c r="OX25" i="3"/>
  <c r="OT25" i="3"/>
  <c r="OP25" i="3"/>
  <c r="OL25" i="3"/>
  <c r="OH25" i="3"/>
  <c r="OD25" i="3"/>
  <c r="NZ25" i="3"/>
  <c r="NV25" i="3"/>
  <c r="NR25" i="3"/>
  <c r="NN25" i="3"/>
  <c r="NJ25" i="3"/>
  <c r="NF25" i="3"/>
  <c r="NB25" i="3"/>
  <c r="MX25" i="3"/>
  <c r="MT25" i="3"/>
  <c r="MP25" i="3"/>
  <c r="ML25" i="3"/>
  <c r="MH25" i="3"/>
  <c r="MD25" i="3"/>
  <c r="LZ25" i="3"/>
  <c r="LV25" i="3"/>
  <c r="LR25" i="3"/>
  <c r="LN25" i="3"/>
  <c r="LJ25" i="3"/>
  <c r="LF25" i="3"/>
  <c r="LB25" i="3"/>
  <c r="KX25" i="3"/>
  <c r="KT25" i="3"/>
  <c r="KP25" i="3"/>
  <c r="KL25" i="3"/>
  <c r="KH25" i="3"/>
  <c r="KD25" i="3"/>
  <c r="JZ25" i="3"/>
  <c r="JV25" i="3"/>
  <c r="JR25" i="3"/>
  <c r="JN25" i="3"/>
  <c r="JJ25" i="3"/>
  <c r="JF25" i="3"/>
  <c r="JB25" i="3"/>
  <c r="IX25" i="3"/>
  <c r="IT25" i="3"/>
  <c r="IP25" i="3"/>
  <c r="IL25" i="3"/>
  <c r="IH25" i="3"/>
  <c r="ID25" i="3"/>
  <c r="HZ25" i="3"/>
  <c r="HV25" i="3"/>
  <c r="HR25" i="3"/>
  <c r="HN25" i="3"/>
  <c r="HJ25" i="3"/>
  <c r="HF25" i="3"/>
  <c r="HB25" i="3"/>
  <c r="GX25" i="3"/>
  <c r="GT25" i="3"/>
  <c r="GP25" i="3"/>
  <c r="GL25" i="3"/>
  <c r="GH25" i="3"/>
  <c r="GD25" i="3"/>
  <c r="FZ25" i="3"/>
  <c r="FV25" i="3"/>
  <c r="FR25" i="3"/>
  <c r="FN25" i="3"/>
  <c r="FJ25" i="3"/>
  <c r="FF25" i="3"/>
  <c r="FB25" i="3"/>
  <c r="EX25" i="3"/>
  <c r="ET25" i="3"/>
  <c r="EP25" i="3"/>
  <c r="EL25" i="3"/>
  <c r="EH25" i="3"/>
  <c r="ED25" i="3"/>
  <c r="DZ25" i="3"/>
  <c r="DV25" i="3"/>
  <c r="DR25" i="3"/>
  <c r="DN25" i="3"/>
  <c r="DJ25" i="3"/>
  <c r="DF25" i="3"/>
  <c r="DB25" i="3"/>
  <c r="CX25" i="3"/>
  <c r="CT25" i="3"/>
  <c r="CP25" i="3"/>
  <c r="CL25" i="3"/>
  <c r="CH25" i="3"/>
  <c r="CD25" i="3"/>
  <c r="BZ25" i="3"/>
  <c r="BV25" i="3"/>
  <c r="BR25" i="3"/>
  <c r="BN25" i="3"/>
  <c r="BJ25" i="3"/>
  <c r="BF25" i="3"/>
  <c r="BB25" i="3"/>
  <c r="AX25" i="3"/>
  <c r="AT25" i="3"/>
  <c r="AP25" i="3"/>
  <c r="AL25" i="3"/>
  <c r="AH25" i="3"/>
  <c r="AD25" i="3"/>
  <c r="Z25" i="3"/>
  <c r="V25" i="3"/>
  <c r="R25" i="3"/>
  <c r="N25" i="3"/>
  <c r="J25" i="3"/>
  <c r="ALQ25" i="3"/>
  <c r="ALM25" i="3"/>
  <c r="ALI25" i="3"/>
  <c r="ALE25" i="3"/>
  <c r="ALA25" i="3"/>
  <c r="AKW25" i="3"/>
  <c r="AKS25" i="3"/>
  <c r="AKO25" i="3"/>
  <c r="AKK25" i="3"/>
  <c r="AKG25" i="3"/>
  <c r="AKC25" i="3"/>
  <c r="AJY25" i="3"/>
  <c r="AJU25" i="3"/>
  <c r="AJQ25" i="3"/>
  <c r="AJM25" i="3"/>
  <c r="AJI25" i="3"/>
  <c r="AJE25" i="3"/>
  <c r="AJA25" i="3"/>
  <c r="AIW25" i="3"/>
  <c r="AIS25" i="3"/>
  <c r="AIO25" i="3"/>
  <c r="AIK25" i="3"/>
  <c r="AIG25" i="3"/>
  <c r="AIC25" i="3"/>
  <c r="AHY25" i="3"/>
  <c r="AHU25" i="3"/>
  <c r="AHQ25" i="3"/>
  <c r="AHM25" i="3"/>
  <c r="AHI25" i="3"/>
  <c r="AHE25" i="3"/>
  <c r="AHA25" i="3"/>
  <c r="AGW25" i="3"/>
  <c r="AGS25" i="3"/>
  <c r="AGO25" i="3"/>
  <c r="AGK25" i="3"/>
  <c r="AGG25" i="3"/>
  <c r="AGC25" i="3"/>
  <c r="AFY25" i="3"/>
  <c r="AFU25" i="3"/>
  <c r="AFQ25" i="3"/>
  <c r="AFM25" i="3"/>
  <c r="AFI25" i="3"/>
  <c r="AFE25" i="3"/>
  <c r="AFA25" i="3"/>
  <c r="AEW25" i="3"/>
  <c r="AES25" i="3"/>
  <c r="AEO25" i="3"/>
  <c r="AEK25" i="3"/>
  <c r="AEG25" i="3"/>
  <c r="AEC25" i="3"/>
  <c r="ADY25" i="3"/>
  <c r="ADU25" i="3"/>
  <c r="ADQ25" i="3"/>
  <c r="ADM25" i="3"/>
  <c r="ADI25" i="3"/>
  <c r="ADE25" i="3"/>
  <c r="ADA25" i="3"/>
  <c r="ACW25" i="3"/>
  <c r="ACS25" i="3"/>
  <c r="ACO25" i="3"/>
  <c r="ACK25" i="3"/>
  <c r="ACG25" i="3"/>
  <c r="ACC25" i="3"/>
  <c r="ABY25" i="3"/>
  <c r="ABU25" i="3"/>
  <c r="ABQ25" i="3"/>
  <c r="ABM25" i="3"/>
  <c r="ABI25" i="3"/>
  <c r="ABE25" i="3"/>
  <c r="ABA25" i="3"/>
  <c r="AAW25" i="3"/>
  <c r="AAS25" i="3"/>
  <c r="AAO25" i="3"/>
  <c r="AAK25" i="3"/>
  <c r="AAG25" i="3"/>
  <c r="AAC25" i="3"/>
  <c r="ZY25" i="3"/>
  <c r="ZU25" i="3"/>
  <c r="ZQ25" i="3"/>
  <c r="ZM25" i="3"/>
  <c r="ZI25" i="3"/>
  <c r="ZE25" i="3"/>
  <c r="ZA25" i="3"/>
  <c r="YW25" i="3"/>
  <c r="YS25" i="3"/>
  <c r="YO25" i="3"/>
  <c r="YK25" i="3"/>
  <c r="YG25" i="3"/>
  <c r="YC25" i="3"/>
  <c r="XY25" i="3"/>
  <c r="XU25" i="3"/>
  <c r="XQ25" i="3"/>
  <c r="XM25" i="3"/>
  <c r="XI25" i="3"/>
  <c r="XE25" i="3"/>
  <c r="XA25" i="3"/>
  <c r="WW25" i="3"/>
  <c r="WS25" i="3"/>
  <c r="WO25" i="3"/>
  <c r="WK25" i="3"/>
  <c r="WG25" i="3"/>
  <c r="WC25" i="3"/>
  <c r="VY25" i="3"/>
  <c r="VU25" i="3"/>
  <c r="VQ25" i="3"/>
  <c r="VM25" i="3"/>
  <c r="VI25" i="3"/>
  <c r="VE25" i="3"/>
  <c r="VA25" i="3"/>
  <c r="UW25" i="3"/>
  <c r="US25" i="3"/>
  <c r="UO25" i="3"/>
  <c r="UK25" i="3"/>
  <c r="UG25" i="3"/>
  <c r="UC25" i="3"/>
  <c r="TY25" i="3"/>
  <c r="TU25" i="3"/>
  <c r="TQ25" i="3"/>
  <c r="TM25" i="3"/>
  <c r="TI25" i="3"/>
  <c r="TE25" i="3"/>
  <c r="TA25" i="3"/>
  <c r="SW25" i="3"/>
  <c r="SS25" i="3"/>
  <c r="SO25" i="3"/>
  <c r="SK25" i="3"/>
  <c r="SG25" i="3"/>
  <c r="SC25" i="3"/>
  <c r="RY25" i="3"/>
  <c r="RU25" i="3"/>
  <c r="RQ25" i="3"/>
  <c r="RM25" i="3"/>
  <c r="RI25" i="3"/>
  <c r="RE25" i="3"/>
  <c r="RA25" i="3"/>
  <c r="QW25" i="3"/>
  <c r="QS25" i="3"/>
  <c r="QO25" i="3"/>
  <c r="QK25" i="3"/>
  <c r="QG25" i="3"/>
  <c r="QC25" i="3"/>
  <c r="PY25" i="3"/>
  <c r="PU25" i="3"/>
  <c r="PQ25" i="3"/>
  <c r="PM25" i="3"/>
  <c r="PI25" i="3"/>
  <c r="PE25" i="3"/>
  <c r="PA25" i="3"/>
  <c r="OW25" i="3"/>
  <c r="OS25" i="3"/>
  <c r="OO25" i="3"/>
  <c r="OK25" i="3"/>
  <c r="OG25" i="3"/>
  <c r="OC25" i="3"/>
  <c r="NY25" i="3"/>
  <c r="NU25" i="3"/>
  <c r="NQ25" i="3"/>
  <c r="NM25" i="3"/>
  <c r="NI25" i="3"/>
  <c r="NE25" i="3"/>
  <c r="NA25" i="3"/>
  <c r="MW25" i="3"/>
  <c r="MS25" i="3"/>
  <c r="MO25" i="3"/>
  <c r="MK25" i="3"/>
  <c r="MG25" i="3"/>
  <c r="MC25" i="3"/>
  <c r="LY25" i="3"/>
  <c r="LU25" i="3"/>
  <c r="LQ25" i="3"/>
  <c r="LM25" i="3"/>
  <c r="LI25" i="3"/>
  <c r="LE25" i="3"/>
  <c r="LA25" i="3"/>
  <c r="KW25" i="3"/>
  <c r="KS25" i="3"/>
  <c r="KO25" i="3"/>
  <c r="KK25" i="3"/>
  <c r="KG25" i="3"/>
  <c r="KC25" i="3"/>
  <c r="JY25" i="3"/>
  <c r="JU25" i="3"/>
  <c r="JQ25" i="3"/>
  <c r="JM25" i="3"/>
  <c r="JI25" i="3"/>
  <c r="JE25" i="3"/>
  <c r="JA25" i="3"/>
  <c r="IW25" i="3"/>
  <c r="IS25" i="3"/>
  <c r="IO25" i="3"/>
  <c r="IK25" i="3"/>
  <c r="IG25" i="3"/>
  <c r="IC25" i="3"/>
  <c r="HY25" i="3"/>
  <c r="HU25" i="3"/>
  <c r="HQ25" i="3"/>
  <c r="HM25" i="3"/>
  <c r="HI25" i="3"/>
  <c r="HE25" i="3"/>
  <c r="HA25" i="3"/>
  <c r="GW25" i="3"/>
  <c r="GS25" i="3"/>
  <c r="GO25" i="3"/>
  <c r="GK25" i="3"/>
  <c r="GG25" i="3"/>
  <c r="GC25" i="3"/>
  <c r="FY25" i="3"/>
  <c r="FU25" i="3"/>
  <c r="FQ25" i="3"/>
  <c r="FM25" i="3"/>
  <c r="FI25" i="3"/>
  <c r="FE25" i="3"/>
  <c r="FA25" i="3"/>
  <c r="EW25" i="3"/>
  <c r="ES25" i="3"/>
  <c r="EO25" i="3"/>
  <c r="EK25" i="3"/>
  <c r="EG25" i="3"/>
  <c r="EC25" i="3"/>
  <c r="DY25" i="3"/>
  <c r="DU25" i="3"/>
  <c r="DQ25" i="3"/>
  <c r="DM25" i="3"/>
  <c r="DI25" i="3"/>
  <c r="DE25" i="3"/>
  <c r="DA25" i="3"/>
  <c r="CW25" i="3"/>
  <c r="CS25" i="3"/>
  <c r="CO25" i="3"/>
  <c r="CK25" i="3"/>
  <c r="CG25" i="3"/>
  <c r="CC25" i="3"/>
  <c r="BY25" i="3"/>
  <c r="BU25" i="3"/>
  <c r="BQ25" i="3"/>
  <c r="BM25" i="3"/>
  <c r="BI25" i="3"/>
  <c r="BE25" i="3"/>
  <c r="BA25" i="3"/>
  <c r="AW25" i="3"/>
  <c r="AS25" i="3"/>
  <c r="AO25" i="3"/>
  <c r="AK25" i="3"/>
  <c r="AG25" i="3"/>
  <c r="AC25" i="3"/>
  <c r="Y25" i="3"/>
  <c r="U25" i="3"/>
  <c r="Q25" i="3"/>
  <c r="M25" i="3"/>
  <c r="I25" i="3"/>
  <c r="F25" i="3"/>
  <c r="ALP25" i="3"/>
  <c r="ALL25" i="3"/>
  <c r="ALH25" i="3"/>
  <c r="ALD25" i="3"/>
  <c r="AKZ25" i="3"/>
  <c r="AKV25" i="3"/>
  <c r="AKR25" i="3"/>
  <c r="AKN25" i="3"/>
  <c r="AKJ25" i="3"/>
  <c r="AKF25" i="3"/>
  <c r="AKB25" i="3"/>
  <c r="AJX25" i="3"/>
  <c r="AJT25" i="3"/>
  <c r="AJP25" i="3"/>
  <c r="AJL25" i="3"/>
  <c r="AJH25" i="3"/>
  <c r="AJD25" i="3"/>
  <c r="AIZ25" i="3"/>
  <c r="AIV25" i="3"/>
  <c r="AIR25" i="3"/>
  <c r="AIN25" i="3"/>
  <c r="AIJ25" i="3"/>
  <c r="AIF25" i="3"/>
  <c r="AIB25" i="3"/>
  <c r="AHX25" i="3"/>
  <c r="AHT25" i="3"/>
  <c r="AHP25" i="3"/>
  <c r="AHL25" i="3"/>
  <c r="AHH25" i="3"/>
  <c r="AHD25" i="3"/>
  <c r="AGZ25" i="3"/>
  <c r="AGV25" i="3"/>
  <c r="AGR25" i="3"/>
  <c r="AGN25" i="3"/>
  <c r="AGJ25" i="3"/>
  <c r="AGF25" i="3"/>
  <c r="AGB25" i="3"/>
  <c r="AFX25" i="3"/>
  <c r="AFT25" i="3"/>
  <c r="AFP25" i="3"/>
  <c r="AFL25" i="3"/>
  <c r="AFH25" i="3"/>
  <c r="AFD25" i="3"/>
  <c r="AEZ25" i="3"/>
  <c r="AEV25" i="3"/>
  <c r="AER25" i="3"/>
  <c r="AEN25" i="3"/>
  <c r="AEJ25" i="3"/>
  <c r="AEF25" i="3"/>
  <c r="AEB25" i="3"/>
  <c r="ADX25" i="3"/>
  <c r="ADT25" i="3"/>
  <c r="ADP25" i="3"/>
  <c r="ADL25" i="3"/>
  <c r="ADH25" i="3"/>
  <c r="ADD25" i="3"/>
  <c r="ACZ25" i="3"/>
  <c r="ACV25" i="3"/>
  <c r="ACR25" i="3"/>
  <c r="ACN25" i="3"/>
  <c r="ACJ25" i="3"/>
  <c r="ACF25" i="3"/>
  <c r="ACB25" i="3"/>
  <c r="ABX25" i="3"/>
  <c r="ABT25" i="3"/>
  <c r="ABP25" i="3"/>
  <c r="ABL25" i="3"/>
  <c r="ABH25" i="3"/>
  <c r="ABD25" i="3"/>
  <c r="AAZ25" i="3"/>
  <c r="AAV25" i="3"/>
  <c r="AAR25" i="3"/>
  <c r="AAN25" i="3"/>
  <c r="AAJ25" i="3"/>
  <c r="AAF25" i="3"/>
  <c r="AAB25" i="3"/>
  <c r="ZX25" i="3"/>
  <c r="ZT25" i="3"/>
  <c r="ZP25" i="3"/>
  <c r="ZL25" i="3"/>
  <c r="ZH25" i="3"/>
  <c r="ZD25" i="3"/>
  <c r="YZ25" i="3"/>
  <c r="YV25" i="3"/>
  <c r="YR25" i="3"/>
  <c r="YN25" i="3"/>
  <c r="YJ25" i="3"/>
  <c r="YF25" i="3"/>
  <c r="YB25" i="3"/>
  <c r="XX25" i="3"/>
  <c r="XT25" i="3"/>
  <c r="XP25" i="3"/>
  <c r="XL25" i="3"/>
  <c r="XH25" i="3"/>
  <c r="XD25" i="3"/>
  <c r="WZ25" i="3"/>
  <c r="WV25" i="3"/>
  <c r="WR25" i="3"/>
  <c r="WN25" i="3"/>
  <c r="WJ25" i="3"/>
  <c r="WF25" i="3"/>
  <c r="WB25" i="3"/>
  <c r="VX25" i="3"/>
  <c r="VT25" i="3"/>
  <c r="VP25" i="3"/>
  <c r="VL25" i="3"/>
  <c r="VH25" i="3"/>
  <c r="VD25" i="3"/>
  <c r="UZ25" i="3"/>
  <c r="UV25" i="3"/>
  <c r="UR25" i="3"/>
  <c r="UN25" i="3"/>
  <c r="UJ25" i="3"/>
  <c r="UF25" i="3"/>
  <c r="UB25" i="3"/>
  <c r="TX25" i="3"/>
  <c r="TT25" i="3"/>
  <c r="TP25" i="3"/>
  <c r="TL25" i="3"/>
  <c r="TH25" i="3"/>
  <c r="TD25" i="3"/>
  <c r="SZ25" i="3"/>
  <c r="SV25" i="3"/>
  <c r="SR25" i="3"/>
  <c r="SN25" i="3"/>
  <c r="SJ25" i="3"/>
  <c r="SF25" i="3"/>
  <c r="SB25" i="3"/>
  <c r="RX25" i="3"/>
  <c r="RT25" i="3"/>
  <c r="RP25" i="3"/>
  <c r="RL25" i="3"/>
  <c r="RH25" i="3"/>
  <c r="RD25" i="3"/>
  <c r="QZ25" i="3"/>
  <c r="QV25" i="3"/>
  <c r="QR25" i="3"/>
  <c r="QN25" i="3"/>
  <c r="QJ25" i="3"/>
  <c r="QF25" i="3"/>
  <c r="QB25" i="3"/>
  <c r="PX25" i="3"/>
  <c r="PT25" i="3"/>
  <c r="PP25" i="3"/>
  <c r="PL25" i="3"/>
  <c r="PH25" i="3"/>
  <c r="PD25" i="3"/>
  <c r="OZ25" i="3"/>
  <c r="OV25" i="3"/>
  <c r="OR25" i="3"/>
  <c r="ON25" i="3"/>
  <c r="OJ25" i="3"/>
  <c r="OF25" i="3"/>
  <c r="OB25" i="3"/>
  <c r="NX25" i="3"/>
  <c r="NT25" i="3"/>
  <c r="NP25" i="3"/>
  <c r="NL25" i="3"/>
  <c r="NH25" i="3"/>
  <c r="ND25" i="3"/>
  <c r="MZ25" i="3"/>
  <c r="MV25" i="3"/>
  <c r="MR25" i="3"/>
  <c r="MN25" i="3"/>
  <c r="MJ25" i="3"/>
  <c r="MF25" i="3"/>
  <c r="MB25" i="3"/>
  <c r="LX25" i="3"/>
  <c r="LT25" i="3"/>
  <c r="LP25" i="3"/>
  <c r="LL25" i="3"/>
  <c r="LH25" i="3"/>
  <c r="LD25" i="3"/>
  <c r="KZ25" i="3"/>
  <c r="KV25" i="3"/>
  <c r="KR25" i="3"/>
  <c r="KN25" i="3"/>
  <c r="KJ25" i="3"/>
  <c r="KF25" i="3"/>
  <c r="KB25" i="3"/>
  <c r="JX25" i="3"/>
  <c r="JT25" i="3"/>
  <c r="JP25" i="3"/>
  <c r="JL25" i="3"/>
  <c r="JH25" i="3"/>
  <c r="JD25" i="3"/>
  <c r="IZ25" i="3"/>
  <c r="IV25" i="3"/>
  <c r="IR25" i="3"/>
  <c r="IN25" i="3"/>
  <c r="IJ25" i="3"/>
  <c r="IF25" i="3"/>
  <c r="IB25" i="3"/>
  <c r="HX25" i="3"/>
  <c r="HT25" i="3"/>
  <c r="HP25" i="3"/>
  <c r="HL25" i="3"/>
  <c r="HH25" i="3"/>
  <c r="HD25" i="3"/>
  <c r="GZ25" i="3"/>
  <c r="GV25" i="3"/>
  <c r="GR25" i="3"/>
  <c r="GN25" i="3"/>
  <c r="GJ25" i="3"/>
  <c r="GF25" i="3"/>
  <c r="GB25" i="3"/>
  <c r="FX25" i="3"/>
  <c r="FT25" i="3"/>
  <c r="FP25" i="3"/>
  <c r="FL25" i="3"/>
  <c r="FH25" i="3"/>
  <c r="FD25" i="3"/>
  <c r="EZ25" i="3"/>
  <c r="EV25" i="3"/>
  <c r="ER25" i="3"/>
  <c r="EN25" i="3"/>
  <c r="EJ25" i="3"/>
  <c r="EF25" i="3"/>
  <c r="EB25" i="3"/>
  <c r="DX25" i="3"/>
  <c r="DT25" i="3"/>
  <c r="DP25" i="3"/>
  <c r="DL25" i="3"/>
  <c r="DH25" i="3"/>
  <c r="DD25" i="3"/>
  <c r="CZ25" i="3"/>
  <c r="CV25" i="3"/>
  <c r="CR25" i="3"/>
  <c r="CN25" i="3"/>
  <c r="CJ25" i="3"/>
  <c r="CF25" i="3"/>
  <c r="CB25" i="3"/>
  <c r="BX25" i="3"/>
  <c r="BT25" i="3"/>
  <c r="BP25" i="3"/>
  <c r="BL25" i="3"/>
  <c r="BH25" i="3"/>
  <c r="BD25" i="3"/>
  <c r="AZ25" i="3"/>
  <c r="AV25" i="3"/>
  <c r="AR25" i="3"/>
  <c r="AN25" i="3"/>
  <c r="AJ25" i="3"/>
  <c r="AF25" i="3"/>
  <c r="AB25" i="3"/>
  <c r="X25" i="3"/>
  <c r="T25" i="3"/>
  <c r="P25" i="3"/>
  <c r="L25" i="3"/>
  <c r="H25" i="3"/>
  <c r="ALP29" i="3"/>
  <c r="ALL29" i="3"/>
  <c r="ALH29" i="3"/>
  <c r="ALD29" i="3"/>
  <c r="AKZ29" i="3"/>
  <c r="AKV29" i="3"/>
  <c r="AKR29" i="3"/>
  <c r="AKN29" i="3"/>
  <c r="AKJ29" i="3"/>
  <c r="AKF29" i="3"/>
  <c r="AKB29" i="3"/>
  <c r="AJX29" i="3"/>
  <c r="AJT29" i="3"/>
  <c r="AJP29" i="3"/>
  <c r="AJL29" i="3"/>
  <c r="AJH29" i="3"/>
  <c r="AJD29" i="3"/>
  <c r="AIZ29" i="3"/>
  <c r="AIV29" i="3"/>
  <c r="AIR29" i="3"/>
  <c r="AIN29" i="3"/>
  <c r="AIJ29" i="3"/>
  <c r="AIF29" i="3"/>
  <c r="AIB29" i="3"/>
  <c r="AHX29" i="3"/>
  <c r="AHT29" i="3"/>
  <c r="AHP29" i="3"/>
  <c r="AHL29" i="3"/>
  <c r="AHH29" i="3"/>
  <c r="AHD29" i="3"/>
  <c r="AGZ29" i="3"/>
  <c r="AGV29" i="3"/>
  <c r="AGR29" i="3"/>
  <c r="AGN29" i="3"/>
  <c r="AGJ29" i="3"/>
  <c r="AGF29" i="3"/>
  <c r="AGB29" i="3"/>
  <c r="AFX29" i="3"/>
  <c r="AFT29" i="3"/>
  <c r="AFP29" i="3"/>
  <c r="AFL29" i="3"/>
  <c r="AFH29" i="3"/>
  <c r="AFD29" i="3"/>
  <c r="AEZ29" i="3"/>
  <c r="AEV29" i="3"/>
  <c r="AER29" i="3"/>
  <c r="AEN29" i="3"/>
  <c r="AEJ29" i="3"/>
  <c r="AEF29" i="3"/>
  <c r="AEB29" i="3"/>
  <c r="ADX29" i="3"/>
  <c r="ADT29" i="3"/>
  <c r="ADP29" i="3"/>
  <c r="ADL29" i="3"/>
  <c r="ADH29" i="3"/>
  <c r="ADD29" i="3"/>
  <c r="ACZ29" i="3"/>
  <c r="ACV29" i="3"/>
  <c r="ACR29" i="3"/>
  <c r="ACN29" i="3"/>
  <c r="ACJ29" i="3"/>
  <c r="ACF29" i="3"/>
  <c r="ACB29" i="3"/>
  <c r="ABX29" i="3"/>
  <c r="ABT29" i="3"/>
  <c r="ABP29" i="3"/>
  <c r="ABL29" i="3"/>
  <c r="ABH29" i="3"/>
  <c r="ABD29" i="3"/>
  <c r="AAZ29" i="3"/>
  <c r="AAV29" i="3"/>
  <c r="AAR29" i="3"/>
  <c r="AAN29" i="3"/>
  <c r="AAJ29" i="3"/>
  <c r="AAF29" i="3"/>
  <c r="AAB29" i="3"/>
  <c r="ZX29" i="3"/>
  <c r="ZT29" i="3"/>
  <c r="ZP29" i="3"/>
  <c r="ZL29" i="3"/>
  <c r="ZH29" i="3"/>
  <c r="ZD29" i="3"/>
  <c r="YZ29" i="3"/>
  <c r="YV29" i="3"/>
  <c r="YR29" i="3"/>
  <c r="YN29" i="3"/>
  <c r="YJ29" i="3"/>
  <c r="YF29" i="3"/>
  <c r="YB29" i="3"/>
  <c r="XX29" i="3"/>
  <c r="XT29" i="3"/>
  <c r="XP29" i="3"/>
  <c r="XL29" i="3"/>
  <c r="XH29" i="3"/>
  <c r="XD29" i="3"/>
  <c r="WZ29" i="3"/>
  <c r="WV29" i="3"/>
  <c r="WR29" i="3"/>
  <c r="WN29" i="3"/>
  <c r="WJ29" i="3"/>
  <c r="WF29" i="3"/>
  <c r="WB29" i="3"/>
  <c r="VX29" i="3"/>
  <c r="VT29" i="3"/>
  <c r="VP29" i="3"/>
  <c r="VL29" i="3"/>
  <c r="VH29" i="3"/>
  <c r="VD29" i="3"/>
  <c r="UZ29" i="3"/>
  <c r="UV29" i="3"/>
  <c r="UR29" i="3"/>
  <c r="UN29" i="3"/>
  <c r="UJ29" i="3"/>
  <c r="UF29" i="3"/>
  <c r="UB29" i="3"/>
  <c r="TX29" i="3"/>
  <c r="TT29" i="3"/>
  <c r="TP29" i="3"/>
  <c r="TL29" i="3"/>
  <c r="TH29" i="3"/>
  <c r="TD29" i="3"/>
  <c r="SZ29" i="3"/>
  <c r="SV29" i="3"/>
  <c r="SR29" i="3"/>
  <c r="SN29" i="3"/>
  <c r="SJ29" i="3"/>
  <c r="SF29" i="3"/>
  <c r="SB29" i="3"/>
  <c r="RX29" i="3"/>
  <c r="RT29" i="3"/>
  <c r="RP29" i="3"/>
  <c r="RL29" i="3"/>
  <c r="RH29" i="3"/>
  <c r="RD29" i="3"/>
  <c r="QZ29" i="3"/>
  <c r="QV29" i="3"/>
  <c r="QR29" i="3"/>
  <c r="QN29" i="3"/>
  <c r="QJ29" i="3"/>
  <c r="QF29" i="3"/>
  <c r="QB29" i="3"/>
  <c r="PX29" i="3"/>
  <c r="PT29" i="3"/>
  <c r="PP29" i="3"/>
  <c r="PL29" i="3"/>
  <c r="PH29" i="3"/>
  <c r="PD29" i="3"/>
  <c r="OZ29" i="3"/>
  <c r="OV29" i="3"/>
  <c r="OR29" i="3"/>
  <c r="ON29" i="3"/>
  <c r="OJ29" i="3"/>
  <c r="OF29" i="3"/>
  <c r="OB29" i="3"/>
  <c r="NX29" i="3"/>
  <c r="NT29" i="3"/>
  <c r="NP29" i="3"/>
  <c r="NL29" i="3"/>
  <c r="NH29" i="3"/>
  <c r="ND29" i="3"/>
  <c r="MZ29" i="3"/>
  <c r="MV29" i="3"/>
  <c r="MR29" i="3"/>
  <c r="MN29" i="3"/>
  <c r="MJ29" i="3"/>
  <c r="MF29" i="3"/>
  <c r="MB29" i="3"/>
  <c r="LX29" i="3"/>
  <c r="LT29" i="3"/>
  <c r="LP29" i="3"/>
  <c r="LL29" i="3"/>
  <c r="LH29" i="3"/>
  <c r="LD29" i="3"/>
  <c r="KZ29" i="3"/>
  <c r="KV29" i="3"/>
  <c r="KR29" i="3"/>
  <c r="KN29" i="3"/>
  <c r="KJ29" i="3"/>
  <c r="KF29" i="3"/>
  <c r="KB29" i="3"/>
  <c r="JX29" i="3"/>
  <c r="JT29" i="3"/>
  <c r="JP29" i="3"/>
  <c r="JL29" i="3"/>
  <c r="JH29" i="3"/>
  <c r="JD29" i="3"/>
  <c r="IZ29" i="3"/>
  <c r="IV29" i="3"/>
  <c r="IR29" i="3"/>
  <c r="IN29" i="3"/>
  <c r="IJ29" i="3"/>
  <c r="IF29" i="3"/>
  <c r="IB29" i="3"/>
  <c r="HX29" i="3"/>
  <c r="HT29" i="3"/>
  <c r="HP29" i="3"/>
  <c r="HL29" i="3"/>
  <c r="HH29" i="3"/>
  <c r="HD29" i="3"/>
  <c r="GZ29" i="3"/>
  <c r="GV29" i="3"/>
  <c r="GR29" i="3"/>
  <c r="GN29" i="3"/>
  <c r="GJ29" i="3"/>
  <c r="GF29" i="3"/>
  <c r="GB29" i="3"/>
  <c r="FX29" i="3"/>
  <c r="FT29" i="3"/>
  <c r="FP29" i="3"/>
  <c r="FL29" i="3"/>
  <c r="FH29" i="3"/>
  <c r="FD29" i="3"/>
  <c r="EZ29" i="3"/>
  <c r="EV29" i="3"/>
  <c r="ER29" i="3"/>
  <c r="EN29" i="3"/>
  <c r="EJ29" i="3"/>
  <c r="EF29" i="3"/>
  <c r="EB29" i="3"/>
  <c r="DX29" i="3"/>
  <c r="DT29" i="3"/>
  <c r="DP29" i="3"/>
  <c r="DL29" i="3"/>
  <c r="DH29" i="3"/>
  <c r="DD29" i="3"/>
  <c r="CZ29" i="3"/>
  <c r="CV29" i="3"/>
  <c r="CR29" i="3"/>
  <c r="CN29" i="3"/>
  <c r="CJ29" i="3"/>
  <c r="CF29" i="3"/>
  <c r="CB29" i="3"/>
  <c r="BX29" i="3"/>
  <c r="BT29" i="3"/>
  <c r="BP29" i="3"/>
  <c r="BL29" i="3"/>
  <c r="BH29" i="3"/>
  <c r="BD29" i="3"/>
  <c r="AZ29" i="3"/>
  <c r="AV29" i="3"/>
  <c r="AR29" i="3"/>
  <c r="AN29" i="3"/>
  <c r="AJ29" i="3"/>
  <c r="AF29" i="3"/>
  <c r="AB29" i="3"/>
  <c r="X29" i="3"/>
  <c r="T29" i="3"/>
  <c r="P29" i="3"/>
  <c r="L29" i="3"/>
  <c r="H29" i="3"/>
  <c r="ALO29" i="3"/>
  <c r="ALK29" i="3"/>
  <c r="ALG29" i="3"/>
  <c r="ALC29" i="3"/>
  <c r="AKY29" i="3"/>
  <c r="AKU29" i="3"/>
  <c r="AKQ29" i="3"/>
  <c r="AKM29" i="3"/>
  <c r="AKI29" i="3"/>
  <c r="AKE29" i="3"/>
  <c r="AKA29" i="3"/>
  <c r="AJW29" i="3"/>
  <c r="AJS29" i="3"/>
  <c r="AJO29" i="3"/>
  <c r="AJK29" i="3"/>
  <c r="AJG29" i="3"/>
  <c r="AJC29" i="3"/>
  <c r="AIY29" i="3"/>
  <c r="AIU29" i="3"/>
  <c r="AIQ29" i="3"/>
  <c r="AIM29" i="3"/>
  <c r="AII29" i="3"/>
  <c r="AIE29" i="3"/>
  <c r="AIA29" i="3"/>
  <c r="AHW29" i="3"/>
  <c r="AHS29" i="3"/>
  <c r="AHO29" i="3"/>
  <c r="AHK29" i="3"/>
  <c r="AHG29" i="3"/>
  <c r="AHC29" i="3"/>
  <c r="AGY29" i="3"/>
  <c r="AGU29" i="3"/>
  <c r="AGQ29" i="3"/>
  <c r="AGM29" i="3"/>
  <c r="AGI29" i="3"/>
  <c r="AGE29" i="3"/>
  <c r="AGA29" i="3"/>
  <c r="AFW29" i="3"/>
  <c r="AFS29" i="3"/>
  <c r="AFO29" i="3"/>
  <c r="AFK29" i="3"/>
  <c r="AFG29" i="3"/>
  <c r="AFC29" i="3"/>
  <c r="AEY29" i="3"/>
  <c r="AEU29" i="3"/>
  <c r="AEQ29" i="3"/>
  <c r="AEM29" i="3"/>
  <c r="AEI29" i="3"/>
  <c r="AEE29" i="3"/>
  <c r="AEA29" i="3"/>
  <c r="ADW29" i="3"/>
  <c r="ADS29" i="3"/>
  <c r="ADO29" i="3"/>
  <c r="ADK29" i="3"/>
  <c r="ADG29" i="3"/>
  <c r="ADC29" i="3"/>
  <c r="ACY29" i="3"/>
  <c r="ACU29" i="3"/>
  <c r="ACQ29" i="3"/>
  <c r="ACM29" i="3"/>
  <c r="ACI29" i="3"/>
  <c r="ACE29" i="3"/>
  <c r="ACA29" i="3"/>
  <c r="ABW29" i="3"/>
  <c r="ABS29" i="3"/>
  <c r="ABO29" i="3"/>
  <c r="ABK29" i="3"/>
  <c r="ABG29" i="3"/>
  <c r="ABC29" i="3"/>
  <c r="AAY29" i="3"/>
  <c r="AAU29" i="3"/>
  <c r="AAQ29" i="3"/>
  <c r="AAM29" i="3"/>
  <c r="AAI29" i="3"/>
  <c r="AAE29" i="3"/>
  <c r="AAA29" i="3"/>
  <c r="ZW29" i="3"/>
  <c r="ZS29" i="3"/>
  <c r="ZO29" i="3"/>
  <c r="ZK29" i="3"/>
  <c r="ZG29" i="3"/>
  <c r="ZC29" i="3"/>
  <c r="YY29" i="3"/>
  <c r="YU29" i="3"/>
  <c r="YQ29" i="3"/>
  <c r="YM29" i="3"/>
  <c r="YI29" i="3"/>
  <c r="YE29" i="3"/>
  <c r="YA29" i="3"/>
  <c r="XW29" i="3"/>
  <c r="XS29" i="3"/>
  <c r="XO29" i="3"/>
  <c r="XK29" i="3"/>
  <c r="XG29" i="3"/>
  <c r="XC29" i="3"/>
  <c r="WY29" i="3"/>
  <c r="WU29" i="3"/>
  <c r="WQ29" i="3"/>
  <c r="WM29" i="3"/>
  <c r="WI29" i="3"/>
  <c r="WE29" i="3"/>
  <c r="WA29" i="3"/>
  <c r="VW29" i="3"/>
  <c r="VS29" i="3"/>
  <c r="VO29" i="3"/>
  <c r="VK29" i="3"/>
  <c r="VG29" i="3"/>
  <c r="VC29" i="3"/>
  <c r="UY29" i="3"/>
  <c r="UU29" i="3"/>
  <c r="UQ29" i="3"/>
  <c r="UM29" i="3"/>
  <c r="UI29" i="3"/>
  <c r="UE29" i="3"/>
  <c r="UA29" i="3"/>
  <c r="TW29" i="3"/>
  <c r="TS29" i="3"/>
  <c r="TO29" i="3"/>
  <c r="TK29" i="3"/>
  <c r="TG29" i="3"/>
  <c r="TC29" i="3"/>
  <c r="SY29" i="3"/>
  <c r="SU29" i="3"/>
  <c r="SQ29" i="3"/>
  <c r="SM29" i="3"/>
  <c r="SI29" i="3"/>
  <c r="SE29" i="3"/>
  <c r="SA29" i="3"/>
  <c r="RW29" i="3"/>
  <c r="RS29" i="3"/>
  <c r="RO29" i="3"/>
  <c r="RK29" i="3"/>
  <c r="RG29" i="3"/>
  <c r="RC29" i="3"/>
  <c r="QY29" i="3"/>
  <c r="QU29" i="3"/>
  <c r="QQ29" i="3"/>
  <c r="QM29" i="3"/>
  <c r="QI29" i="3"/>
  <c r="QE29" i="3"/>
  <c r="QA29" i="3"/>
  <c r="PW29" i="3"/>
  <c r="PS29" i="3"/>
  <c r="PO29" i="3"/>
  <c r="PK29" i="3"/>
  <c r="PG29" i="3"/>
  <c r="PC29" i="3"/>
  <c r="OY29" i="3"/>
  <c r="OU29" i="3"/>
  <c r="OQ29" i="3"/>
  <c r="OM29" i="3"/>
  <c r="OI29" i="3"/>
  <c r="OE29" i="3"/>
  <c r="OA29" i="3"/>
  <c r="NW29" i="3"/>
  <c r="NS29" i="3"/>
  <c r="NO29" i="3"/>
  <c r="NK29" i="3"/>
  <c r="NG29" i="3"/>
  <c r="NC29" i="3"/>
  <c r="MY29" i="3"/>
  <c r="MU29" i="3"/>
  <c r="MQ29" i="3"/>
  <c r="MM29" i="3"/>
  <c r="MI29" i="3"/>
  <c r="ME29" i="3"/>
  <c r="MA29" i="3"/>
  <c r="LW29" i="3"/>
  <c r="LS29" i="3"/>
  <c r="LO29" i="3"/>
  <c r="LK29" i="3"/>
  <c r="LG29" i="3"/>
  <c r="LC29" i="3"/>
  <c r="KY29" i="3"/>
  <c r="KU29" i="3"/>
  <c r="KQ29" i="3"/>
  <c r="KM29" i="3"/>
  <c r="KI29" i="3"/>
  <c r="KE29" i="3"/>
  <c r="KA29" i="3"/>
  <c r="JW29" i="3"/>
  <c r="JS29" i="3"/>
  <c r="JO29" i="3"/>
  <c r="JK29" i="3"/>
  <c r="JG29" i="3"/>
  <c r="JC29" i="3"/>
  <c r="IY29" i="3"/>
  <c r="IU29" i="3"/>
  <c r="IQ29" i="3"/>
  <c r="IM29" i="3"/>
  <c r="II29" i="3"/>
  <c r="IE29" i="3"/>
  <c r="IA29" i="3"/>
  <c r="HW29" i="3"/>
  <c r="HS29" i="3"/>
  <c r="HO29" i="3"/>
  <c r="HK29" i="3"/>
  <c r="HG29" i="3"/>
  <c r="HC29" i="3"/>
  <c r="GY29" i="3"/>
  <c r="GU29" i="3"/>
  <c r="GQ29" i="3"/>
  <c r="GM29" i="3"/>
  <c r="GI29" i="3"/>
  <c r="GE29" i="3"/>
  <c r="GA29" i="3"/>
  <c r="FW29" i="3"/>
  <c r="FS29" i="3"/>
  <c r="FO29" i="3"/>
  <c r="FK29" i="3"/>
  <c r="FG29" i="3"/>
  <c r="FC29" i="3"/>
  <c r="EY29" i="3"/>
  <c r="EU29" i="3"/>
  <c r="EQ29" i="3"/>
  <c r="EM29" i="3"/>
  <c r="EI29" i="3"/>
  <c r="EE29" i="3"/>
  <c r="EA29" i="3"/>
  <c r="DW29" i="3"/>
  <c r="DS29" i="3"/>
  <c r="DO29" i="3"/>
  <c r="DK29" i="3"/>
  <c r="DG29" i="3"/>
  <c r="DC29" i="3"/>
  <c r="CY29" i="3"/>
  <c r="CU29" i="3"/>
  <c r="CQ29" i="3"/>
  <c r="CM29" i="3"/>
  <c r="CI29" i="3"/>
  <c r="CE29" i="3"/>
  <c r="CA29" i="3"/>
  <c r="BW29" i="3"/>
  <c r="BS29" i="3"/>
  <c r="BO29" i="3"/>
  <c r="BK29" i="3"/>
  <c r="BG29" i="3"/>
  <c r="BC29" i="3"/>
  <c r="AY29" i="3"/>
  <c r="AU29" i="3"/>
  <c r="AQ29" i="3"/>
  <c r="AM29" i="3"/>
  <c r="AI29" i="3"/>
  <c r="AE29" i="3"/>
  <c r="AA29" i="3"/>
  <c r="W29" i="3"/>
  <c r="S29" i="3"/>
  <c r="O29" i="3"/>
  <c r="K29" i="3"/>
  <c r="G29" i="3"/>
  <c r="ALN29" i="3"/>
  <c r="ALJ29" i="3"/>
  <c r="ALF29" i="3"/>
  <c r="ALB29" i="3"/>
  <c r="AKX29" i="3"/>
  <c r="AKT29" i="3"/>
  <c r="AKP29" i="3"/>
  <c r="AKL29" i="3"/>
  <c r="AKH29" i="3"/>
  <c r="AKD29" i="3"/>
  <c r="AJZ29" i="3"/>
  <c r="AJV29" i="3"/>
  <c r="AJR29" i="3"/>
  <c r="AJN29" i="3"/>
  <c r="AJJ29" i="3"/>
  <c r="AJF29" i="3"/>
  <c r="AJB29" i="3"/>
  <c r="AIX29" i="3"/>
  <c r="AIT29" i="3"/>
  <c r="AIP29" i="3"/>
  <c r="AIL29" i="3"/>
  <c r="AIH29" i="3"/>
  <c r="AID29" i="3"/>
  <c r="AHZ29" i="3"/>
  <c r="AHV29" i="3"/>
  <c r="AHR29" i="3"/>
  <c r="AHN29" i="3"/>
  <c r="AHJ29" i="3"/>
  <c r="AHF29" i="3"/>
  <c r="AHB29" i="3"/>
  <c r="AGX29" i="3"/>
  <c r="AGT29" i="3"/>
  <c r="AGP29" i="3"/>
  <c r="AGL29" i="3"/>
  <c r="AGH29" i="3"/>
  <c r="AGD29" i="3"/>
  <c r="AFZ29" i="3"/>
  <c r="AFV29" i="3"/>
  <c r="AFR29" i="3"/>
  <c r="AFN29" i="3"/>
  <c r="AFJ29" i="3"/>
  <c r="AFF29" i="3"/>
  <c r="AFB29" i="3"/>
  <c r="AEX29" i="3"/>
  <c r="AET29" i="3"/>
  <c r="AEP29" i="3"/>
  <c r="AEL29" i="3"/>
  <c r="AEH29" i="3"/>
  <c r="AED29" i="3"/>
  <c r="ADZ29" i="3"/>
  <c r="ADV29" i="3"/>
  <c r="ADR29" i="3"/>
  <c r="ADN29" i="3"/>
  <c r="ADJ29" i="3"/>
  <c r="ADF29" i="3"/>
  <c r="ADB29" i="3"/>
  <c r="ACX29" i="3"/>
  <c r="ACT29" i="3"/>
  <c r="ACP29" i="3"/>
  <c r="ACL29" i="3"/>
  <c r="ACH29" i="3"/>
  <c r="ACD29" i="3"/>
  <c r="ABZ29" i="3"/>
  <c r="ABV29" i="3"/>
  <c r="ABR29" i="3"/>
  <c r="ABN29" i="3"/>
  <c r="ABJ29" i="3"/>
  <c r="ABF29" i="3"/>
  <c r="ABB29" i="3"/>
  <c r="AAX29" i="3"/>
  <c r="AAT29" i="3"/>
  <c r="AAP29" i="3"/>
  <c r="AAL29" i="3"/>
  <c r="AAH29" i="3"/>
  <c r="AAD29" i="3"/>
  <c r="ZZ29" i="3"/>
  <c r="ZV29" i="3"/>
  <c r="ZR29" i="3"/>
  <c r="ZN29" i="3"/>
  <c r="ZJ29" i="3"/>
  <c r="ZF29" i="3"/>
  <c r="ZB29" i="3"/>
  <c r="YX29" i="3"/>
  <c r="YT29" i="3"/>
  <c r="YP29" i="3"/>
  <c r="YL29" i="3"/>
  <c r="YH29" i="3"/>
  <c r="YD29" i="3"/>
  <c r="XZ29" i="3"/>
  <c r="XV29" i="3"/>
  <c r="XR29" i="3"/>
  <c r="XN29" i="3"/>
  <c r="XJ29" i="3"/>
  <c r="XF29" i="3"/>
  <c r="XB29" i="3"/>
  <c r="WX29" i="3"/>
  <c r="WT29" i="3"/>
  <c r="WP29" i="3"/>
  <c r="WL29" i="3"/>
  <c r="WH29" i="3"/>
  <c r="WD29" i="3"/>
  <c r="VZ29" i="3"/>
  <c r="VV29" i="3"/>
  <c r="VR29" i="3"/>
  <c r="VN29" i="3"/>
  <c r="VJ29" i="3"/>
  <c r="VF29" i="3"/>
  <c r="VB29" i="3"/>
  <c r="UX29" i="3"/>
  <c r="UT29" i="3"/>
  <c r="UP29" i="3"/>
  <c r="UL29" i="3"/>
  <c r="UH29" i="3"/>
  <c r="UD29" i="3"/>
  <c r="TZ29" i="3"/>
  <c r="TV29" i="3"/>
  <c r="TR29" i="3"/>
  <c r="TN29" i="3"/>
  <c r="TJ29" i="3"/>
  <c r="TF29" i="3"/>
  <c r="TB29" i="3"/>
  <c r="SX29" i="3"/>
  <c r="ST29" i="3"/>
  <c r="SP29" i="3"/>
  <c r="SL29" i="3"/>
  <c r="SH29" i="3"/>
  <c r="SD29" i="3"/>
  <c r="RZ29" i="3"/>
  <c r="RV29" i="3"/>
  <c r="RR29" i="3"/>
  <c r="RN29" i="3"/>
  <c r="RJ29" i="3"/>
  <c r="RF29" i="3"/>
  <c r="RB29" i="3"/>
  <c r="QX29" i="3"/>
  <c r="QT29" i="3"/>
  <c r="QP29" i="3"/>
  <c r="QL29" i="3"/>
  <c r="QH29" i="3"/>
  <c r="QD29" i="3"/>
  <c r="PZ29" i="3"/>
  <c r="PV29" i="3"/>
  <c r="PR29" i="3"/>
  <c r="PN29" i="3"/>
  <c r="PJ29" i="3"/>
  <c r="PF29" i="3"/>
  <c r="PB29" i="3"/>
  <c r="OX29" i="3"/>
  <c r="OT29" i="3"/>
  <c r="OP29" i="3"/>
  <c r="OL29" i="3"/>
  <c r="OH29" i="3"/>
  <c r="OD29" i="3"/>
  <c r="NZ29" i="3"/>
  <c r="NV29" i="3"/>
  <c r="NR29" i="3"/>
  <c r="NN29" i="3"/>
  <c r="NJ29" i="3"/>
  <c r="NF29" i="3"/>
  <c r="NB29" i="3"/>
  <c r="MX29" i="3"/>
  <c r="MT29" i="3"/>
  <c r="MP29" i="3"/>
  <c r="ML29" i="3"/>
  <c r="MH29" i="3"/>
  <c r="MD29" i="3"/>
  <c r="LZ29" i="3"/>
  <c r="LV29" i="3"/>
  <c r="LR29" i="3"/>
  <c r="LN29" i="3"/>
  <c r="LJ29" i="3"/>
  <c r="LF29" i="3"/>
  <c r="LB29" i="3"/>
  <c r="KX29" i="3"/>
  <c r="KT29" i="3"/>
  <c r="KP29" i="3"/>
  <c r="KL29" i="3"/>
  <c r="KH29" i="3"/>
  <c r="KD29" i="3"/>
  <c r="JZ29" i="3"/>
  <c r="JV29" i="3"/>
  <c r="JR29" i="3"/>
  <c r="JN29" i="3"/>
  <c r="JJ29" i="3"/>
  <c r="JF29" i="3"/>
  <c r="JB29" i="3"/>
  <c r="IX29" i="3"/>
  <c r="IT29" i="3"/>
  <c r="IP29" i="3"/>
  <c r="IL29" i="3"/>
  <c r="IH29" i="3"/>
  <c r="ID29" i="3"/>
  <c r="HZ29" i="3"/>
  <c r="HV29" i="3"/>
  <c r="HR29" i="3"/>
  <c r="HN29" i="3"/>
  <c r="HJ29" i="3"/>
  <c r="HF29" i="3"/>
  <c r="HB29" i="3"/>
  <c r="GX29" i="3"/>
  <c r="GT29" i="3"/>
  <c r="GP29" i="3"/>
  <c r="GL29" i="3"/>
  <c r="GH29" i="3"/>
  <c r="GD29" i="3"/>
  <c r="FZ29" i="3"/>
  <c r="FV29" i="3"/>
  <c r="FR29" i="3"/>
  <c r="FN29" i="3"/>
  <c r="FJ29" i="3"/>
  <c r="FF29" i="3"/>
  <c r="FB29" i="3"/>
  <c r="EX29" i="3"/>
  <c r="ET29" i="3"/>
  <c r="EP29" i="3"/>
  <c r="EL29" i="3"/>
  <c r="EH29" i="3"/>
  <c r="ED29" i="3"/>
  <c r="DZ29" i="3"/>
  <c r="DV29" i="3"/>
  <c r="DR29" i="3"/>
  <c r="DN29" i="3"/>
  <c r="DJ29" i="3"/>
  <c r="DF29" i="3"/>
  <c r="DB29" i="3"/>
  <c r="CX29" i="3"/>
  <c r="CT29" i="3"/>
  <c r="CP29" i="3"/>
  <c r="CL29" i="3"/>
  <c r="CH29" i="3"/>
  <c r="CD29" i="3"/>
  <c r="BZ29" i="3"/>
  <c r="BV29" i="3"/>
  <c r="BR29" i="3"/>
  <c r="BN29" i="3"/>
  <c r="BJ29" i="3"/>
  <c r="BF29" i="3"/>
  <c r="BB29" i="3"/>
  <c r="AX29" i="3"/>
  <c r="AT29" i="3"/>
  <c r="AP29" i="3"/>
  <c r="AL29" i="3"/>
  <c r="AH29" i="3"/>
  <c r="AD29" i="3"/>
  <c r="Z29" i="3"/>
  <c r="V29" i="3"/>
  <c r="R29" i="3"/>
  <c r="N29" i="3"/>
  <c r="J29" i="3"/>
  <c r="ALI29" i="3"/>
  <c r="AKS29" i="3"/>
  <c r="AKC29" i="3"/>
  <c r="AJM29" i="3"/>
  <c r="AIW29" i="3"/>
  <c r="AIG29" i="3"/>
  <c r="AHQ29" i="3"/>
  <c r="AHA29" i="3"/>
  <c r="AGK29" i="3"/>
  <c r="AFU29" i="3"/>
  <c r="AFE29" i="3"/>
  <c r="AEO29" i="3"/>
  <c r="ADY29" i="3"/>
  <c r="ADI29" i="3"/>
  <c r="ACS29" i="3"/>
  <c r="ACC29" i="3"/>
  <c r="ABM29" i="3"/>
  <c r="AAW29" i="3"/>
  <c r="AAG29" i="3"/>
  <c r="ZQ29" i="3"/>
  <c r="ZA29" i="3"/>
  <c r="YK29" i="3"/>
  <c r="XU29" i="3"/>
  <c r="XE29" i="3"/>
  <c r="WO29" i="3"/>
  <c r="VY29" i="3"/>
  <c r="VI29" i="3"/>
  <c r="US29" i="3"/>
  <c r="UC29" i="3"/>
  <c r="TM29" i="3"/>
  <c r="SW29" i="3"/>
  <c r="SG29" i="3"/>
  <c r="RQ29" i="3"/>
  <c r="RA29" i="3"/>
  <c r="QK29" i="3"/>
  <c r="PU29" i="3"/>
  <c r="PE29" i="3"/>
  <c r="OO29" i="3"/>
  <c r="NY29" i="3"/>
  <c r="NI29" i="3"/>
  <c r="MS29" i="3"/>
  <c r="MC29" i="3"/>
  <c r="LM29" i="3"/>
  <c r="KW29" i="3"/>
  <c r="KG29" i="3"/>
  <c r="JQ29" i="3"/>
  <c r="JA29" i="3"/>
  <c r="IK29" i="3"/>
  <c r="HU29" i="3"/>
  <c r="HE29" i="3"/>
  <c r="GO29" i="3"/>
  <c r="FY29" i="3"/>
  <c r="FI29" i="3"/>
  <c r="ES29" i="3"/>
  <c r="EC29" i="3"/>
  <c r="DM29" i="3"/>
  <c r="CW29" i="3"/>
  <c r="CG29" i="3"/>
  <c r="BQ29" i="3"/>
  <c r="BA29" i="3"/>
  <c r="AK29" i="3"/>
  <c r="U29" i="3"/>
  <c r="F29" i="3"/>
  <c r="ALE29" i="3"/>
  <c r="AKO29" i="3"/>
  <c r="AJY29" i="3"/>
  <c r="AJI29" i="3"/>
  <c r="AIS29" i="3"/>
  <c r="AIC29" i="3"/>
  <c r="AHM29" i="3"/>
  <c r="AGW29" i="3"/>
  <c r="AGG29" i="3"/>
  <c r="AFQ29" i="3"/>
  <c r="AFA29" i="3"/>
  <c r="AEK29" i="3"/>
  <c r="ADU29" i="3"/>
  <c r="ADE29" i="3"/>
  <c r="ACO29" i="3"/>
  <c r="ABY29" i="3"/>
  <c r="ABI29" i="3"/>
  <c r="AAS29" i="3"/>
  <c r="AAC29" i="3"/>
  <c r="ZM29" i="3"/>
  <c r="YW29" i="3"/>
  <c r="YG29" i="3"/>
  <c r="XQ29" i="3"/>
  <c r="XA29" i="3"/>
  <c r="WK29" i="3"/>
  <c r="VU29" i="3"/>
  <c r="VE29" i="3"/>
  <c r="UO29" i="3"/>
  <c r="TY29" i="3"/>
  <c r="TI29" i="3"/>
  <c r="SS29" i="3"/>
  <c r="SC29" i="3"/>
  <c r="RM29" i="3"/>
  <c r="QW29" i="3"/>
  <c r="QG29" i="3"/>
  <c r="PQ29" i="3"/>
  <c r="PA29" i="3"/>
  <c r="OK29" i="3"/>
  <c r="NU29" i="3"/>
  <c r="NE29" i="3"/>
  <c r="MO29" i="3"/>
  <c r="LY29" i="3"/>
  <c r="LI29" i="3"/>
  <c r="KS29" i="3"/>
  <c r="KC29" i="3"/>
  <c r="JM29" i="3"/>
  <c r="IW29" i="3"/>
  <c r="IG29" i="3"/>
  <c r="HQ29" i="3"/>
  <c r="HA29" i="3"/>
  <c r="GK29" i="3"/>
  <c r="FU29" i="3"/>
  <c r="FE29" i="3"/>
  <c r="EO29" i="3"/>
  <c r="DY29" i="3"/>
  <c r="DI29" i="3"/>
  <c r="CS29" i="3"/>
  <c r="CC29" i="3"/>
  <c r="BM29" i="3"/>
  <c r="AW29" i="3"/>
  <c r="AG29" i="3"/>
  <c r="Q29" i="3"/>
  <c r="ALQ29" i="3"/>
  <c r="ALA29" i="3"/>
  <c r="AKK29" i="3"/>
  <c r="AJU29" i="3"/>
  <c r="AJE29" i="3"/>
  <c r="AIO29" i="3"/>
  <c r="AHY29" i="3"/>
  <c r="AHI29" i="3"/>
  <c r="AGS29" i="3"/>
  <c r="AGC29" i="3"/>
  <c r="AFM29" i="3"/>
  <c r="AEW29" i="3"/>
  <c r="AEG29" i="3"/>
  <c r="ADQ29" i="3"/>
  <c r="ADA29" i="3"/>
  <c r="ACK29" i="3"/>
  <c r="ABU29" i="3"/>
  <c r="ABE29" i="3"/>
  <c r="AAO29" i="3"/>
  <c r="ZY29" i="3"/>
  <c r="ZI29" i="3"/>
  <c r="YS29" i="3"/>
  <c r="YC29" i="3"/>
  <c r="XM29" i="3"/>
  <c r="WW29" i="3"/>
  <c r="WG29" i="3"/>
  <c r="VQ29" i="3"/>
  <c r="VA29" i="3"/>
  <c r="UK29" i="3"/>
  <c r="TU29" i="3"/>
  <c r="TE29" i="3"/>
  <c r="SO29" i="3"/>
  <c r="RY29" i="3"/>
  <c r="RI29" i="3"/>
  <c r="QS29" i="3"/>
  <c r="QC29" i="3"/>
  <c r="PM29" i="3"/>
  <c r="OW29" i="3"/>
  <c r="OG29" i="3"/>
  <c r="NQ29" i="3"/>
  <c r="NA29" i="3"/>
  <c r="MK29" i="3"/>
  <c r="LU29" i="3"/>
  <c r="LE29" i="3"/>
  <c r="KO29" i="3"/>
  <c r="JY29" i="3"/>
  <c r="JI29" i="3"/>
  <c r="IS29" i="3"/>
  <c r="IC29" i="3"/>
  <c r="HM29" i="3"/>
  <c r="GW29" i="3"/>
  <c r="GG29" i="3"/>
  <c r="FQ29" i="3"/>
  <c r="FA29" i="3"/>
  <c r="EK29" i="3"/>
  <c r="DU29" i="3"/>
  <c r="DE29" i="3"/>
  <c r="CO29" i="3"/>
  <c r="BY29" i="3"/>
  <c r="BI29" i="3"/>
  <c r="AS29" i="3"/>
  <c r="AC29" i="3"/>
  <c r="M29" i="3"/>
  <c r="E12" i="6"/>
  <c r="F33" i="3" a="1"/>
  <c r="E12" i="5"/>
  <c r="F37" i="3" a="1"/>
  <c r="D13" i="6"/>
  <c r="D13" i="5"/>
  <c r="D11" i="4"/>
  <c r="D18" i="6"/>
  <c r="D16" i="4"/>
  <c r="D18" i="5"/>
  <c r="D20" i="6"/>
  <c r="D20" i="5"/>
  <c r="D18" i="4"/>
  <c r="D21" i="6"/>
  <c r="D21" i="5"/>
  <c r="D19" i="4"/>
  <c r="D22" i="6"/>
  <c r="D22" i="5"/>
  <c r="D20" i="4"/>
  <c r="D24" i="6"/>
  <c r="D24" i="5"/>
  <c r="D22" i="4"/>
  <c r="D25" i="6"/>
  <c r="D23" i="4"/>
  <c r="D25" i="5"/>
  <c r="D27" i="6"/>
  <c r="D27" i="5"/>
  <c r="D25" i="4"/>
  <c r="D28" i="6"/>
  <c r="D28" i="5"/>
  <c r="D26" i="4"/>
  <c r="D29" i="6"/>
  <c r="D29" i="5"/>
  <c r="D27" i="4"/>
  <c r="D31" i="6"/>
  <c r="D31" i="5"/>
  <c r="D29" i="4"/>
  <c r="D32" i="5"/>
  <c r="D32" i="6"/>
  <c r="D30" i="4"/>
  <c r="D34" i="6"/>
  <c r="D32" i="4"/>
  <c r="D34" i="5"/>
  <c r="D35" i="6"/>
  <c r="D35" i="5"/>
  <c r="D33" i="4"/>
  <c r="D36" i="6"/>
  <c r="D36" i="5"/>
  <c r="D34" i="4"/>
  <c r="D37" i="6"/>
  <c r="D37" i="5"/>
  <c r="D35" i="4"/>
  <c r="D38" i="6"/>
  <c r="D38" i="5"/>
  <c r="D36" i="4"/>
  <c r="D39" i="6"/>
  <c r="D39" i="5"/>
  <c r="D37" i="4"/>
  <c r="D42" i="6"/>
  <c r="D42" i="5"/>
  <c r="D40" i="4"/>
  <c r="D43" i="6"/>
  <c r="D43" i="5"/>
  <c r="D41" i="4"/>
  <c r="D44" i="6"/>
  <c r="D44" i="5"/>
  <c r="D42" i="4"/>
  <c r="D45" i="6"/>
  <c r="D45" i="5"/>
  <c r="D43" i="4"/>
  <c r="D47" i="6"/>
  <c r="D47" i="5"/>
  <c r="D45" i="4"/>
  <c r="D57" i="6"/>
  <c r="D57" i="5"/>
  <c r="D55" i="4"/>
  <c r="D58" i="6"/>
  <c r="D58" i="5"/>
  <c r="D56" i="4"/>
  <c r="D60" i="6"/>
  <c r="D60" i="5"/>
  <c r="D58" i="4"/>
  <c r="D61" i="6"/>
  <c r="D61" i="5"/>
  <c r="D59" i="4"/>
  <c r="D62" i="6"/>
  <c r="D62" i="5"/>
  <c r="D60" i="4"/>
  <c r="D63" i="6"/>
  <c r="D63" i="5"/>
  <c r="D61" i="4"/>
  <c r="D64" i="5"/>
  <c r="D64" i="6"/>
  <c r="D62" i="4"/>
  <c r="D65" i="6"/>
  <c r="D65" i="5"/>
  <c r="D63" i="4"/>
  <c r="D66" i="6"/>
  <c r="D66" i="5"/>
  <c r="D64" i="4"/>
  <c r="D67" i="6"/>
  <c r="D67" i="5"/>
  <c r="D65" i="4"/>
  <c r="D68" i="6"/>
  <c r="D68" i="5"/>
  <c r="D66" i="4"/>
  <c r="D69" i="6"/>
  <c r="D69" i="5"/>
  <c r="D67" i="4"/>
  <c r="D70" i="6"/>
  <c r="D70" i="5"/>
  <c r="D68" i="4"/>
  <c r="D71" i="6"/>
  <c r="D71" i="5"/>
  <c r="D69" i="4"/>
  <c r="D72" i="6"/>
  <c r="D72" i="5"/>
  <c r="D70" i="4"/>
  <c r="D73" i="6"/>
  <c r="D71" i="4"/>
  <c r="D73" i="5"/>
  <c r="D74" i="6"/>
  <c r="D74" i="5"/>
  <c r="D72" i="4"/>
  <c r="D75" i="6"/>
  <c r="D75" i="5"/>
  <c r="D73" i="4"/>
  <c r="D76" i="6"/>
  <c r="D76" i="5"/>
  <c r="D74" i="4"/>
  <c r="D77" i="6"/>
  <c r="D77" i="5"/>
  <c r="D75" i="4"/>
  <c r="D78" i="6"/>
  <c r="D78" i="5"/>
  <c r="D76" i="4"/>
  <c r="D79" i="6"/>
  <c r="D79" i="5"/>
  <c r="D77" i="4"/>
  <c r="D80" i="6"/>
  <c r="D80" i="5"/>
  <c r="D78" i="4"/>
  <c r="D81" i="6"/>
  <c r="D81" i="5"/>
  <c r="D79" i="4"/>
  <c r="D82" i="6"/>
  <c r="D82" i="5"/>
  <c r="D80" i="4"/>
  <c r="D83" i="6"/>
  <c r="D83" i="5"/>
  <c r="D81" i="4"/>
  <c r="D84" i="6"/>
  <c r="D84" i="5"/>
  <c r="D82" i="4"/>
  <c r="D85" i="6"/>
  <c r="D85" i="5"/>
  <c r="D83" i="4"/>
  <c r="D86" i="6"/>
  <c r="D86" i="5"/>
  <c r="D84" i="4"/>
  <c r="D87" i="6"/>
  <c r="D87" i="5"/>
  <c r="D85" i="4"/>
  <c r="D88" i="6"/>
  <c r="D88" i="5"/>
  <c r="D86" i="4"/>
  <c r="D89" i="6"/>
  <c r="D89" i="5"/>
  <c r="D87" i="4"/>
  <c r="D90" i="6"/>
  <c r="D90" i="5"/>
  <c r="D88" i="4"/>
  <c r="D91" i="6"/>
  <c r="D91" i="5"/>
  <c r="D89" i="4"/>
  <c r="D92" i="6"/>
  <c r="D92" i="5"/>
  <c r="D90" i="4"/>
  <c r="D93" i="6"/>
  <c r="D93" i="5"/>
  <c r="D91" i="4"/>
  <c r="D94" i="6"/>
  <c r="D94" i="5"/>
  <c r="D92" i="4"/>
  <c r="D95" i="6"/>
  <c r="D95" i="5"/>
  <c r="D93" i="4"/>
  <c r="D96" i="6"/>
  <c r="D96" i="5"/>
  <c r="D94" i="4"/>
  <c r="D97" i="6"/>
  <c r="D97" i="5"/>
  <c r="D95" i="4"/>
  <c r="D98" i="6"/>
  <c r="D98" i="5"/>
  <c r="D96" i="4"/>
  <c r="D99" i="6"/>
  <c r="D99" i="5"/>
  <c r="D97" i="4"/>
  <c r="D100" i="6"/>
  <c r="D100" i="5"/>
  <c r="D98" i="4"/>
  <c r="D101" i="6"/>
  <c r="D101" i="5"/>
  <c r="D99" i="4"/>
  <c r="D102" i="6"/>
  <c r="D102" i="5"/>
  <c r="D100" i="4"/>
  <c r="D103" i="6"/>
  <c r="D103" i="5"/>
  <c r="D101" i="4"/>
  <c r="D104" i="6"/>
  <c r="D104" i="5"/>
  <c r="D102" i="4"/>
  <c r="D105" i="6"/>
  <c r="D103" i="4"/>
  <c r="D105" i="5"/>
  <c r="D106" i="6"/>
  <c r="D106" i="5"/>
  <c r="D104" i="4"/>
  <c r="D107" i="6"/>
  <c r="D107" i="5"/>
  <c r="D105" i="4"/>
  <c r="D108" i="6"/>
  <c r="D108" i="5"/>
  <c r="D106" i="4"/>
  <c r="D109" i="6"/>
  <c r="D109" i="5"/>
  <c r="D107" i="4"/>
  <c r="D110" i="6"/>
  <c r="D110" i="5"/>
  <c r="D108" i="4"/>
  <c r="D111" i="6"/>
  <c r="D111" i="5"/>
  <c r="D109" i="4"/>
  <c r="D112" i="6"/>
  <c r="D112" i="5"/>
  <c r="D110" i="4"/>
  <c r="D113" i="6"/>
  <c r="D113" i="5"/>
  <c r="D111" i="4"/>
  <c r="D114" i="6"/>
  <c r="D114" i="5"/>
  <c r="D112" i="4"/>
  <c r="D115" i="6"/>
  <c r="D115" i="5"/>
  <c r="D113" i="4"/>
  <c r="D116" i="6"/>
  <c r="D116" i="5"/>
  <c r="D114" i="4"/>
  <c r="D117" i="6"/>
  <c r="D117" i="5"/>
  <c r="D115" i="4"/>
  <c r="D118" i="6"/>
  <c r="D118" i="5"/>
  <c r="D116" i="4"/>
  <c r="D119" i="6"/>
  <c r="D119" i="5"/>
  <c r="D117" i="4"/>
  <c r="D120" i="6"/>
  <c r="D120" i="5"/>
  <c r="D118" i="4"/>
  <c r="D121" i="6"/>
  <c r="D121" i="5"/>
  <c r="D119" i="4"/>
  <c r="D122" i="6"/>
  <c r="D122" i="5"/>
  <c r="D120" i="4"/>
  <c r="D123" i="6"/>
  <c r="D123" i="5"/>
  <c r="D121" i="4"/>
  <c r="D124" i="6"/>
  <c r="D124" i="5"/>
  <c r="D122" i="4"/>
  <c r="D125" i="6"/>
  <c r="D125" i="5"/>
  <c r="D123" i="4"/>
  <c r="D126" i="6"/>
  <c r="D126" i="5"/>
  <c r="D124" i="4"/>
  <c r="D127" i="6"/>
  <c r="D127" i="5"/>
  <c r="D125" i="4"/>
  <c r="D128" i="6"/>
  <c r="D128" i="5"/>
  <c r="D126" i="4"/>
  <c r="D129" i="6"/>
  <c r="D129" i="5"/>
  <c r="D127" i="4"/>
  <c r="D130" i="6"/>
  <c r="D130" i="5"/>
  <c r="D128" i="4"/>
  <c r="D131" i="6"/>
  <c r="D131" i="5"/>
  <c r="D129" i="4"/>
  <c r="D132" i="6"/>
  <c r="D132" i="5"/>
  <c r="D130" i="4"/>
  <c r="D133" i="6"/>
  <c r="D133" i="5"/>
  <c r="D131" i="4"/>
  <c r="D134" i="6"/>
  <c r="D134" i="5"/>
  <c r="D132" i="4"/>
  <c r="D135" i="6"/>
  <c r="D135" i="5"/>
  <c r="D133" i="4"/>
  <c r="D136" i="6"/>
  <c r="D136" i="5"/>
  <c r="D134" i="4"/>
  <c r="D137" i="6"/>
  <c r="D135" i="4"/>
  <c r="D137" i="5"/>
  <c r="D138" i="6"/>
  <c r="D138" i="5"/>
  <c r="D136" i="4"/>
  <c r="D139" i="6"/>
  <c r="D139" i="5"/>
  <c r="D137" i="4"/>
  <c r="D140" i="6"/>
  <c r="D138" i="4"/>
  <c r="D140" i="5"/>
  <c r="D141" i="6"/>
  <c r="D141" i="5"/>
  <c r="D139" i="4"/>
  <c r="D142" i="6"/>
  <c r="D140" i="4"/>
  <c r="D142" i="5"/>
  <c r="D143" i="6"/>
  <c r="D143" i="5"/>
  <c r="D141" i="4"/>
  <c r="D144" i="6"/>
  <c r="D144" i="5"/>
  <c r="D142" i="4"/>
  <c r="D145" i="6"/>
  <c r="D145" i="5"/>
  <c r="D143" i="4"/>
  <c r="D146" i="6"/>
  <c r="D146" i="5"/>
  <c r="D144" i="4"/>
  <c r="D147" i="6"/>
  <c r="D147" i="5"/>
  <c r="D145" i="4"/>
  <c r="D148" i="6"/>
  <c r="D148" i="5"/>
  <c r="D146" i="4"/>
  <c r="D149" i="6"/>
  <c r="D149" i="5"/>
  <c r="D147" i="4"/>
  <c r="D150" i="6"/>
  <c r="D150" i="5"/>
  <c r="D148" i="4"/>
  <c r="D151" i="6"/>
  <c r="D151" i="5"/>
  <c r="D149" i="4"/>
  <c r="D152" i="6"/>
  <c r="D152" i="5"/>
  <c r="D150" i="4"/>
  <c r="D153" i="6"/>
  <c r="D153" i="5"/>
  <c r="D151" i="4"/>
  <c r="D154" i="6"/>
  <c r="D154" i="5"/>
  <c r="D152" i="4"/>
  <c r="D155" i="6"/>
  <c r="D155" i="5"/>
  <c r="D153" i="4"/>
  <c r="D156" i="6"/>
  <c r="D156" i="5"/>
  <c r="D154" i="4"/>
  <c r="D157" i="6"/>
  <c r="D157" i="5"/>
  <c r="D155" i="4"/>
  <c r="D158" i="6"/>
  <c r="D158" i="5"/>
  <c r="D156" i="4"/>
  <c r="D159" i="6"/>
  <c r="D159" i="5"/>
  <c r="D157" i="4"/>
  <c r="D160" i="6"/>
  <c r="D160" i="5"/>
  <c r="D158" i="4"/>
  <c r="D161" i="6"/>
  <c r="D161" i="5"/>
  <c r="D159" i="4"/>
  <c r="D162" i="6"/>
  <c r="D162" i="5"/>
  <c r="D160" i="4"/>
  <c r="D163" i="6"/>
  <c r="D163" i="5"/>
  <c r="D161" i="4"/>
  <c r="D164" i="6"/>
  <c r="D164" i="5"/>
  <c r="D162" i="4"/>
  <c r="D165" i="6"/>
  <c r="D165" i="5"/>
  <c r="D163" i="4"/>
  <c r="D166" i="6"/>
  <c r="D166" i="5"/>
  <c r="D164" i="4"/>
  <c r="D167" i="6"/>
  <c r="D167" i="5"/>
  <c r="D165" i="4"/>
  <c r="D168" i="6"/>
  <c r="D168" i="5"/>
  <c r="D166" i="4"/>
  <c r="D169" i="6"/>
  <c r="D169" i="5"/>
  <c r="D167" i="4"/>
  <c r="D170" i="6"/>
  <c r="D168" i="4"/>
  <c r="D170" i="5"/>
  <c r="D171" i="6"/>
  <c r="D171" i="5"/>
  <c r="D169" i="4"/>
  <c r="D172" i="6"/>
  <c r="D172" i="5"/>
  <c r="D170" i="4"/>
  <c r="D173" i="6"/>
  <c r="D173" i="5"/>
  <c r="D171" i="4"/>
  <c r="D174" i="6"/>
  <c r="D174" i="5"/>
  <c r="D172" i="4"/>
  <c r="D175" i="6"/>
  <c r="D175" i="5"/>
  <c r="D173" i="4"/>
  <c r="D176" i="6"/>
  <c r="D176" i="5"/>
  <c r="D174" i="4"/>
  <c r="D177" i="6"/>
  <c r="D177" i="5"/>
  <c r="D175" i="4"/>
  <c r="D178" i="6"/>
  <c r="D178" i="5"/>
  <c r="D176" i="4"/>
  <c r="D179" i="6"/>
  <c r="D179" i="5"/>
  <c r="D177" i="4"/>
  <c r="D180" i="6"/>
  <c r="D180" i="5"/>
  <c r="D178" i="4"/>
  <c r="D181" i="6"/>
  <c r="D181" i="5"/>
  <c r="D179" i="4"/>
  <c r="D182" i="6"/>
  <c r="D180" i="4"/>
  <c r="D182" i="5"/>
  <c r="I20" i="3"/>
  <c r="Q20" i="3"/>
  <c r="Y20" i="3"/>
  <c r="AG20" i="3"/>
  <c r="AO20" i="3"/>
  <c r="AW20" i="3"/>
  <c r="BE20" i="3"/>
  <c r="BM20" i="3"/>
  <c r="BU20" i="3"/>
  <c r="CC20" i="3"/>
  <c r="CK20" i="3"/>
  <c r="CS20" i="3"/>
  <c r="DA20" i="3"/>
  <c r="DI20" i="3"/>
  <c r="DQ20" i="3"/>
  <c r="DY20" i="3"/>
  <c r="EG20" i="3"/>
  <c r="EO20" i="3"/>
  <c r="EW20" i="3"/>
  <c r="FE20" i="3"/>
  <c r="FM20" i="3"/>
  <c r="FU20" i="3"/>
  <c r="GC20" i="3"/>
  <c r="GK20" i="3"/>
  <c r="GS20" i="3"/>
  <c r="HA20" i="3"/>
  <c r="HI20" i="3"/>
  <c r="HQ20" i="3"/>
  <c r="HY20" i="3"/>
  <c r="IG20" i="3"/>
  <c r="IO20" i="3"/>
  <c r="IW20" i="3"/>
  <c r="JE20" i="3"/>
  <c r="JM20" i="3"/>
  <c r="JU20" i="3"/>
  <c r="KC20" i="3"/>
  <c r="KK20" i="3"/>
  <c r="KS20" i="3"/>
  <c r="LA20" i="3"/>
  <c r="LI20" i="3"/>
  <c r="LQ20" i="3"/>
  <c r="LY20" i="3"/>
  <c r="MG20" i="3"/>
  <c r="MO20" i="3"/>
  <c r="MW20" i="3"/>
  <c r="NE20" i="3"/>
  <c r="NM20" i="3"/>
  <c r="NU20" i="3"/>
  <c r="OC20" i="3"/>
  <c r="OK20" i="3"/>
  <c r="OS20" i="3"/>
  <c r="PA20" i="3"/>
  <c r="PI20" i="3"/>
  <c r="PQ20" i="3"/>
  <c r="PY20" i="3"/>
  <c r="QG20" i="3"/>
  <c r="QO20" i="3"/>
  <c r="QW20" i="3"/>
  <c r="RE20" i="3"/>
  <c r="RM20" i="3"/>
  <c r="RU20" i="3"/>
  <c r="SC20" i="3"/>
  <c r="SK20" i="3"/>
  <c r="SS20" i="3"/>
  <c r="TA20" i="3"/>
  <c r="TI20" i="3"/>
  <c r="TQ20" i="3"/>
  <c r="TY20" i="3"/>
  <c r="UG20" i="3"/>
  <c r="UO20" i="3"/>
  <c r="UW20" i="3"/>
  <c r="VE20" i="3"/>
  <c r="VM20" i="3"/>
  <c r="VU20" i="3"/>
  <c r="WC20" i="3"/>
  <c r="WK20" i="3"/>
  <c r="WS20" i="3"/>
  <c r="XA20" i="3"/>
  <c r="XI20" i="3"/>
  <c r="XQ20" i="3"/>
  <c r="XY20" i="3"/>
  <c r="YG20" i="3"/>
  <c r="YO20" i="3"/>
  <c r="YW20" i="3"/>
  <c r="ZE20" i="3"/>
  <c r="ZM20" i="3"/>
  <c r="ZU20" i="3"/>
  <c r="AAC20" i="3"/>
  <c r="AAK20" i="3"/>
  <c r="AAS20" i="3"/>
  <c r="ABA20" i="3"/>
  <c r="ABI20" i="3"/>
  <c r="ABQ20" i="3"/>
  <c r="ABY20" i="3"/>
  <c r="ACG20" i="3"/>
  <c r="ACO20" i="3"/>
  <c r="ACW20" i="3"/>
  <c r="ADE20" i="3"/>
  <c r="ADM20" i="3"/>
  <c r="ADU20" i="3"/>
  <c r="AEC20" i="3"/>
  <c r="AEK20" i="3"/>
  <c r="AES20" i="3"/>
  <c r="AFA20" i="3"/>
  <c r="AFI20" i="3"/>
  <c r="AFQ20" i="3"/>
  <c r="AFY20" i="3"/>
  <c r="AGG20" i="3"/>
  <c r="AGO20" i="3"/>
  <c r="AGW20" i="3"/>
  <c r="AHE20" i="3"/>
  <c r="AHM20" i="3"/>
  <c r="AHU20" i="3"/>
  <c r="AIC20" i="3"/>
  <c r="AIK20" i="3"/>
  <c r="AIS20" i="3"/>
  <c r="AJA20" i="3"/>
  <c r="AJI20" i="3"/>
  <c r="AJQ20" i="3"/>
  <c r="AJY20" i="3"/>
  <c r="AKG20" i="3"/>
  <c r="AKO20" i="3"/>
  <c r="AKW20" i="3"/>
  <c r="ALE20" i="3"/>
  <c r="ALM20" i="3"/>
  <c r="H21" i="3"/>
  <c r="P21" i="3"/>
  <c r="X21" i="3"/>
  <c r="AF21" i="3"/>
  <c r="AN21" i="3"/>
  <c r="AV21" i="3"/>
  <c r="BD21" i="3"/>
  <c r="BL21" i="3"/>
  <c r="BT21" i="3"/>
  <c r="CB21" i="3"/>
  <c r="CJ21" i="3"/>
  <c r="CR21" i="3"/>
  <c r="CZ21" i="3"/>
  <c r="DH21" i="3"/>
  <c r="DP21" i="3"/>
  <c r="DX21" i="3"/>
  <c r="EF21" i="3"/>
  <c r="EN21" i="3"/>
  <c r="EV21" i="3"/>
  <c r="FD21" i="3"/>
  <c r="FL21" i="3"/>
  <c r="FT21" i="3"/>
  <c r="GB21" i="3"/>
  <c r="GJ21" i="3"/>
  <c r="GR21" i="3"/>
  <c r="GZ21" i="3"/>
  <c r="HH21" i="3"/>
  <c r="HP21" i="3"/>
  <c r="HX21" i="3"/>
  <c r="IF21" i="3"/>
  <c r="IN21" i="3"/>
  <c r="IV21" i="3"/>
  <c r="JD21" i="3"/>
  <c r="JL21" i="3"/>
  <c r="JT21" i="3"/>
  <c r="KB21" i="3"/>
  <c r="KJ21" i="3"/>
  <c r="KR21" i="3"/>
  <c r="KZ21" i="3"/>
  <c r="LH21" i="3"/>
  <c r="LP21" i="3"/>
  <c r="LX21" i="3"/>
  <c r="MF21" i="3"/>
  <c r="MN21" i="3"/>
  <c r="MV21" i="3"/>
  <c r="ND21" i="3"/>
  <c r="NL21" i="3"/>
  <c r="NT21" i="3"/>
  <c r="OB21" i="3"/>
  <c r="OJ21" i="3"/>
  <c r="OR21" i="3"/>
  <c r="OZ21" i="3"/>
  <c r="PH21" i="3"/>
  <c r="PP21" i="3"/>
  <c r="PX21" i="3"/>
  <c r="QF21" i="3"/>
  <c r="QN21" i="3"/>
  <c r="QV21" i="3"/>
  <c r="RD21" i="3"/>
  <c r="RL21" i="3"/>
  <c r="RT21" i="3"/>
  <c r="SB21" i="3"/>
  <c r="SJ21" i="3"/>
  <c r="SR21" i="3"/>
  <c r="SZ21" i="3"/>
  <c r="TH21" i="3"/>
  <c r="TP21" i="3"/>
  <c r="TX21" i="3"/>
  <c r="UF21" i="3"/>
  <c r="UN21" i="3"/>
  <c r="UV21" i="3"/>
  <c r="VD21" i="3"/>
  <c r="VL21" i="3"/>
  <c r="VT21" i="3"/>
  <c r="WB21" i="3"/>
  <c r="WJ21" i="3"/>
  <c r="WR21" i="3"/>
  <c r="WZ21" i="3"/>
  <c r="XH21" i="3"/>
  <c r="XP21" i="3"/>
  <c r="XX21" i="3"/>
  <c r="YF21" i="3"/>
  <c r="YN21" i="3"/>
  <c r="YV21" i="3"/>
  <c r="ZD21" i="3"/>
  <c r="ZL21" i="3"/>
  <c r="ZT21" i="3"/>
  <c r="AAB21" i="3"/>
  <c r="AAJ21" i="3"/>
  <c r="AAR21" i="3"/>
  <c r="AAZ21" i="3"/>
  <c r="ABH21" i="3"/>
  <c r="ABP21" i="3"/>
  <c r="ABX21" i="3"/>
  <c r="ACF21" i="3"/>
  <c r="ACN21" i="3"/>
  <c r="ACV21" i="3"/>
  <c r="ADD21" i="3"/>
  <c r="ADL21" i="3"/>
  <c r="ADT21" i="3"/>
  <c r="AEB21" i="3"/>
  <c r="AEJ21" i="3"/>
  <c r="AER21" i="3"/>
  <c r="AEZ21" i="3"/>
  <c r="AFH21" i="3"/>
  <c r="AFP21" i="3"/>
  <c r="AFX21" i="3"/>
  <c r="AGF21" i="3"/>
  <c r="AGN21" i="3"/>
  <c r="AGV21" i="3"/>
  <c r="AHD21" i="3"/>
  <c r="AHL21" i="3"/>
  <c r="AHT21" i="3"/>
  <c r="AIB21" i="3"/>
  <c r="AIJ21" i="3"/>
  <c r="AIR21" i="3"/>
  <c r="AIZ21" i="3"/>
  <c r="AJH21" i="3"/>
  <c r="AJP21" i="3"/>
  <c r="AJX21" i="3"/>
  <c r="AKF21" i="3"/>
  <c r="AKN21" i="3"/>
  <c r="AKV21" i="3"/>
  <c r="ALD21" i="3"/>
  <c r="P24" i="3"/>
  <c r="AF24" i="3"/>
  <c r="AV24" i="3"/>
  <c r="BL24" i="3"/>
  <c r="CB24" i="3"/>
  <c r="CR24" i="3"/>
  <c r="DH24" i="3"/>
  <c r="DX24" i="3"/>
  <c r="EN24" i="3"/>
  <c r="FD24" i="3"/>
  <c r="FT24" i="3"/>
  <c r="GJ24" i="3"/>
  <c r="GZ24" i="3"/>
  <c r="HP24" i="3"/>
  <c r="IF24" i="3"/>
  <c r="IV24" i="3"/>
  <c r="JL24" i="3"/>
  <c r="KB24" i="3"/>
  <c r="KR24" i="3"/>
  <c r="LH24" i="3"/>
  <c r="LX24" i="3"/>
  <c r="MN24" i="3"/>
  <c r="ND24" i="3"/>
  <c r="NT24" i="3"/>
  <c r="OJ24" i="3"/>
  <c r="OZ24" i="3"/>
  <c r="PP24" i="3"/>
  <c r="QF24" i="3"/>
  <c r="QV24" i="3"/>
  <c r="RL24" i="3"/>
  <c r="SB24" i="3"/>
  <c r="SR24" i="3"/>
  <c r="TH24" i="3"/>
  <c r="TX24" i="3"/>
  <c r="UN24" i="3"/>
  <c r="VD24" i="3"/>
  <c r="VT24" i="3"/>
  <c r="WJ24" i="3"/>
  <c r="WZ24" i="3"/>
  <c r="XP24" i="3"/>
  <c r="YF24" i="3"/>
  <c r="YV24" i="3"/>
  <c r="ZL24" i="3"/>
  <c r="AAB24" i="3"/>
  <c r="AAR24" i="3"/>
  <c r="ABH24" i="3"/>
  <c r="ABX24" i="3"/>
  <c r="ACN24" i="3"/>
  <c r="ADD24" i="3"/>
  <c r="ADT24" i="3"/>
  <c r="AEJ24" i="3"/>
  <c r="AEZ24" i="3"/>
  <c r="AFP24" i="3"/>
  <c r="AGF24" i="3"/>
  <c r="AGV24" i="3"/>
  <c r="AHL24" i="3"/>
  <c r="AIB24" i="3"/>
  <c r="AIR24" i="3"/>
  <c r="AJH24" i="3"/>
  <c r="AJX24" i="3"/>
  <c r="AKN24" i="3"/>
  <c r="ALD24" i="3"/>
  <c r="G25" i="3"/>
  <c r="W25" i="3"/>
  <c r="AM25" i="3"/>
  <c r="BC25" i="3"/>
  <c r="BS25" i="3"/>
  <c r="CI25" i="3"/>
  <c r="CY25" i="3"/>
  <c r="DO25" i="3"/>
  <c r="EE25" i="3"/>
  <c r="EU25" i="3"/>
  <c r="FK25" i="3"/>
  <c r="GA25" i="3"/>
  <c r="GQ25" i="3"/>
  <c r="HG25" i="3"/>
  <c r="HW25" i="3"/>
  <c r="IM25" i="3"/>
  <c r="JC25" i="3"/>
  <c r="JS25" i="3"/>
  <c r="KI25" i="3"/>
  <c r="KY25" i="3"/>
  <c r="LO25" i="3"/>
  <c r="ME25" i="3"/>
  <c r="MU25" i="3"/>
  <c r="NK25" i="3"/>
  <c r="OA25" i="3"/>
  <c r="OQ25" i="3"/>
  <c r="PG25" i="3"/>
  <c r="PW25" i="3"/>
  <c r="QM25" i="3"/>
  <c r="RC25" i="3"/>
  <c r="RS25" i="3"/>
  <c r="SI25" i="3"/>
  <c r="SY25" i="3"/>
  <c r="TO25" i="3"/>
  <c r="UE25" i="3"/>
  <c r="UU25" i="3"/>
  <c r="VK25" i="3"/>
  <c r="WA25" i="3"/>
  <c r="WQ25" i="3"/>
  <c r="XG25" i="3"/>
  <c r="XW25" i="3"/>
  <c r="YM25" i="3"/>
  <c r="ZC25" i="3"/>
  <c r="ZS25" i="3"/>
  <c r="AAI25" i="3"/>
  <c r="AAY25" i="3"/>
  <c r="ABO25" i="3"/>
  <c r="ACE25" i="3"/>
  <c r="ACU25" i="3"/>
  <c r="ADK25" i="3"/>
  <c r="AEA25" i="3"/>
  <c r="AEQ25" i="3"/>
  <c r="AFG25" i="3"/>
  <c r="AFW25" i="3"/>
  <c r="AGM25" i="3"/>
  <c r="AHC25" i="3"/>
  <c r="AHS25" i="3"/>
  <c r="AII25" i="3"/>
  <c r="AIY25" i="3"/>
  <c r="AJO25" i="3"/>
  <c r="AKE25" i="3"/>
  <c r="AKU25" i="3"/>
  <c r="ALK25" i="3"/>
  <c r="L28" i="3"/>
  <c r="AB28" i="3"/>
  <c r="AR28" i="3"/>
  <c r="BH28" i="3"/>
  <c r="BX28" i="3"/>
  <c r="CN28" i="3"/>
  <c r="DD28" i="3"/>
  <c r="DT28" i="3"/>
  <c r="EJ28" i="3"/>
  <c r="EZ28" i="3"/>
  <c r="FP28" i="3"/>
  <c r="GF28" i="3"/>
  <c r="GV28" i="3"/>
  <c r="HL28" i="3"/>
  <c r="IB28" i="3"/>
  <c r="IR28" i="3"/>
  <c r="JH28" i="3"/>
  <c r="JX28" i="3"/>
  <c r="KN28" i="3"/>
  <c r="LD28" i="3"/>
  <c r="LW28" i="3"/>
  <c r="NC28" i="3"/>
  <c r="OI28" i="3"/>
  <c r="PO28" i="3"/>
  <c r="QU28" i="3"/>
  <c r="SA28" i="3"/>
  <c r="TG28" i="3"/>
  <c r="UM28" i="3"/>
  <c r="VS28" i="3"/>
  <c r="WY28" i="3"/>
  <c r="YE28" i="3"/>
  <c r="ZK28" i="3"/>
  <c r="AAQ28" i="3"/>
  <c r="ABW28" i="3"/>
  <c r="ADC28" i="3"/>
  <c r="AEI28" i="3"/>
  <c r="AFO28" i="3"/>
  <c r="AGU28" i="3"/>
  <c r="AIA28" i="3"/>
  <c r="AJG28" i="3"/>
  <c r="AKM28" i="3"/>
  <c r="I29" i="3"/>
  <c r="BU29" i="3"/>
  <c r="EG29" i="3"/>
  <c r="GS29" i="3"/>
  <c r="JE29" i="3"/>
  <c r="LQ29" i="3"/>
  <c r="OC29" i="3"/>
  <c r="QO29" i="3"/>
  <c r="TA29" i="3"/>
  <c r="VM29" i="3"/>
  <c r="XY29" i="3"/>
  <c r="AAK29" i="3"/>
  <c r="ACW29" i="3"/>
  <c r="AFI29" i="3"/>
  <c r="AHU29" i="3"/>
  <c r="AKG29" i="3"/>
  <c r="AF30" i="3"/>
  <c r="CR30" i="3"/>
  <c r="FD30" i="3"/>
  <c r="HP30" i="3"/>
  <c r="KB30" i="3"/>
  <c r="MN30" i="3"/>
  <c r="OZ30" i="3"/>
  <c r="RL30" i="3"/>
  <c r="TX30" i="3"/>
  <c r="WJ30" i="3"/>
  <c r="YV30" i="3"/>
  <c r="ABH30" i="3"/>
  <c r="ADT30" i="3"/>
  <c r="AGF30" i="3"/>
  <c r="AIR30" i="3"/>
  <c r="ALN21" i="3"/>
  <c r="ALJ21" i="3"/>
  <c r="ALF21" i="3"/>
  <c r="ALB21" i="3"/>
  <c r="AKX21" i="3"/>
  <c r="AKT21" i="3"/>
  <c r="AKP21" i="3"/>
  <c r="AKL21" i="3"/>
  <c r="AKH21" i="3"/>
  <c r="AKD21" i="3"/>
  <c r="AJZ21" i="3"/>
  <c r="AJV21" i="3"/>
  <c r="AJR21" i="3"/>
  <c r="AJN21" i="3"/>
  <c r="AJJ21" i="3"/>
  <c r="AJF21" i="3"/>
  <c r="AJB21" i="3"/>
  <c r="AIX21" i="3"/>
  <c r="AIT21" i="3"/>
  <c r="AIP21" i="3"/>
  <c r="AIL21" i="3"/>
  <c r="AIH21" i="3"/>
  <c r="AID21" i="3"/>
  <c r="AHZ21" i="3"/>
  <c r="AHV21" i="3"/>
  <c r="AHR21" i="3"/>
  <c r="AHN21" i="3"/>
  <c r="AHJ21" i="3"/>
  <c r="AHF21" i="3"/>
  <c r="AHB21" i="3"/>
  <c r="AGX21" i="3"/>
  <c r="AGT21" i="3"/>
  <c r="AGP21" i="3"/>
  <c r="AGL21" i="3"/>
  <c r="AGH21" i="3"/>
  <c r="AGD21" i="3"/>
  <c r="AFZ21" i="3"/>
  <c r="AFV21" i="3"/>
  <c r="AFR21" i="3"/>
  <c r="AFN21" i="3"/>
  <c r="AFJ21" i="3"/>
  <c r="AFF21" i="3"/>
  <c r="AFB21" i="3"/>
  <c r="AEX21" i="3"/>
  <c r="AET21" i="3"/>
  <c r="AEP21" i="3"/>
  <c r="AEL21" i="3"/>
  <c r="AEH21" i="3"/>
  <c r="AED21" i="3"/>
  <c r="ADZ21" i="3"/>
  <c r="ADV21" i="3"/>
  <c r="ADR21" i="3"/>
  <c r="ADN21" i="3"/>
  <c r="ADJ21" i="3"/>
  <c r="ADF21" i="3"/>
  <c r="ADB21" i="3"/>
  <c r="ACX21" i="3"/>
  <c r="ACT21" i="3"/>
  <c r="ACP21" i="3"/>
  <c r="ACL21" i="3"/>
  <c r="ACH21" i="3"/>
  <c r="ACD21" i="3"/>
  <c r="ABZ21" i="3"/>
  <c r="ABV21" i="3"/>
  <c r="ABR21" i="3"/>
  <c r="ABN21" i="3"/>
  <c r="ABJ21" i="3"/>
  <c r="ABF21" i="3"/>
  <c r="ABB21" i="3"/>
  <c r="AAX21" i="3"/>
  <c r="AAT21" i="3"/>
  <c r="AAP21" i="3"/>
  <c r="AAL21" i="3"/>
  <c r="AAH21" i="3"/>
  <c r="AAD21" i="3"/>
  <c r="ZZ21" i="3"/>
  <c r="ZV21" i="3"/>
  <c r="ZR21" i="3"/>
  <c r="ZN21" i="3"/>
  <c r="ZJ21" i="3"/>
  <c r="ZF21" i="3"/>
  <c r="ZB21" i="3"/>
  <c r="YX21" i="3"/>
  <c r="YT21" i="3"/>
  <c r="YP21" i="3"/>
  <c r="YL21" i="3"/>
  <c r="YH21" i="3"/>
  <c r="YD21" i="3"/>
  <c r="XZ21" i="3"/>
  <c r="XV21" i="3"/>
  <c r="XR21" i="3"/>
  <c r="XN21" i="3"/>
  <c r="XJ21" i="3"/>
  <c r="XF21" i="3"/>
  <c r="XB21" i="3"/>
  <c r="WX21" i="3"/>
  <c r="WT21" i="3"/>
  <c r="WP21" i="3"/>
  <c r="WL21" i="3"/>
  <c r="WH21" i="3"/>
  <c r="WD21" i="3"/>
  <c r="VZ21" i="3"/>
  <c r="VV21" i="3"/>
  <c r="VR21" i="3"/>
  <c r="VN21" i="3"/>
  <c r="VJ21" i="3"/>
  <c r="VF21" i="3"/>
  <c r="VB21" i="3"/>
  <c r="UX21" i="3"/>
  <c r="UT21" i="3"/>
  <c r="UP21" i="3"/>
  <c r="UL21" i="3"/>
  <c r="UH21" i="3"/>
  <c r="UD21" i="3"/>
  <c r="TZ21" i="3"/>
  <c r="TV21" i="3"/>
  <c r="TR21" i="3"/>
  <c r="TN21" i="3"/>
  <c r="TJ21" i="3"/>
  <c r="TF21" i="3"/>
  <c r="TB21" i="3"/>
  <c r="SX21" i="3"/>
  <c r="ST21" i="3"/>
  <c r="SP21" i="3"/>
  <c r="SL21" i="3"/>
  <c r="SH21" i="3"/>
  <c r="SD21" i="3"/>
  <c r="RZ21" i="3"/>
  <c r="RV21" i="3"/>
  <c r="RR21" i="3"/>
  <c r="RN21" i="3"/>
  <c r="RJ21" i="3"/>
  <c r="RF21" i="3"/>
  <c r="RB21" i="3"/>
  <c r="QX21" i="3"/>
  <c r="QT21" i="3"/>
  <c r="QP21" i="3"/>
  <c r="QL21" i="3"/>
  <c r="QH21" i="3"/>
  <c r="QD21" i="3"/>
  <c r="PZ21" i="3"/>
  <c r="PV21" i="3"/>
  <c r="PR21" i="3"/>
  <c r="PN21" i="3"/>
  <c r="PJ21" i="3"/>
  <c r="PF21" i="3"/>
  <c r="PB21" i="3"/>
  <c r="OX21" i="3"/>
  <c r="OT21" i="3"/>
  <c r="OP21" i="3"/>
  <c r="OL21" i="3"/>
  <c r="OH21" i="3"/>
  <c r="OD21" i="3"/>
  <c r="NZ21" i="3"/>
  <c r="NV21" i="3"/>
  <c r="NR21" i="3"/>
  <c r="NN21" i="3"/>
  <c r="NJ21" i="3"/>
  <c r="NF21" i="3"/>
  <c r="NB21" i="3"/>
  <c r="MX21" i="3"/>
  <c r="MT21" i="3"/>
  <c r="MP21" i="3"/>
  <c r="ML21" i="3"/>
  <c r="MH21" i="3"/>
  <c r="MD21" i="3"/>
  <c r="LZ21" i="3"/>
  <c r="LV21" i="3"/>
  <c r="LR21" i="3"/>
  <c r="LN21" i="3"/>
  <c r="LJ21" i="3"/>
  <c r="LF21" i="3"/>
  <c r="LB21" i="3"/>
  <c r="KX21" i="3"/>
  <c r="KT21" i="3"/>
  <c r="KP21" i="3"/>
  <c r="KL21" i="3"/>
  <c r="KH21" i="3"/>
  <c r="KD21" i="3"/>
  <c r="JZ21" i="3"/>
  <c r="JV21" i="3"/>
  <c r="JR21" i="3"/>
  <c r="JN21" i="3"/>
  <c r="JJ21" i="3"/>
  <c r="JF21" i="3"/>
  <c r="JB21" i="3"/>
  <c r="IX21" i="3"/>
  <c r="IT21" i="3"/>
  <c r="IP21" i="3"/>
  <c r="IL21" i="3"/>
  <c r="IH21" i="3"/>
  <c r="ID21" i="3"/>
  <c r="HZ21" i="3"/>
  <c r="HV21" i="3"/>
  <c r="HR21" i="3"/>
  <c r="HN21" i="3"/>
  <c r="HJ21" i="3"/>
  <c r="HF21" i="3"/>
  <c r="HB21" i="3"/>
  <c r="GX21" i="3"/>
  <c r="GT21" i="3"/>
  <c r="GP21" i="3"/>
  <c r="GL21" i="3"/>
  <c r="GH21" i="3"/>
  <c r="GD21" i="3"/>
  <c r="FZ21" i="3"/>
  <c r="FV21" i="3"/>
  <c r="FR21" i="3"/>
  <c r="FN21" i="3"/>
  <c r="FJ21" i="3"/>
  <c r="FF21" i="3"/>
  <c r="FB21" i="3"/>
  <c r="EX21" i="3"/>
  <c r="ET21" i="3"/>
  <c r="EP21" i="3"/>
  <c r="EL21" i="3"/>
  <c r="EH21" i="3"/>
  <c r="ED21" i="3"/>
  <c r="DZ21" i="3"/>
  <c r="DV21" i="3"/>
  <c r="DR21" i="3"/>
  <c r="DN21" i="3"/>
  <c r="DJ21" i="3"/>
  <c r="DF21" i="3"/>
  <c r="DB21" i="3"/>
  <c r="CX21" i="3"/>
  <c r="CT21" i="3"/>
  <c r="CP21" i="3"/>
  <c r="CL21" i="3"/>
  <c r="CH21" i="3"/>
  <c r="CD21" i="3"/>
  <c r="BZ21" i="3"/>
  <c r="BV21" i="3"/>
  <c r="BR21" i="3"/>
  <c r="BN21" i="3"/>
  <c r="BJ21" i="3"/>
  <c r="BF21" i="3"/>
  <c r="BB21" i="3"/>
  <c r="AX21" i="3"/>
  <c r="AT21" i="3"/>
  <c r="AP21" i="3"/>
  <c r="AL21" i="3"/>
  <c r="AH21" i="3"/>
  <c r="AD21" i="3"/>
  <c r="Z21" i="3"/>
  <c r="V21" i="3"/>
  <c r="R21" i="3"/>
  <c r="N21" i="3"/>
  <c r="J21" i="3"/>
  <c r="ALQ21" i="3"/>
  <c r="ALM21" i="3"/>
  <c r="ALI21" i="3"/>
  <c r="ALE21" i="3"/>
  <c r="ALA21" i="3"/>
  <c r="AKW21" i="3"/>
  <c r="AKS21" i="3"/>
  <c r="AKO21" i="3"/>
  <c r="AKK21" i="3"/>
  <c r="AKG21" i="3"/>
  <c r="AKC21" i="3"/>
  <c r="AJY21" i="3"/>
  <c r="AJU21" i="3"/>
  <c r="AJQ21" i="3"/>
  <c r="AJM21" i="3"/>
  <c r="AJI21" i="3"/>
  <c r="AJE21" i="3"/>
  <c r="AJA21" i="3"/>
  <c r="AIW21" i="3"/>
  <c r="AIS21" i="3"/>
  <c r="AIO21" i="3"/>
  <c r="AIK21" i="3"/>
  <c r="AIG21" i="3"/>
  <c r="AIC21" i="3"/>
  <c r="AHY21" i="3"/>
  <c r="AHU21" i="3"/>
  <c r="AHQ21" i="3"/>
  <c r="AHM21" i="3"/>
  <c r="AHI21" i="3"/>
  <c r="AHE21" i="3"/>
  <c r="AHA21" i="3"/>
  <c r="AGW21" i="3"/>
  <c r="AGS21" i="3"/>
  <c r="AGO21" i="3"/>
  <c r="AGK21" i="3"/>
  <c r="AGG21" i="3"/>
  <c r="AGC21" i="3"/>
  <c r="AFY21" i="3"/>
  <c r="AFU21" i="3"/>
  <c r="AFQ21" i="3"/>
  <c r="AFM21" i="3"/>
  <c r="AFI21" i="3"/>
  <c r="AFE21" i="3"/>
  <c r="AFA21" i="3"/>
  <c r="AEW21" i="3"/>
  <c r="AES21" i="3"/>
  <c r="AEO21" i="3"/>
  <c r="AEK21" i="3"/>
  <c r="AEG21" i="3"/>
  <c r="AEC21" i="3"/>
  <c r="ADY21" i="3"/>
  <c r="ADU21" i="3"/>
  <c r="ADQ21" i="3"/>
  <c r="ADM21" i="3"/>
  <c r="ADI21" i="3"/>
  <c r="ADE21" i="3"/>
  <c r="ADA21" i="3"/>
  <c r="ACW21" i="3"/>
  <c r="ACS21" i="3"/>
  <c r="ACO21" i="3"/>
  <c r="ACK21" i="3"/>
  <c r="ACG21" i="3"/>
  <c r="ACC21" i="3"/>
  <c r="ABY21" i="3"/>
  <c r="ABU21" i="3"/>
  <c r="ABQ21" i="3"/>
  <c r="ABM21" i="3"/>
  <c r="ABI21" i="3"/>
  <c r="ABE21" i="3"/>
  <c r="ABA21" i="3"/>
  <c r="AAW21" i="3"/>
  <c r="AAS21" i="3"/>
  <c r="AAO21" i="3"/>
  <c r="AAK21" i="3"/>
  <c r="AAG21" i="3"/>
  <c r="AAC21" i="3"/>
  <c r="ZY21" i="3"/>
  <c r="ZU21" i="3"/>
  <c r="ZQ21" i="3"/>
  <c r="ZM21" i="3"/>
  <c r="ZI21" i="3"/>
  <c r="ZE21" i="3"/>
  <c r="ZA21" i="3"/>
  <c r="YW21" i="3"/>
  <c r="YS21" i="3"/>
  <c r="YO21" i="3"/>
  <c r="YK21" i="3"/>
  <c r="YG21" i="3"/>
  <c r="YC21" i="3"/>
  <c r="XY21" i="3"/>
  <c r="XU21" i="3"/>
  <c r="XQ21" i="3"/>
  <c r="XM21" i="3"/>
  <c r="XI21" i="3"/>
  <c r="XE21" i="3"/>
  <c r="XA21" i="3"/>
  <c r="WW21" i="3"/>
  <c r="WS21" i="3"/>
  <c r="WO21" i="3"/>
  <c r="WK21" i="3"/>
  <c r="WG21" i="3"/>
  <c r="WC21" i="3"/>
  <c r="VY21" i="3"/>
  <c r="VU21" i="3"/>
  <c r="VQ21" i="3"/>
  <c r="VM21" i="3"/>
  <c r="VI21" i="3"/>
  <c r="VE21" i="3"/>
  <c r="VA21" i="3"/>
  <c r="UW21" i="3"/>
  <c r="US21" i="3"/>
  <c r="UO21" i="3"/>
  <c r="UK21" i="3"/>
  <c r="UG21" i="3"/>
  <c r="UC21" i="3"/>
  <c r="TY21" i="3"/>
  <c r="TU21" i="3"/>
  <c r="TQ21" i="3"/>
  <c r="TM21" i="3"/>
  <c r="TI21" i="3"/>
  <c r="TE21" i="3"/>
  <c r="TA21" i="3"/>
  <c r="SW21" i="3"/>
  <c r="SS21" i="3"/>
  <c r="SO21" i="3"/>
  <c r="SK21" i="3"/>
  <c r="SG21" i="3"/>
  <c r="SC21" i="3"/>
  <c r="RY21" i="3"/>
  <c r="RU21" i="3"/>
  <c r="RQ21" i="3"/>
  <c r="RM21" i="3"/>
  <c r="RI21" i="3"/>
  <c r="RE21" i="3"/>
  <c r="RA21" i="3"/>
  <c r="QW21" i="3"/>
  <c r="QS21" i="3"/>
  <c r="QO21" i="3"/>
  <c r="QK21" i="3"/>
  <c r="QG21" i="3"/>
  <c r="QC21" i="3"/>
  <c r="PY21" i="3"/>
  <c r="PU21" i="3"/>
  <c r="PQ21" i="3"/>
  <c r="PM21" i="3"/>
  <c r="PI21" i="3"/>
  <c r="PE21" i="3"/>
  <c r="PA21" i="3"/>
  <c r="OW21" i="3"/>
  <c r="OS21" i="3"/>
  <c r="OO21" i="3"/>
  <c r="OK21" i="3"/>
  <c r="OG21" i="3"/>
  <c r="OC21" i="3"/>
  <c r="NY21" i="3"/>
  <c r="NU21" i="3"/>
  <c r="NQ21" i="3"/>
  <c r="NM21" i="3"/>
  <c r="NI21" i="3"/>
  <c r="NE21" i="3"/>
  <c r="NA21" i="3"/>
  <c r="MW21" i="3"/>
  <c r="MS21" i="3"/>
  <c r="MO21" i="3"/>
  <c r="MK21" i="3"/>
  <c r="MG21" i="3"/>
  <c r="MC21" i="3"/>
  <c r="LY21" i="3"/>
  <c r="LU21" i="3"/>
  <c r="LQ21" i="3"/>
  <c r="LM21" i="3"/>
  <c r="LI21" i="3"/>
  <c r="LE21" i="3"/>
  <c r="LA21" i="3"/>
  <c r="KW21" i="3"/>
  <c r="KS21" i="3"/>
  <c r="KO21" i="3"/>
  <c r="KK21" i="3"/>
  <c r="KG21" i="3"/>
  <c r="KC21" i="3"/>
  <c r="JY21" i="3"/>
  <c r="JU21" i="3"/>
  <c r="JQ21" i="3"/>
  <c r="JM21" i="3"/>
  <c r="JI21" i="3"/>
  <c r="JE21" i="3"/>
  <c r="JA21" i="3"/>
  <c r="IW21" i="3"/>
  <c r="IS21" i="3"/>
  <c r="IO21" i="3"/>
  <c r="IK21" i="3"/>
  <c r="IG21" i="3"/>
  <c r="IC21" i="3"/>
  <c r="HY21" i="3"/>
  <c r="HU21" i="3"/>
  <c r="HQ21" i="3"/>
  <c r="HM21" i="3"/>
  <c r="HI21" i="3"/>
  <c r="HE21" i="3"/>
  <c r="HA21" i="3"/>
  <c r="GW21" i="3"/>
  <c r="GS21" i="3"/>
  <c r="GO21" i="3"/>
  <c r="GK21" i="3"/>
  <c r="GG21" i="3"/>
  <c r="GC21" i="3"/>
  <c r="FY21" i="3"/>
  <c r="FU21" i="3"/>
  <c r="FQ21" i="3"/>
  <c r="FM21" i="3"/>
  <c r="FI21" i="3"/>
  <c r="FE21" i="3"/>
  <c r="FA21" i="3"/>
  <c r="EW21" i="3"/>
  <c r="ES21" i="3"/>
  <c r="EO21" i="3"/>
  <c r="EK21" i="3"/>
  <c r="EG21" i="3"/>
  <c r="EC21" i="3"/>
  <c r="DY21" i="3"/>
  <c r="DU21" i="3"/>
  <c r="DQ21" i="3"/>
  <c r="DM21" i="3"/>
  <c r="DI21" i="3"/>
  <c r="DE21" i="3"/>
  <c r="DA21" i="3"/>
  <c r="CW21" i="3"/>
  <c r="CS21" i="3"/>
  <c r="CO21" i="3"/>
  <c r="CK21" i="3"/>
  <c r="CG21" i="3"/>
  <c r="CC21" i="3"/>
  <c r="BY21" i="3"/>
  <c r="BU21" i="3"/>
  <c r="BQ21" i="3"/>
  <c r="BM21" i="3"/>
  <c r="BI21" i="3"/>
  <c r="BE21" i="3"/>
  <c r="BA21" i="3"/>
  <c r="AW21" i="3"/>
  <c r="AS21" i="3"/>
  <c r="AO21" i="3"/>
  <c r="AK21" i="3"/>
  <c r="AG21" i="3"/>
  <c r="AC21" i="3"/>
  <c r="Y21" i="3"/>
  <c r="U21" i="3"/>
  <c r="Q21" i="3"/>
  <c r="M21" i="3"/>
  <c r="I21" i="3"/>
  <c r="F21" i="3"/>
  <c r="ALN41" i="3"/>
  <c r="ALJ41" i="3"/>
  <c r="ALF41" i="3"/>
  <c r="ALB41" i="3"/>
  <c r="AKX41" i="3"/>
  <c r="AKT41" i="3"/>
  <c r="AKP41" i="3"/>
  <c r="AKL41" i="3"/>
  <c r="AKH41" i="3"/>
  <c r="AKD41" i="3"/>
  <c r="AJZ41" i="3"/>
  <c r="AJV41" i="3"/>
  <c r="AJR41" i="3"/>
  <c r="AJN41" i="3"/>
  <c r="AJJ41" i="3"/>
  <c r="AJF41" i="3"/>
  <c r="AJB41" i="3"/>
  <c r="AIX41" i="3"/>
  <c r="AIT41" i="3"/>
  <c r="AIP41" i="3"/>
  <c r="AIL41" i="3"/>
  <c r="AIH41" i="3"/>
  <c r="AID41" i="3"/>
  <c r="AHZ41" i="3"/>
  <c r="AHV41" i="3"/>
  <c r="AHR41" i="3"/>
  <c r="AHN41" i="3"/>
  <c r="AHJ41" i="3"/>
  <c r="AHF41" i="3"/>
  <c r="AHB41" i="3"/>
  <c r="AGX41" i="3"/>
  <c r="AGT41" i="3"/>
  <c r="AGP41" i="3"/>
  <c r="AGL41" i="3"/>
  <c r="AGH41" i="3"/>
  <c r="AGD41" i="3"/>
  <c r="AFZ41" i="3"/>
  <c r="AFV41" i="3"/>
  <c r="AFR41" i="3"/>
  <c r="AFN41" i="3"/>
  <c r="AFJ41" i="3"/>
  <c r="AFF41" i="3"/>
  <c r="AFB41" i="3"/>
  <c r="AEX41" i="3"/>
  <c r="AET41" i="3"/>
  <c r="AEP41" i="3"/>
  <c r="AEL41" i="3"/>
  <c r="AEH41" i="3"/>
  <c r="AED41" i="3"/>
  <c r="ADZ41" i="3"/>
  <c r="ADV41" i="3"/>
  <c r="ADR41" i="3"/>
  <c r="ADN41" i="3"/>
  <c r="ADJ41" i="3"/>
  <c r="ADF41" i="3"/>
  <c r="ADB41" i="3"/>
  <c r="ACX41" i="3"/>
  <c r="ACT41" i="3"/>
  <c r="ACP41" i="3"/>
  <c r="ACL41" i="3"/>
  <c r="ACH41" i="3"/>
  <c r="ACD41" i="3"/>
  <c r="ABZ41" i="3"/>
  <c r="ABV41" i="3"/>
  <c r="ABR41" i="3"/>
  <c r="ABN41" i="3"/>
  <c r="ABJ41" i="3"/>
  <c r="ABF41" i="3"/>
  <c r="ABB41" i="3"/>
  <c r="AAX41" i="3"/>
  <c r="AAT41" i="3"/>
  <c r="AAP41" i="3"/>
  <c r="AAL41" i="3"/>
  <c r="AAH41" i="3"/>
  <c r="AAD41" i="3"/>
  <c r="ZZ41" i="3"/>
  <c r="ZV41" i="3"/>
  <c r="ZR41" i="3"/>
  <c r="ZN41" i="3"/>
  <c r="ZJ41" i="3"/>
  <c r="ZF41" i="3"/>
  <c r="ZB41" i="3"/>
  <c r="YX41" i="3"/>
  <c r="YT41" i="3"/>
  <c r="YP41" i="3"/>
  <c r="YL41" i="3"/>
  <c r="YH41" i="3"/>
  <c r="YD41" i="3"/>
  <c r="XZ41" i="3"/>
  <c r="XV41" i="3"/>
  <c r="XR41" i="3"/>
  <c r="XN41" i="3"/>
  <c r="XJ41" i="3"/>
  <c r="XF41" i="3"/>
  <c r="XB41" i="3"/>
  <c r="WX41" i="3"/>
  <c r="WT41" i="3"/>
  <c r="WP41" i="3"/>
  <c r="WL41" i="3"/>
  <c r="WH41" i="3"/>
  <c r="WD41" i="3"/>
  <c r="VZ41" i="3"/>
  <c r="VV41" i="3"/>
  <c r="VR41" i="3"/>
  <c r="VN41" i="3"/>
  <c r="VJ41" i="3"/>
  <c r="VF41" i="3"/>
  <c r="VB41" i="3"/>
  <c r="UX41" i="3"/>
  <c r="UT41" i="3"/>
  <c r="UP41" i="3"/>
  <c r="UL41" i="3"/>
  <c r="UH41" i="3"/>
  <c r="UD41" i="3"/>
  <c r="TZ41" i="3"/>
  <c r="TV41" i="3"/>
  <c r="TR41" i="3"/>
  <c r="TN41" i="3"/>
  <c r="TJ41" i="3"/>
  <c r="TF41" i="3"/>
  <c r="TB41" i="3"/>
  <c r="SX41" i="3"/>
  <c r="ST41" i="3"/>
  <c r="SP41" i="3"/>
  <c r="SL41" i="3"/>
  <c r="SH41" i="3"/>
  <c r="SD41" i="3"/>
  <c r="RZ41" i="3"/>
  <c r="RV41" i="3"/>
  <c r="RR41" i="3"/>
  <c r="RN41" i="3"/>
  <c r="RJ41" i="3"/>
  <c r="RF41" i="3"/>
  <c r="RB41" i="3"/>
  <c r="QX41" i="3"/>
  <c r="QT41" i="3"/>
  <c r="QP41" i="3"/>
  <c r="QL41" i="3"/>
  <c r="QH41" i="3"/>
  <c r="QD41" i="3"/>
  <c r="PZ41" i="3"/>
  <c r="PV41" i="3"/>
  <c r="PR41" i="3"/>
  <c r="PN41" i="3"/>
  <c r="PJ41" i="3"/>
  <c r="PF41" i="3"/>
  <c r="PB41" i="3"/>
  <c r="OX41" i="3"/>
  <c r="OT41" i="3"/>
  <c r="OP41" i="3"/>
  <c r="OL41" i="3"/>
  <c r="OH41" i="3"/>
  <c r="OD41" i="3"/>
  <c r="NZ41" i="3"/>
  <c r="NV41" i="3"/>
  <c r="NR41" i="3"/>
  <c r="NN41" i="3"/>
  <c r="NJ41" i="3"/>
  <c r="NF41" i="3"/>
  <c r="NB41" i="3"/>
  <c r="MX41" i="3"/>
  <c r="MT41" i="3"/>
  <c r="MP41" i="3"/>
  <c r="ML41" i="3"/>
  <c r="MH41" i="3"/>
  <c r="MD41" i="3"/>
  <c r="LZ41" i="3"/>
  <c r="LV41" i="3"/>
  <c r="LR41" i="3"/>
  <c r="LN41" i="3"/>
  <c r="LJ41" i="3"/>
  <c r="LF41" i="3"/>
  <c r="LB41" i="3"/>
  <c r="KX41" i="3"/>
  <c r="KT41" i="3"/>
  <c r="KP41" i="3"/>
  <c r="KL41" i="3"/>
  <c r="KH41" i="3"/>
  <c r="KD41" i="3"/>
  <c r="JZ41" i="3"/>
  <c r="JV41" i="3"/>
  <c r="JR41" i="3"/>
  <c r="JN41" i="3"/>
  <c r="JJ41" i="3"/>
  <c r="JF41" i="3"/>
  <c r="JB41" i="3"/>
  <c r="IX41" i="3"/>
  <c r="IT41" i="3"/>
  <c r="IP41" i="3"/>
  <c r="IL41" i="3"/>
  <c r="IH41" i="3"/>
  <c r="ID41" i="3"/>
  <c r="HZ41" i="3"/>
  <c r="HV41" i="3"/>
  <c r="HR41" i="3"/>
  <c r="HN41" i="3"/>
  <c r="HJ41" i="3"/>
  <c r="HF41" i="3"/>
  <c r="HB41" i="3"/>
  <c r="GX41" i="3"/>
  <c r="GT41" i="3"/>
  <c r="GP41" i="3"/>
  <c r="GL41" i="3"/>
  <c r="GH41" i="3"/>
  <c r="GD41" i="3"/>
  <c r="FZ41" i="3"/>
  <c r="FV41" i="3"/>
  <c r="FR41" i="3"/>
  <c r="FN41" i="3"/>
  <c r="FJ41" i="3"/>
  <c r="FF41" i="3"/>
  <c r="FB41" i="3"/>
  <c r="EX41" i="3"/>
  <c r="ET41" i="3"/>
  <c r="EP41" i="3"/>
  <c r="EL41" i="3"/>
  <c r="EH41" i="3"/>
  <c r="ED41" i="3"/>
  <c r="DZ41" i="3"/>
  <c r="DV41" i="3"/>
  <c r="DR41" i="3"/>
  <c r="DN41" i="3"/>
  <c r="DJ41" i="3"/>
  <c r="DF41" i="3"/>
  <c r="DB41" i="3"/>
  <c r="CX41" i="3"/>
  <c r="CT41" i="3"/>
  <c r="CP41" i="3"/>
  <c r="CL41" i="3"/>
  <c r="CH41" i="3"/>
  <c r="CD41" i="3"/>
  <c r="BZ41" i="3"/>
  <c r="BV41" i="3"/>
  <c r="BR41" i="3"/>
  <c r="BN41" i="3"/>
  <c r="BJ41" i="3"/>
  <c r="BF41" i="3"/>
  <c r="BB41" i="3"/>
  <c r="AX41" i="3"/>
  <c r="AT41" i="3"/>
  <c r="AP41" i="3"/>
  <c r="AL41" i="3"/>
  <c r="AH41" i="3"/>
  <c r="AD41" i="3"/>
  <c r="Z41" i="3"/>
  <c r="V41" i="3"/>
  <c r="R41" i="3"/>
  <c r="N41" i="3"/>
  <c r="J41" i="3"/>
  <c r="ALM41" i="3"/>
  <c r="ALH41" i="3"/>
  <c r="ALC41" i="3"/>
  <c r="AKW41" i="3"/>
  <c r="AKR41" i="3"/>
  <c r="AKM41" i="3"/>
  <c r="AKG41" i="3"/>
  <c r="AKB41" i="3"/>
  <c r="AJW41" i="3"/>
  <c r="AJQ41" i="3"/>
  <c r="AJL41" i="3"/>
  <c r="AJG41" i="3"/>
  <c r="AJA41" i="3"/>
  <c r="AIV41" i="3"/>
  <c r="AIQ41" i="3"/>
  <c r="AIK41" i="3"/>
  <c r="AIF41" i="3"/>
  <c r="AIA41" i="3"/>
  <c r="AHU41" i="3"/>
  <c r="AHP41" i="3"/>
  <c r="AHK41" i="3"/>
  <c r="AHE41" i="3"/>
  <c r="AGZ41" i="3"/>
  <c r="AGU41" i="3"/>
  <c r="AGO41" i="3"/>
  <c r="AGJ41" i="3"/>
  <c r="AGE41" i="3"/>
  <c r="AFY41" i="3"/>
  <c r="AFT41" i="3"/>
  <c r="AFO41" i="3"/>
  <c r="AFI41" i="3"/>
  <c r="AFD41" i="3"/>
  <c r="AEY41" i="3"/>
  <c r="AES41" i="3"/>
  <c r="AEN41" i="3"/>
  <c r="AEI41" i="3"/>
  <c r="AEC41" i="3"/>
  <c r="ADX41" i="3"/>
  <c r="ADS41" i="3"/>
  <c r="ADM41" i="3"/>
  <c r="ADH41" i="3"/>
  <c r="ADC41" i="3"/>
  <c r="ACW41" i="3"/>
  <c r="ACR41" i="3"/>
  <c r="ACM41" i="3"/>
  <c r="ACG41" i="3"/>
  <c r="ACB41" i="3"/>
  <c r="ABW41" i="3"/>
  <c r="ABQ41" i="3"/>
  <c r="ABL41" i="3"/>
  <c r="ABG41" i="3"/>
  <c r="ABA41" i="3"/>
  <c r="AAV41" i="3"/>
  <c r="AAQ41" i="3"/>
  <c r="AAK41" i="3"/>
  <c r="AAF41" i="3"/>
  <c r="AAA41" i="3"/>
  <c r="ZU41" i="3"/>
  <c r="ZP41" i="3"/>
  <c r="ZK41" i="3"/>
  <c r="ZE41" i="3"/>
  <c r="YZ41" i="3"/>
  <c r="YU41" i="3"/>
  <c r="YO41" i="3"/>
  <c r="YJ41" i="3"/>
  <c r="YE41" i="3"/>
  <c r="XY41" i="3"/>
  <c r="XT41" i="3"/>
  <c r="XO41" i="3"/>
  <c r="XI41" i="3"/>
  <c r="XD41" i="3"/>
  <c r="WY41" i="3"/>
  <c r="WS41" i="3"/>
  <c r="WN41" i="3"/>
  <c r="WI41" i="3"/>
  <c r="WC41" i="3"/>
  <c r="VX41" i="3"/>
  <c r="VS41" i="3"/>
  <c r="VM41" i="3"/>
  <c r="VH41" i="3"/>
  <c r="VC41" i="3"/>
  <c r="UW41" i="3"/>
  <c r="UR41" i="3"/>
  <c r="UM41" i="3"/>
  <c r="UG41" i="3"/>
  <c r="UB41" i="3"/>
  <c r="TW41" i="3"/>
  <c r="TQ41" i="3"/>
  <c r="TL41" i="3"/>
  <c r="TG41" i="3"/>
  <c r="TA41" i="3"/>
  <c r="SV41" i="3"/>
  <c r="SQ41" i="3"/>
  <c r="SK41" i="3"/>
  <c r="SF41" i="3"/>
  <c r="SA41" i="3"/>
  <c r="RU41" i="3"/>
  <c r="RP41" i="3"/>
  <c r="RK41" i="3"/>
  <c r="RE41" i="3"/>
  <c r="QZ41" i="3"/>
  <c r="QU41" i="3"/>
  <c r="QO41" i="3"/>
  <c r="QJ41" i="3"/>
  <c r="QE41" i="3"/>
  <c r="PY41" i="3"/>
  <c r="PT41" i="3"/>
  <c r="PO41" i="3"/>
  <c r="PI41" i="3"/>
  <c r="PD41" i="3"/>
  <c r="OY41" i="3"/>
  <c r="OS41" i="3"/>
  <c r="ON41" i="3"/>
  <c r="OI41" i="3"/>
  <c r="OC41" i="3"/>
  <c r="NX41" i="3"/>
  <c r="NS41" i="3"/>
  <c r="NM41" i="3"/>
  <c r="NH41" i="3"/>
  <c r="NC41" i="3"/>
  <c r="MW41" i="3"/>
  <c r="MR41" i="3"/>
  <c r="MM41" i="3"/>
  <c r="MG41" i="3"/>
  <c r="MB41" i="3"/>
  <c r="LW41" i="3"/>
  <c r="LQ41" i="3"/>
  <c r="LL41" i="3"/>
  <c r="LG41" i="3"/>
  <c r="LA41" i="3"/>
  <c r="KV41" i="3"/>
  <c r="KQ41" i="3"/>
  <c r="KK41" i="3"/>
  <c r="KF41" i="3"/>
  <c r="KA41" i="3"/>
  <c r="JU41" i="3"/>
  <c r="JP41" i="3"/>
  <c r="JK41" i="3"/>
  <c r="JE41" i="3"/>
  <c r="IZ41" i="3"/>
  <c r="IU41" i="3"/>
  <c r="IO41" i="3"/>
  <c r="IJ41" i="3"/>
  <c r="IE41" i="3"/>
  <c r="HY41" i="3"/>
  <c r="HT41" i="3"/>
  <c r="HO41" i="3"/>
  <c r="HI41" i="3"/>
  <c r="HD41" i="3"/>
  <c r="GY41" i="3"/>
  <c r="GS41" i="3"/>
  <c r="GN41" i="3"/>
  <c r="GI41" i="3"/>
  <c r="GC41" i="3"/>
  <c r="FX41" i="3"/>
  <c r="FS41" i="3"/>
  <c r="FM41" i="3"/>
  <c r="FH41" i="3"/>
  <c r="FC41" i="3"/>
  <c r="EW41" i="3"/>
  <c r="ER41" i="3"/>
  <c r="EM41" i="3"/>
  <c r="EG41" i="3"/>
  <c r="EB41" i="3"/>
  <c r="DW41" i="3"/>
  <c r="DQ41" i="3"/>
  <c r="DL41" i="3"/>
  <c r="DG41" i="3"/>
  <c r="DA41" i="3"/>
  <c r="CV41" i="3"/>
  <c r="CQ41" i="3"/>
  <c r="CK41" i="3"/>
  <c r="CF41" i="3"/>
  <c r="CA41" i="3"/>
  <c r="BU41" i="3"/>
  <c r="BP41" i="3"/>
  <c r="BK41" i="3"/>
  <c r="BE41" i="3"/>
  <c r="ALO41" i="3"/>
  <c r="ALG41" i="3"/>
  <c r="AKZ41" i="3"/>
  <c r="AKS41" i="3"/>
  <c r="AKK41" i="3"/>
  <c r="AKE41" i="3"/>
  <c r="AJX41" i="3"/>
  <c r="AJP41" i="3"/>
  <c r="AJI41" i="3"/>
  <c r="AJC41" i="3"/>
  <c r="AIU41" i="3"/>
  <c r="AIN41" i="3"/>
  <c r="AIG41" i="3"/>
  <c r="AHY41" i="3"/>
  <c r="AHS41" i="3"/>
  <c r="AHL41" i="3"/>
  <c r="AHD41" i="3"/>
  <c r="AGW41" i="3"/>
  <c r="AGQ41" i="3"/>
  <c r="AGI41" i="3"/>
  <c r="AGB41" i="3"/>
  <c r="AFU41" i="3"/>
  <c r="AFM41" i="3"/>
  <c r="AFG41" i="3"/>
  <c r="AEZ41" i="3"/>
  <c r="AER41" i="3"/>
  <c r="AEK41" i="3"/>
  <c r="AEE41" i="3"/>
  <c r="ADW41" i="3"/>
  <c r="ADP41" i="3"/>
  <c r="ADI41" i="3"/>
  <c r="ADA41" i="3"/>
  <c r="ACU41" i="3"/>
  <c r="ACN41" i="3"/>
  <c r="ACF41" i="3"/>
  <c r="ABY41" i="3"/>
  <c r="ABS41" i="3"/>
  <c r="ABK41" i="3"/>
  <c r="ABD41" i="3"/>
  <c r="AAW41" i="3"/>
  <c r="AAO41" i="3"/>
  <c r="AAI41" i="3"/>
  <c r="AAB41" i="3"/>
  <c r="ZT41" i="3"/>
  <c r="ZM41" i="3"/>
  <c r="ZG41" i="3"/>
  <c r="YY41" i="3"/>
  <c r="YR41" i="3"/>
  <c r="YK41" i="3"/>
  <c r="YC41" i="3"/>
  <c r="XW41" i="3"/>
  <c r="XP41" i="3"/>
  <c r="XH41" i="3"/>
  <c r="XA41" i="3"/>
  <c r="WU41" i="3"/>
  <c r="WM41" i="3"/>
  <c r="WF41" i="3"/>
  <c r="VY41" i="3"/>
  <c r="VQ41" i="3"/>
  <c r="VK41" i="3"/>
  <c r="VD41" i="3"/>
  <c r="UV41" i="3"/>
  <c r="UO41" i="3"/>
  <c r="UI41" i="3"/>
  <c r="UA41" i="3"/>
  <c r="TT41" i="3"/>
  <c r="TM41" i="3"/>
  <c r="TE41" i="3"/>
  <c r="SY41" i="3"/>
  <c r="SR41" i="3"/>
  <c r="SJ41" i="3"/>
  <c r="SC41" i="3"/>
  <c r="RW41" i="3"/>
  <c r="RO41" i="3"/>
  <c r="RH41" i="3"/>
  <c r="RA41" i="3"/>
  <c r="QS41" i="3"/>
  <c r="QM41" i="3"/>
  <c r="QF41" i="3"/>
  <c r="PX41" i="3"/>
  <c r="PQ41" i="3"/>
  <c r="PK41" i="3"/>
  <c r="PC41" i="3"/>
  <c r="OV41" i="3"/>
  <c r="OO41" i="3"/>
  <c r="OG41" i="3"/>
  <c r="OA41" i="3"/>
  <c r="NT41" i="3"/>
  <c r="NL41" i="3"/>
  <c r="NE41" i="3"/>
  <c r="MY41" i="3"/>
  <c r="MQ41" i="3"/>
  <c r="MJ41" i="3"/>
  <c r="MC41" i="3"/>
  <c r="LU41" i="3"/>
  <c r="LO41" i="3"/>
  <c r="LH41" i="3"/>
  <c r="KZ41" i="3"/>
  <c r="KS41" i="3"/>
  <c r="KM41" i="3"/>
  <c r="KE41" i="3"/>
  <c r="JX41" i="3"/>
  <c r="JQ41" i="3"/>
  <c r="JI41" i="3"/>
  <c r="JC41" i="3"/>
  <c r="IV41" i="3"/>
  <c r="IN41" i="3"/>
  <c r="IG41" i="3"/>
  <c r="IA41" i="3"/>
  <c r="HS41" i="3"/>
  <c r="HL41" i="3"/>
  <c r="HE41" i="3"/>
  <c r="GW41" i="3"/>
  <c r="GQ41" i="3"/>
  <c r="GJ41" i="3"/>
  <c r="GB41" i="3"/>
  <c r="FU41" i="3"/>
  <c r="FO41" i="3"/>
  <c r="FG41" i="3"/>
  <c r="EZ41" i="3"/>
  <c r="ES41" i="3"/>
  <c r="EK41" i="3"/>
  <c r="EE41" i="3"/>
  <c r="DX41" i="3"/>
  <c r="DP41" i="3"/>
  <c r="DI41" i="3"/>
  <c r="DC41" i="3"/>
  <c r="CU41" i="3"/>
  <c r="CN41" i="3"/>
  <c r="CG41" i="3"/>
  <c r="BY41" i="3"/>
  <c r="BS41" i="3"/>
  <c r="BL41" i="3"/>
  <c r="BD41" i="3"/>
  <c r="AY41" i="3"/>
  <c r="AS41" i="3"/>
  <c r="AN41" i="3"/>
  <c r="AI41" i="3"/>
  <c r="AC41" i="3"/>
  <c r="X41" i="3"/>
  <c r="S41" i="3"/>
  <c r="M41" i="3"/>
  <c r="H41" i="3"/>
  <c r="ALL41" i="3"/>
  <c r="ALE41" i="3"/>
  <c r="AKY41" i="3"/>
  <c r="AKQ41" i="3"/>
  <c r="AKJ41" i="3"/>
  <c r="AKC41" i="3"/>
  <c r="AJU41" i="3"/>
  <c r="AJO41" i="3"/>
  <c r="AJH41" i="3"/>
  <c r="AIZ41" i="3"/>
  <c r="AIS41" i="3"/>
  <c r="AIM41" i="3"/>
  <c r="AIE41" i="3"/>
  <c r="AHX41" i="3"/>
  <c r="AHQ41" i="3"/>
  <c r="AHI41" i="3"/>
  <c r="AHC41" i="3"/>
  <c r="AGV41" i="3"/>
  <c r="AGN41" i="3"/>
  <c r="AGG41" i="3"/>
  <c r="AGA41" i="3"/>
  <c r="AFS41" i="3"/>
  <c r="AFL41" i="3"/>
  <c r="AFE41" i="3"/>
  <c r="AEW41" i="3"/>
  <c r="AEQ41" i="3"/>
  <c r="AEJ41" i="3"/>
  <c r="AEB41" i="3"/>
  <c r="ADU41" i="3"/>
  <c r="ADO41" i="3"/>
  <c r="ADG41" i="3"/>
  <c r="ACZ41" i="3"/>
  <c r="ACS41" i="3"/>
  <c r="ACK41" i="3"/>
  <c r="ACE41" i="3"/>
  <c r="ABX41" i="3"/>
  <c r="ABP41" i="3"/>
  <c r="ABI41" i="3"/>
  <c r="ABC41" i="3"/>
  <c r="AAU41" i="3"/>
  <c r="AAN41" i="3"/>
  <c r="AAG41" i="3"/>
  <c r="ZY41" i="3"/>
  <c r="ZS41" i="3"/>
  <c r="ZL41" i="3"/>
  <c r="ZD41" i="3"/>
  <c r="YW41" i="3"/>
  <c r="YQ41" i="3"/>
  <c r="YI41" i="3"/>
  <c r="YB41" i="3"/>
  <c r="XU41" i="3"/>
  <c r="XM41" i="3"/>
  <c r="XG41" i="3"/>
  <c r="WZ41" i="3"/>
  <c r="WR41" i="3"/>
  <c r="WK41" i="3"/>
  <c r="WE41" i="3"/>
  <c r="VW41" i="3"/>
  <c r="VP41" i="3"/>
  <c r="VI41" i="3"/>
  <c r="VA41" i="3"/>
  <c r="UU41" i="3"/>
  <c r="UN41" i="3"/>
  <c r="UF41" i="3"/>
  <c r="TY41" i="3"/>
  <c r="TS41" i="3"/>
  <c r="TK41" i="3"/>
  <c r="TD41" i="3"/>
  <c r="SW41" i="3"/>
  <c r="SO41" i="3"/>
  <c r="SI41" i="3"/>
  <c r="SB41" i="3"/>
  <c r="RT41" i="3"/>
  <c r="RM41" i="3"/>
  <c r="RG41" i="3"/>
  <c r="QY41" i="3"/>
  <c r="QR41" i="3"/>
  <c r="QK41" i="3"/>
  <c r="QC41" i="3"/>
  <c r="PW41" i="3"/>
  <c r="PP41" i="3"/>
  <c r="PH41" i="3"/>
  <c r="PA41" i="3"/>
  <c r="OU41" i="3"/>
  <c r="OM41" i="3"/>
  <c r="OF41" i="3"/>
  <c r="NY41" i="3"/>
  <c r="NQ41" i="3"/>
  <c r="NK41" i="3"/>
  <c r="ND41" i="3"/>
  <c r="MV41" i="3"/>
  <c r="MO41" i="3"/>
  <c r="MI41" i="3"/>
  <c r="MA41" i="3"/>
  <c r="LT41" i="3"/>
  <c r="LM41" i="3"/>
  <c r="LE41" i="3"/>
  <c r="KY41" i="3"/>
  <c r="KR41" i="3"/>
  <c r="KJ41" i="3"/>
  <c r="KC41" i="3"/>
  <c r="JW41" i="3"/>
  <c r="JO41" i="3"/>
  <c r="JH41" i="3"/>
  <c r="JA41" i="3"/>
  <c r="IS41" i="3"/>
  <c r="IM41" i="3"/>
  <c r="IF41" i="3"/>
  <c r="HX41" i="3"/>
  <c r="HQ41" i="3"/>
  <c r="HK41" i="3"/>
  <c r="HC41" i="3"/>
  <c r="GV41" i="3"/>
  <c r="GO41" i="3"/>
  <c r="GG41" i="3"/>
  <c r="GA41" i="3"/>
  <c r="FT41" i="3"/>
  <c r="FL41" i="3"/>
  <c r="FE41" i="3"/>
  <c r="EY41" i="3"/>
  <c r="EQ41" i="3"/>
  <c r="EJ41" i="3"/>
  <c r="EC41" i="3"/>
  <c r="DU41" i="3"/>
  <c r="DO41" i="3"/>
  <c r="DH41" i="3"/>
  <c r="CZ41" i="3"/>
  <c r="CS41" i="3"/>
  <c r="CM41" i="3"/>
  <c r="CE41" i="3"/>
  <c r="BX41" i="3"/>
  <c r="BQ41" i="3"/>
  <c r="BI41" i="3"/>
  <c r="BC41" i="3"/>
  <c r="AW41" i="3"/>
  <c r="AR41" i="3"/>
  <c r="AM41" i="3"/>
  <c r="AG41" i="3"/>
  <c r="AB41" i="3"/>
  <c r="W41" i="3"/>
  <c r="Q41" i="3"/>
  <c r="L41" i="3"/>
  <c r="G41" i="3"/>
  <c r="ALK41" i="3"/>
  <c r="AKV41" i="3"/>
  <c r="AKI41" i="3"/>
  <c r="AJT41" i="3"/>
  <c r="AJE41" i="3"/>
  <c r="AIR41" i="3"/>
  <c r="AIC41" i="3"/>
  <c r="AHO41" i="3"/>
  <c r="AHA41" i="3"/>
  <c r="AGM41" i="3"/>
  <c r="AFX41" i="3"/>
  <c r="AFK41" i="3"/>
  <c r="AEV41" i="3"/>
  <c r="AEG41" i="3"/>
  <c r="ADT41" i="3"/>
  <c r="ADE41" i="3"/>
  <c r="ACQ41" i="3"/>
  <c r="ACC41" i="3"/>
  <c r="ABO41" i="3"/>
  <c r="AAZ41" i="3"/>
  <c r="AAM41" i="3"/>
  <c r="ZX41" i="3"/>
  <c r="ZI41" i="3"/>
  <c r="YV41" i="3"/>
  <c r="YG41" i="3"/>
  <c r="XS41" i="3"/>
  <c r="XE41" i="3"/>
  <c r="WQ41" i="3"/>
  <c r="WB41" i="3"/>
  <c r="VO41" i="3"/>
  <c r="UZ41" i="3"/>
  <c r="UK41" i="3"/>
  <c r="TX41" i="3"/>
  <c r="TI41" i="3"/>
  <c r="SU41" i="3"/>
  <c r="SG41" i="3"/>
  <c r="RS41" i="3"/>
  <c r="RD41" i="3"/>
  <c r="QQ41" i="3"/>
  <c r="QB41" i="3"/>
  <c r="PM41" i="3"/>
  <c r="OZ41" i="3"/>
  <c r="OK41" i="3"/>
  <c r="NW41" i="3"/>
  <c r="NI41" i="3"/>
  <c r="MU41" i="3"/>
  <c r="MF41" i="3"/>
  <c r="LS41" i="3"/>
  <c r="LD41" i="3"/>
  <c r="KO41" i="3"/>
  <c r="KB41" i="3"/>
  <c r="JM41" i="3"/>
  <c r="IY41" i="3"/>
  <c r="IK41" i="3"/>
  <c r="HW41" i="3"/>
  <c r="HH41" i="3"/>
  <c r="GU41" i="3"/>
  <c r="GF41" i="3"/>
  <c r="FQ41" i="3"/>
  <c r="FD41" i="3"/>
  <c r="EO41" i="3"/>
  <c r="EA41" i="3"/>
  <c r="DM41" i="3"/>
  <c r="CY41" i="3"/>
  <c r="CJ41" i="3"/>
  <c r="BW41" i="3"/>
  <c r="BH41" i="3"/>
  <c r="AV41" i="3"/>
  <c r="AK41" i="3"/>
  <c r="AA41" i="3"/>
  <c r="P41" i="3"/>
  <c r="F41" i="3"/>
  <c r="ALQ41" i="3"/>
  <c r="ALD41" i="3"/>
  <c r="AKO41" i="3"/>
  <c r="AKA41" i="3"/>
  <c r="AJM41" i="3"/>
  <c r="AIY41" i="3"/>
  <c r="AIJ41" i="3"/>
  <c r="AHW41" i="3"/>
  <c r="AHH41" i="3"/>
  <c r="AGS41" i="3"/>
  <c r="AGF41" i="3"/>
  <c r="AFQ41" i="3"/>
  <c r="AFC41" i="3"/>
  <c r="AEO41" i="3"/>
  <c r="AEA41" i="3"/>
  <c r="ADL41" i="3"/>
  <c r="ACY41" i="3"/>
  <c r="ACJ41" i="3"/>
  <c r="ABU41" i="3"/>
  <c r="ABH41" i="3"/>
  <c r="AAS41" i="3"/>
  <c r="AAE41" i="3"/>
  <c r="ZQ41" i="3"/>
  <c r="ZC41" i="3"/>
  <c r="YN41" i="3"/>
  <c r="YA41" i="3"/>
  <c r="XL41" i="3"/>
  <c r="WW41" i="3"/>
  <c r="WJ41" i="3"/>
  <c r="VU41" i="3"/>
  <c r="VG41" i="3"/>
  <c r="US41" i="3"/>
  <c r="UE41" i="3"/>
  <c r="TP41" i="3"/>
  <c r="TC41" i="3"/>
  <c r="SN41" i="3"/>
  <c r="RY41" i="3"/>
  <c r="RL41" i="3"/>
  <c r="QW41" i="3"/>
  <c r="QI41" i="3"/>
  <c r="PU41" i="3"/>
  <c r="PG41" i="3"/>
  <c r="OR41" i="3"/>
  <c r="OE41" i="3"/>
  <c r="NP41" i="3"/>
  <c r="NA41" i="3"/>
  <c r="MN41" i="3"/>
  <c r="LY41" i="3"/>
  <c r="LK41" i="3"/>
  <c r="KW41" i="3"/>
  <c r="KI41" i="3"/>
  <c r="JT41" i="3"/>
  <c r="JG41" i="3"/>
  <c r="IR41" i="3"/>
  <c r="IC41" i="3"/>
  <c r="HP41" i="3"/>
  <c r="HA41" i="3"/>
  <c r="GM41" i="3"/>
  <c r="FY41" i="3"/>
  <c r="FK41" i="3"/>
  <c r="EV41" i="3"/>
  <c r="EI41" i="3"/>
  <c r="DT41" i="3"/>
  <c r="DE41" i="3"/>
  <c r="CR41" i="3"/>
  <c r="CC41" i="3"/>
  <c r="BO41" i="3"/>
  <c r="BA41" i="3"/>
  <c r="AQ41" i="3"/>
  <c r="AF41" i="3"/>
  <c r="U41" i="3"/>
  <c r="K41" i="3"/>
  <c r="ALA41" i="3"/>
  <c r="AJY41" i="3"/>
  <c r="AIW41" i="3"/>
  <c r="AHT41" i="3"/>
  <c r="AGR41" i="3"/>
  <c r="AFP41" i="3"/>
  <c r="AEM41" i="3"/>
  <c r="ADK41" i="3"/>
  <c r="ACI41" i="3"/>
  <c r="ABE41" i="3"/>
  <c r="AAC41" i="3"/>
  <c r="ZA41" i="3"/>
  <c r="XX41" i="3"/>
  <c r="WV41" i="3"/>
  <c r="VT41" i="3"/>
  <c r="UQ41" i="3"/>
  <c r="TO41" i="3"/>
  <c r="SM41" i="3"/>
  <c r="RI41" i="3"/>
  <c r="QG41" i="3"/>
  <c r="PE41" i="3"/>
  <c r="OB41" i="3"/>
  <c r="MZ41" i="3"/>
  <c r="LX41" i="3"/>
  <c r="KU41" i="3"/>
  <c r="JS41" i="3"/>
  <c r="IQ41" i="3"/>
  <c r="HM41" i="3"/>
  <c r="GK41" i="3"/>
  <c r="FI41" i="3"/>
  <c r="EF41" i="3"/>
  <c r="DD41" i="3"/>
  <c r="CB41" i="3"/>
  <c r="AZ41" i="3"/>
  <c r="AE41" i="3"/>
  <c r="I41" i="3"/>
  <c r="AKU41" i="3"/>
  <c r="AJS41" i="3"/>
  <c r="AIO41" i="3"/>
  <c r="AHM41" i="3"/>
  <c r="AGK41" i="3"/>
  <c r="AFH41" i="3"/>
  <c r="AEF41" i="3"/>
  <c r="ADD41" i="3"/>
  <c r="ACA41" i="3"/>
  <c r="AAY41" i="3"/>
  <c r="ZW41" i="3"/>
  <c r="YS41" i="3"/>
  <c r="XQ41" i="3"/>
  <c r="WO41" i="3"/>
  <c r="VL41" i="3"/>
  <c r="UJ41" i="3"/>
  <c r="TH41" i="3"/>
  <c r="SE41" i="3"/>
  <c r="RC41" i="3"/>
  <c r="QA41" i="3"/>
  <c r="OW41" i="3"/>
  <c r="NU41" i="3"/>
  <c r="MS41" i="3"/>
  <c r="LP41" i="3"/>
  <c r="KN41" i="3"/>
  <c r="JL41" i="3"/>
  <c r="II41" i="3"/>
  <c r="HG41" i="3"/>
  <c r="GE41" i="3"/>
  <c r="FA41" i="3"/>
  <c r="DY41" i="3"/>
  <c r="CW41" i="3"/>
  <c r="BT41" i="3"/>
  <c r="AU41" i="3"/>
  <c r="Y41" i="3"/>
  <c r="ALP41" i="3"/>
  <c r="AKN41" i="3"/>
  <c r="AJK41" i="3"/>
  <c r="AII41" i="3"/>
  <c r="AHG41" i="3"/>
  <c r="AGC41" i="3"/>
  <c r="AFA41" i="3"/>
  <c r="ADY41" i="3"/>
  <c r="ACV41" i="3"/>
  <c r="ABT41" i="3"/>
  <c r="AAR41" i="3"/>
  <c r="ZO41" i="3"/>
  <c r="YM41" i="3"/>
  <c r="XK41" i="3"/>
  <c r="WG41" i="3"/>
  <c r="VE41" i="3"/>
  <c r="UC41" i="3"/>
  <c r="SZ41" i="3"/>
  <c r="RX41" i="3"/>
  <c r="QV41" i="3"/>
  <c r="PS41" i="3"/>
  <c r="OQ41" i="3"/>
  <c r="NO41" i="3"/>
  <c r="MK41" i="3"/>
  <c r="LI41" i="3"/>
  <c r="KG41" i="3"/>
  <c r="JD41" i="3"/>
  <c r="IB41" i="3"/>
  <c r="GZ41" i="3"/>
  <c r="FW41" i="3"/>
  <c r="EU41" i="3"/>
  <c r="DS41" i="3"/>
  <c r="CO41" i="3"/>
  <c r="BM41" i="3"/>
  <c r="AO41" i="3"/>
  <c r="T41" i="3"/>
  <c r="ALI41" i="3"/>
  <c r="AKF41" i="3"/>
  <c r="AJD41" i="3"/>
  <c r="AIB41" i="3"/>
  <c r="AGY41" i="3"/>
  <c r="AFW41" i="3"/>
  <c r="AEU41" i="3"/>
  <c r="ADQ41" i="3"/>
  <c r="ACO41" i="3"/>
  <c r="ABM41" i="3"/>
  <c r="AAJ41" i="3"/>
  <c r="ZH41" i="3"/>
  <c r="YF41" i="3"/>
  <c r="XC41" i="3"/>
  <c r="WA41" i="3"/>
  <c r="UY41" i="3"/>
  <c r="TU41" i="3"/>
  <c r="SS41" i="3"/>
  <c r="RQ41" i="3"/>
  <c r="QN41" i="3"/>
  <c r="PL41" i="3"/>
  <c r="OJ41" i="3"/>
  <c r="NG41" i="3"/>
  <c r="ME41" i="3"/>
  <c r="LC41" i="3"/>
  <c r="JY41" i="3"/>
  <c r="IW41" i="3"/>
  <c r="HU41" i="3"/>
  <c r="GR41" i="3"/>
  <c r="FP41" i="3"/>
  <c r="EN41" i="3"/>
  <c r="DK41" i="3"/>
  <c r="CI41" i="3"/>
  <c r="BG41" i="3"/>
  <c r="AJ41" i="3"/>
  <c r="O41" i="3"/>
  <c r="D14" i="6"/>
  <c r="D14" i="5"/>
  <c r="D12" i="4"/>
  <c r="D15" i="6"/>
  <c r="D15" i="5"/>
  <c r="D13" i="4"/>
  <c r="D16" i="6"/>
  <c r="D16" i="5"/>
  <c r="D14" i="4"/>
  <c r="D17" i="6"/>
  <c r="D15" i="4"/>
  <c r="D17" i="5"/>
  <c r="D19" i="6"/>
  <c r="D19" i="5"/>
  <c r="D17" i="4"/>
  <c r="D23" i="6"/>
  <c r="D23" i="5"/>
  <c r="D21" i="4"/>
  <c r="D26" i="6"/>
  <c r="D26" i="5"/>
  <c r="D24" i="4"/>
  <c r="D30" i="6"/>
  <c r="D30" i="5"/>
  <c r="D28" i="4"/>
  <c r="D33" i="6"/>
  <c r="D31" i="4"/>
  <c r="D33" i="5"/>
  <c r="D40" i="6"/>
  <c r="D40" i="5"/>
  <c r="D38" i="4"/>
  <c r="D41" i="6"/>
  <c r="D39" i="4"/>
  <c r="D41" i="5"/>
  <c r="D46" i="6"/>
  <c r="D46" i="5"/>
  <c r="D44" i="4"/>
  <c r="D48" i="6"/>
  <c r="D48" i="5"/>
  <c r="D46" i="4"/>
  <c r="D49" i="6"/>
  <c r="D47" i="4"/>
  <c r="D49" i="5"/>
  <c r="D50" i="6"/>
  <c r="D48" i="4"/>
  <c r="D50" i="5"/>
  <c r="D51" i="6"/>
  <c r="D51" i="5"/>
  <c r="D49" i="4"/>
  <c r="D52" i="6"/>
  <c r="D52" i="5"/>
  <c r="D50" i="4"/>
  <c r="D53" i="6"/>
  <c r="D53" i="5"/>
  <c r="D51" i="4"/>
  <c r="D54" i="6"/>
  <c r="D54" i="5"/>
  <c r="D52" i="4"/>
  <c r="D55" i="6"/>
  <c r="D55" i="5"/>
  <c r="D53" i="4"/>
  <c r="D56" i="5"/>
  <c r="D56" i="6"/>
  <c r="D54" i="4"/>
  <c r="D59" i="6"/>
  <c r="D59" i="5"/>
  <c r="D57" i="4"/>
  <c r="ALO30" i="3"/>
  <c r="ALK30" i="3"/>
  <c r="ALG30" i="3"/>
  <c r="ALC30" i="3"/>
  <c r="AKY30" i="3"/>
  <c r="AKU30" i="3"/>
  <c r="AKQ30" i="3"/>
  <c r="AKM30" i="3"/>
  <c r="AKI30" i="3"/>
  <c r="AKE30" i="3"/>
  <c r="AKA30" i="3"/>
  <c r="AJW30" i="3"/>
  <c r="AJS30" i="3"/>
  <c r="AJO30" i="3"/>
  <c r="AJK30" i="3"/>
  <c r="AJG30" i="3"/>
  <c r="AJC30" i="3"/>
  <c r="AIY30" i="3"/>
  <c r="AIU30" i="3"/>
  <c r="AIQ30" i="3"/>
  <c r="AIM30" i="3"/>
  <c r="AII30" i="3"/>
  <c r="AIE30" i="3"/>
  <c r="AIA30" i="3"/>
  <c r="AHW30" i="3"/>
  <c r="AHS30" i="3"/>
  <c r="AHO30" i="3"/>
  <c r="AHK30" i="3"/>
  <c r="AHG30" i="3"/>
  <c r="AHC30" i="3"/>
  <c r="AGY30" i="3"/>
  <c r="AGU30" i="3"/>
  <c r="AGQ30" i="3"/>
  <c r="AGM30" i="3"/>
  <c r="AGI30" i="3"/>
  <c r="AGE30" i="3"/>
  <c r="AGA30" i="3"/>
  <c r="AFW30" i="3"/>
  <c r="AFS30" i="3"/>
  <c r="AFO30" i="3"/>
  <c r="AFK30" i="3"/>
  <c r="AFG30" i="3"/>
  <c r="AFC30" i="3"/>
  <c r="AEY30" i="3"/>
  <c r="AEU30" i="3"/>
  <c r="AEQ30" i="3"/>
  <c r="AEM30" i="3"/>
  <c r="AEI30" i="3"/>
  <c r="AEE30" i="3"/>
  <c r="AEA30" i="3"/>
  <c r="ADW30" i="3"/>
  <c r="ADS30" i="3"/>
  <c r="ADO30" i="3"/>
  <c r="ADK30" i="3"/>
  <c r="ADG30" i="3"/>
  <c r="ADC30" i="3"/>
  <c r="ACY30" i="3"/>
  <c r="ACU30" i="3"/>
  <c r="ACQ30" i="3"/>
  <c r="ACM30" i="3"/>
  <c r="ACI30" i="3"/>
  <c r="ACE30" i="3"/>
  <c r="ACA30" i="3"/>
  <c r="ABW30" i="3"/>
  <c r="ABS30" i="3"/>
  <c r="ABO30" i="3"/>
  <c r="ABK30" i="3"/>
  <c r="ABG30" i="3"/>
  <c r="ABC30" i="3"/>
  <c r="AAY30" i="3"/>
  <c r="AAU30" i="3"/>
  <c r="AAQ30" i="3"/>
  <c r="AAM30" i="3"/>
  <c r="AAI30" i="3"/>
  <c r="AAE30" i="3"/>
  <c r="AAA30" i="3"/>
  <c r="ZW30" i="3"/>
  <c r="ZS30" i="3"/>
  <c r="ZO30" i="3"/>
  <c r="ZK30" i="3"/>
  <c r="ZG30" i="3"/>
  <c r="ZC30" i="3"/>
  <c r="YY30" i="3"/>
  <c r="YU30" i="3"/>
  <c r="YQ30" i="3"/>
  <c r="YM30" i="3"/>
  <c r="YI30" i="3"/>
  <c r="YE30" i="3"/>
  <c r="YA30" i="3"/>
  <c r="XW30" i="3"/>
  <c r="XS30" i="3"/>
  <c r="XO30" i="3"/>
  <c r="XK30" i="3"/>
  <c r="XG30" i="3"/>
  <c r="XC30" i="3"/>
  <c r="WY30" i="3"/>
  <c r="WU30" i="3"/>
  <c r="WQ30" i="3"/>
  <c r="WM30" i="3"/>
  <c r="WI30" i="3"/>
  <c r="WE30" i="3"/>
  <c r="WA30" i="3"/>
  <c r="VW30" i="3"/>
  <c r="VS30" i="3"/>
  <c r="VO30" i="3"/>
  <c r="VK30" i="3"/>
  <c r="VG30" i="3"/>
  <c r="VC30" i="3"/>
  <c r="UY30" i="3"/>
  <c r="UU30" i="3"/>
  <c r="UQ30" i="3"/>
  <c r="UM30" i="3"/>
  <c r="UI30" i="3"/>
  <c r="UE30" i="3"/>
  <c r="UA30" i="3"/>
  <c r="TW30" i="3"/>
  <c r="TS30" i="3"/>
  <c r="TO30" i="3"/>
  <c r="TK30" i="3"/>
  <c r="TG30" i="3"/>
  <c r="TC30" i="3"/>
  <c r="SY30" i="3"/>
  <c r="SU30" i="3"/>
  <c r="SQ30" i="3"/>
  <c r="SM30" i="3"/>
  <c r="SI30" i="3"/>
  <c r="SE30" i="3"/>
  <c r="SA30" i="3"/>
  <c r="RW30" i="3"/>
  <c r="RS30" i="3"/>
  <c r="RO30" i="3"/>
  <c r="RK30" i="3"/>
  <c r="RG30" i="3"/>
  <c r="RC30" i="3"/>
  <c r="QY30" i="3"/>
  <c r="QU30" i="3"/>
  <c r="QQ30" i="3"/>
  <c r="QM30" i="3"/>
  <c r="QI30" i="3"/>
  <c r="QE30" i="3"/>
  <c r="QA30" i="3"/>
  <c r="PW30" i="3"/>
  <c r="PS30" i="3"/>
  <c r="PO30" i="3"/>
  <c r="PK30" i="3"/>
  <c r="PG30" i="3"/>
  <c r="PC30" i="3"/>
  <c r="OY30" i="3"/>
  <c r="OU30" i="3"/>
  <c r="OQ30" i="3"/>
  <c r="OM30" i="3"/>
  <c r="OI30" i="3"/>
  <c r="OE30" i="3"/>
  <c r="OA30" i="3"/>
  <c r="NW30" i="3"/>
  <c r="NS30" i="3"/>
  <c r="NO30" i="3"/>
  <c r="NK30" i="3"/>
  <c r="NG30" i="3"/>
  <c r="NC30" i="3"/>
  <c r="MY30" i="3"/>
  <c r="MU30" i="3"/>
  <c r="MQ30" i="3"/>
  <c r="MM30" i="3"/>
  <c r="MI30" i="3"/>
  <c r="ME30" i="3"/>
  <c r="MA30" i="3"/>
  <c r="LW30" i="3"/>
  <c r="LS30" i="3"/>
  <c r="LO30" i="3"/>
  <c r="LK30" i="3"/>
  <c r="LG30" i="3"/>
  <c r="LC30" i="3"/>
  <c r="KY30" i="3"/>
  <c r="KU30" i="3"/>
  <c r="KQ30" i="3"/>
  <c r="KM30" i="3"/>
  <c r="KI30" i="3"/>
  <c r="KE30" i="3"/>
  <c r="KA30" i="3"/>
  <c r="JW30" i="3"/>
  <c r="JS30" i="3"/>
  <c r="JO30" i="3"/>
  <c r="JK30" i="3"/>
  <c r="JG30" i="3"/>
  <c r="JC30" i="3"/>
  <c r="IY30" i="3"/>
  <c r="IU30" i="3"/>
  <c r="IQ30" i="3"/>
  <c r="IM30" i="3"/>
  <c r="II30" i="3"/>
  <c r="IE30" i="3"/>
  <c r="IA30" i="3"/>
  <c r="HW30" i="3"/>
  <c r="HS30" i="3"/>
  <c r="HO30" i="3"/>
  <c r="HK30" i="3"/>
  <c r="HG30" i="3"/>
  <c r="HC30" i="3"/>
  <c r="GY30" i="3"/>
  <c r="GU30" i="3"/>
  <c r="GQ30" i="3"/>
  <c r="GM30" i="3"/>
  <c r="GI30" i="3"/>
  <c r="GE30" i="3"/>
  <c r="GA30" i="3"/>
  <c r="FW30" i="3"/>
  <c r="FS30" i="3"/>
  <c r="FO30" i="3"/>
  <c r="FK30" i="3"/>
  <c r="FG30" i="3"/>
  <c r="FC30" i="3"/>
  <c r="EY30" i="3"/>
  <c r="EU30" i="3"/>
  <c r="EQ30" i="3"/>
  <c r="EM30" i="3"/>
  <c r="EI30" i="3"/>
  <c r="EE30" i="3"/>
  <c r="EA30" i="3"/>
  <c r="DW30" i="3"/>
  <c r="DS30" i="3"/>
  <c r="DO30" i="3"/>
  <c r="DK30" i="3"/>
  <c r="DG30" i="3"/>
  <c r="DC30" i="3"/>
  <c r="CY30" i="3"/>
  <c r="CU30" i="3"/>
  <c r="CQ30" i="3"/>
  <c r="CM30" i="3"/>
  <c r="CI30" i="3"/>
  <c r="CE30" i="3"/>
  <c r="CA30" i="3"/>
  <c r="BW30" i="3"/>
  <c r="BS30" i="3"/>
  <c r="BO30" i="3"/>
  <c r="BK30" i="3"/>
  <c r="BG30" i="3"/>
  <c r="BC30" i="3"/>
  <c r="AY30" i="3"/>
  <c r="AU30" i="3"/>
  <c r="AQ30" i="3"/>
  <c r="AM30" i="3"/>
  <c r="AI30" i="3"/>
  <c r="AE30" i="3"/>
  <c r="AA30" i="3"/>
  <c r="W30" i="3"/>
  <c r="S30" i="3"/>
  <c r="O30" i="3"/>
  <c r="K30" i="3"/>
  <c r="G30" i="3"/>
  <c r="ALN30" i="3"/>
  <c r="ALJ30" i="3"/>
  <c r="ALF30" i="3"/>
  <c r="ALB30" i="3"/>
  <c r="AKX30" i="3"/>
  <c r="AKT30" i="3"/>
  <c r="AKP30" i="3"/>
  <c r="AKL30" i="3"/>
  <c r="AKH30" i="3"/>
  <c r="AKD30" i="3"/>
  <c r="AJZ30" i="3"/>
  <c r="AJV30" i="3"/>
  <c r="AJR30" i="3"/>
  <c r="AJN30" i="3"/>
  <c r="AJJ30" i="3"/>
  <c r="AJF30" i="3"/>
  <c r="AJB30" i="3"/>
  <c r="AIX30" i="3"/>
  <c r="AIT30" i="3"/>
  <c r="AIP30" i="3"/>
  <c r="AIL30" i="3"/>
  <c r="AIH30" i="3"/>
  <c r="AID30" i="3"/>
  <c r="AHZ30" i="3"/>
  <c r="AHV30" i="3"/>
  <c r="AHR30" i="3"/>
  <c r="AHN30" i="3"/>
  <c r="AHJ30" i="3"/>
  <c r="AHF30" i="3"/>
  <c r="AHB30" i="3"/>
  <c r="AGX30" i="3"/>
  <c r="AGT30" i="3"/>
  <c r="AGP30" i="3"/>
  <c r="AGL30" i="3"/>
  <c r="AGH30" i="3"/>
  <c r="AGD30" i="3"/>
  <c r="AFZ30" i="3"/>
  <c r="AFV30" i="3"/>
  <c r="AFR30" i="3"/>
  <c r="AFN30" i="3"/>
  <c r="AFJ30" i="3"/>
  <c r="AFF30" i="3"/>
  <c r="AFB30" i="3"/>
  <c r="AEX30" i="3"/>
  <c r="AET30" i="3"/>
  <c r="AEP30" i="3"/>
  <c r="AEL30" i="3"/>
  <c r="AEH30" i="3"/>
  <c r="AED30" i="3"/>
  <c r="ADZ30" i="3"/>
  <c r="ADV30" i="3"/>
  <c r="ADR30" i="3"/>
  <c r="ADN30" i="3"/>
  <c r="ADJ30" i="3"/>
  <c r="ADF30" i="3"/>
  <c r="ADB30" i="3"/>
  <c r="ACX30" i="3"/>
  <c r="ACT30" i="3"/>
  <c r="ACP30" i="3"/>
  <c r="ACL30" i="3"/>
  <c r="ACH30" i="3"/>
  <c r="ACD30" i="3"/>
  <c r="ABZ30" i="3"/>
  <c r="ABV30" i="3"/>
  <c r="ABR30" i="3"/>
  <c r="ABN30" i="3"/>
  <c r="ABJ30" i="3"/>
  <c r="ABF30" i="3"/>
  <c r="ABB30" i="3"/>
  <c r="AAX30" i="3"/>
  <c r="AAT30" i="3"/>
  <c r="AAP30" i="3"/>
  <c r="AAL30" i="3"/>
  <c r="AAH30" i="3"/>
  <c r="AAD30" i="3"/>
  <c r="ZZ30" i="3"/>
  <c r="ZV30" i="3"/>
  <c r="ZR30" i="3"/>
  <c r="ZN30" i="3"/>
  <c r="ZJ30" i="3"/>
  <c r="ZF30" i="3"/>
  <c r="ZB30" i="3"/>
  <c r="YX30" i="3"/>
  <c r="YT30" i="3"/>
  <c r="YP30" i="3"/>
  <c r="YL30" i="3"/>
  <c r="YH30" i="3"/>
  <c r="YD30" i="3"/>
  <c r="XZ30" i="3"/>
  <c r="XV30" i="3"/>
  <c r="XR30" i="3"/>
  <c r="XN30" i="3"/>
  <c r="XJ30" i="3"/>
  <c r="XF30" i="3"/>
  <c r="XB30" i="3"/>
  <c r="WX30" i="3"/>
  <c r="WT30" i="3"/>
  <c r="WP30" i="3"/>
  <c r="WL30" i="3"/>
  <c r="WH30" i="3"/>
  <c r="WD30" i="3"/>
  <c r="VZ30" i="3"/>
  <c r="VV30" i="3"/>
  <c r="VR30" i="3"/>
  <c r="VN30" i="3"/>
  <c r="VJ30" i="3"/>
  <c r="VF30" i="3"/>
  <c r="VB30" i="3"/>
  <c r="UX30" i="3"/>
  <c r="UT30" i="3"/>
  <c r="UP30" i="3"/>
  <c r="UL30" i="3"/>
  <c r="UH30" i="3"/>
  <c r="UD30" i="3"/>
  <c r="TZ30" i="3"/>
  <c r="TV30" i="3"/>
  <c r="TR30" i="3"/>
  <c r="TN30" i="3"/>
  <c r="TJ30" i="3"/>
  <c r="TF30" i="3"/>
  <c r="TB30" i="3"/>
  <c r="SX30" i="3"/>
  <c r="ST30" i="3"/>
  <c r="SP30" i="3"/>
  <c r="SL30" i="3"/>
  <c r="SH30" i="3"/>
  <c r="SD30" i="3"/>
  <c r="RZ30" i="3"/>
  <c r="RV30" i="3"/>
  <c r="RR30" i="3"/>
  <c r="RN30" i="3"/>
  <c r="RJ30" i="3"/>
  <c r="RF30" i="3"/>
  <c r="RB30" i="3"/>
  <c r="QX30" i="3"/>
  <c r="QT30" i="3"/>
  <c r="QP30" i="3"/>
  <c r="QL30" i="3"/>
  <c r="QH30" i="3"/>
  <c r="QD30" i="3"/>
  <c r="PZ30" i="3"/>
  <c r="PV30" i="3"/>
  <c r="PR30" i="3"/>
  <c r="PN30" i="3"/>
  <c r="PJ30" i="3"/>
  <c r="PF30" i="3"/>
  <c r="PB30" i="3"/>
  <c r="OX30" i="3"/>
  <c r="OT30" i="3"/>
  <c r="OP30" i="3"/>
  <c r="OL30" i="3"/>
  <c r="OH30" i="3"/>
  <c r="OD30" i="3"/>
  <c r="NZ30" i="3"/>
  <c r="NV30" i="3"/>
  <c r="NR30" i="3"/>
  <c r="NN30" i="3"/>
  <c r="NJ30" i="3"/>
  <c r="NF30" i="3"/>
  <c r="NB30" i="3"/>
  <c r="MX30" i="3"/>
  <c r="MT30" i="3"/>
  <c r="MP30" i="3"/>
  <c r="ML30" i="3"/>
  <c r="MH30" i="3"/>
  <c r="MD30" i="3"/>
  <c r="LZ30" i="3"/>
  <c r="LV30" i="3"/>
  <c r="LR30" i="3"/>
  <c r="LN30" i="3"/>
  <c r="LJ30" i="3"/>
  <c r="LF30" i="3"/>
  <c r="LB30" i="3"/>
  <c r="KX30" i="3"/>
  <c r="KT30" i="3"/>
  <c r="KP30" i="3"/>
  <c r="KL30" i="3"/>
  <c r="KH30" i="3"/>
  <c r="KD30" i="3"/>
  <c r="JZ30" i="3"/>
  <c r="JV30" i="3"/>
  <c r="JR30" i="3"/>
  <c r="JN30" i="3"/>
  <c r="JJ30" i="3"/>
  <c r="JF30" i="3"/>
  <c r="JB30" i="3"/>
  <c r="IX30" i="3"/>
  <c r="IT30" i="3"/>
  <c r="IP30" i="3"/>
  <c r="IL30" i="3"/>
  <c r="IH30" i="3"/>
  <c r="ID30" i="3"/>
  <c r="HZ30" i="3"/>
  <c r="HV30" i="3"/>
  <c r="HR30" i="3"/>
  <c r="HN30" i="3"/>
  <c r="HJ30" i="3"/>
  <c r="HF30" i="3"/>
  <c r="HB30" i="3"/>
  <c r="GX30" i="3"/>
  <c r="GT30" i="3"/>
  <c r="GP30" i="3"/>
  <c r="GL30" i="3"/>
  <c r="GH30" i="3"/>
  <c r="GD30" i="3"/>
  <c r="FZ30" i="3"/>
  <c r="FV30" i="3"/>
  <c r="FR30" i="3"/>
  <c r="FN30" i="3"/>
  <c r="FJ30" i="3"/>
  <c r="FF30" i="3"/>
  <c r="FB30" i="3"/>
  <c r="EX30" i="3"/>
  <c r="ET30" i="3"/>
  <c r="EP30" i="3"/>
  <c r="EL30" i="3"/>
  <c r="EH30" i="3"/>
  <c r="ED30" i="3"/>
  <c r="DZ30" i="3"/>
  <c r="DV30" i="3"/>
  <c r="DR30" i="3"/>
  <c r="DN30" i="3"/>
  <c r="DJ30" i="3"/>
  <c r="DF30" i="3"/>
  <c r="DB30" i="3"/>
  <c r="CX30" i="3"/>
  <c r="CT30" i="3"/>
  <c r="CP30" i="3"/>
  <c r="CL30" i="3"/>
  <c r="CH30" i="3"/>
  <c r="CD30" i="3"/>
  <c r="BZ30" i="3"/>
  <c r="BV30" i="3"/>
  <c r="BR30" i="3"/>
  <c r="BN30" i="3"/>
  <c r="BJ30" i="3"/>
  <c r="BF30" i="3"/>
  <c r="BB30" i="3"/>
  <c r="AX30" i="3"/>
  <c r="AT30" i="3"/>
  <c r="AP30" i="3"/>
  <c r="AL30" i="3"/>
  <c r="AH30" i="3"/>
  <c r="AD30" i="3"/>
  <c r="Z30" i="3"/>
  <c r="V30" i="3"/>
  <c r="R30" i="3"/>
  <c r="N30" i="3"/>
  <c r="J30" i="3"/>
  <c r="ALQ30" i="3"/>
  <c r="ALM30" i="3"/>
  <c r="ALI30" i="3"/>
  <c r="ALE30" i="3"/>
  <c r="ALA30" i="3"/>
  <c r="AKW30" i="3"/>
  <c r="AKS30" i="3"/>
  <c r="AKO30" i="3"/>
  <c r="AKK30" i="3"/>
  <c r="AKG30" i="3"/>
  <c r="AKC30" i="3"/>
  <c r="AJY30" i="3"/>
  <c r="AJU30" i="3"/>
  <c r="AJQ30" i="3"/>
  <c r="AJM30" i="3"/>
  <c r="AJI30" i="3"/>
  <c r="AJE30" i="3"/>
  <c r="AJA30" i="3"/>
  <c r="AIW30" i="3"/>
  <c r="AIS30" i="3"/>
  <c r="AIO30" i="3"/>
  <c r="AIK30" i="3"/>
  <c r="AIG30" i="3"/>
  <c r="AIC30" i="3"/>
  <c r="AHY30" i="3"/>
  <c r="AHU30" i="3"/>
  <c r="AHQ30" i="3"/>
  <c r="AHM30" i="3"/>
  <c r="AHI30" i="3"/>
  <c r="AHE30" i="3"/>
  <c r="AHA30" i="3"/>
  <c r="AGW30" i="3"/>
  <c r="AGS30" i="3"/>
  <c r="AGO30" i="3"/>
  <c r="AGK30" i="3"/>
  <c r="AGG30" i="3"/>
  <c r="AGC30" i="3"/>
  <c r="AFY30" i="3"/>
  <c r="AFU30" i="3"/>
  <c r="AFQ30" i="3"/>
  <c r="AFM30" i="3"/>
  <c r="AFI30" i="3"/>
  <c r="AFE30" i="3"/>
  <c r="AFA30" i="3"/>
  <c r="AEW30" i="3"/>
  <c r="AES30" i="3"/>
  <c r="AEO30" i="3"/>
  <c r="AEK30" i="3"/>
  <c r="AEG30" i="3"/>
  <c r="AEC30" i="3"/>
  <c r="ADY30" i="3"/>
  <c r="ADU30" i="3"/>
  <c r="ADQ30" i="3"/>
  <c r="ADM30" i="3"/>
  <c r="ADI30" i="3"/>
  <c r="ADE30" i="3"/>
  <c r="ADA30" i="3"/>
  <c r="ACW30" i="3"/>
  <c r="ACS30" i="3"/>
  <c r="ACO30" i="3"/>
  <c r="ACK30" i="3"/>
  <c r="ACG30" i="3"/>
  <c r="ACC30" i="3"/>
  <c r="ABY30" i="3"/>
  <c r="ABU30" i="3"/>
  <c r="ABQ30" i="3"/>
  <c r="ABM30" i="3"/>
  <c r="ABI30" i="3"/>
  <c r="ABE30" i="3"/>
  <c r="ABA30" i="3"/>
  <c r="AAW30" i="3"/>
  <c r="AAS30" i="3"/>
  <c r="AAO30" i="3"/>
  <c r="AAK30" i="3"/>
  <c r="AAG30" i="3"/>
  <c r="AAC30" i="3"/>
  <c r="ZY30" i="3"/>
  <c r="ZU30" i="3"/>
  <c r="ZQ30" i="3"/>
  <c r="ZM30" i="3"/>
  <c r="ZI30" i="3"/>
  <c r="ZE30" i="3"/>
  <c r="ZA30" i="3"/>
  <c r="YW30" i="3"/>
  <c r="YS30" i="3"/>
  <c r="YO30" i="3"/>
  <c r="YK30" i="3"/>
  <c r="YG30" i="3"/>
  <c r="YC30" i="3"/>
  <c r="XY30" i="3"/>
  <c r="XU30" i="3"/>
  <c r="XQ30" i="3"/>
  <c r="XM30" i="3"/>
  <c r="XI30" i="3"/>
  <c r="XE30" i="3"/>
  <c r="XA30" i="3"/>
  <c r="WW30" i="3"/>
  <c r="WS30" i="3"/>
  <c r="WO30" i="3"/>
  <c r="WK30" i="3"/>
  <c r="WG30" i="3"/>
  <c r="WC30" i="3"/>
  <c r="VY30" i="3"/>
  <c r="VU30" i="3"/>
  <c r="VQ30" i="3"/>
  <c r="VM30" i="3"/>
  <c r="VI30" i="3"/>
  <c r="VE30" i="3"/>
  <c r="VA30" i="3"/>
  <c r="UW30" i="3"/>
  <c r="US30" i="3"/>
  <c r="UO30" i="3"/>
  <c r="UK30" i="3"/>
  <c r="UG30" i="3"/>
  <c r="UC30" i="3"/>
  <c r="TY30" i="3"/>
  <c r="TU30" i="3"/>
  <c r="TQ30" i="3"/>
  <c r="TM30" i="3"/>
  <c r="TI30" i="3"/>
  <c r="TE30" i="3"/>
  <c r="TA30" i="3"/>
  <c r="SW30" i="3"/>
  <c r="SS30" i="3"/>
  <c r="SO30" i="3"/>
  <c r="SK30" i="3"/>
  <c r="SG30" i="3"/>
  <c r="SC30" i="3"/>
  <c r="RY30" i="3"/>
  <c r="RU30" i="3"/>
  <c r="RQ30" i="3"/>
  <c r="RM30" i="3"/>
  <c r="RI30" i="3"/>
  <c r="RE30" i="3"/>
  <c r="RA30" i="3"/>
  <c r="QW30" i="3"/>
  <c r="QS30" i="3"/>
  <c r="QO30" i="3"/>
  <c r="QK30" i="3"/>
  <c r="QG30" i="3"/>
  <c r="QC30" i="3"/>
  <c r="PY30" i="3"/>
  <c r="PU30" i="3"/>
  <c r="PQ30" i="3"/>
  <c r="PM30" i="3"/>
  <c r="PI30" i="3"/>
  <c r="PE30" i="3"/>
  <c r="PA30" i="3"/>
  <c r="OW30" i="3"/>
  <c r="OS30" i="3"/>
  <c r="OO30" i="3"/>
  <c r="OK30" i="3"/>
  <c r="OG30" i="3"/>
  <c r="OC30" i="3"/>
  <c r="NY30" i="3"/>
  <c r="NU30" i="3"/>
  <c r="NQ30" i="3"/>
  <c r="NM30" i="3"/>
  <c r="NI30" i="3"/>
  <c r="NE30" i="3"/>
  <c r="NA30" i="3"/>
  <c r="MW30" i="3"/>
  <c r="MS30" i="3"/>
  <c r="MO30" i="3"/>
  <c r="MK30" i="3"/>
  <c r="MG30" i="3"/>
  <c r="MC30" i="3"/>
  <c r="LY30" i="3"/>
  <c r="LU30" i="3"/>
  <c r="LQ30" i="3"/>
  <c r="LM30" i="3"/>
  <c r="LI30" i="3"/>
  <c r="LE30" i="3"/>
  <c r="LA30" i="3"/>
  <c r="KW30" i="3"/>
  <c r="KS30" i="3"/>
  <c r="KO30" i="3"/>
  <c r="KK30" i="3"/>
  <c r="KG30" i="3"/>
  <c r="KC30" i="3"/>
  <c r="JY30" i="3"/>
  <c r="JU30" i="3"/>
  <c r="JQ30" i="3"/>
  <c r="JM30" i="3"/>
  <c r="JI30" i="3"/>
  <c r="JE30" i="3"/>
  <c r="JA30" i="3"/>
  <c r="IW30" i="3"/>
  <c r="IS30" i="3"/>
  <c r="IO30" i="3"/>
  <c r="IK30" i="3"/>
  <c r="IG30" i="3"/>
  <c r="IC30" i="3"/>
  <c r="HY30" i="3"/>
  <c r="HU30" i="3"/>
  <c r="HQ30" i="3"/>
  <c r="HM30" i="3"/>
  <c r="HI30" i="3"/>
  <c r="HE30" i="3"/>
  <c r="HA30" i="3"/>
  <c r="GW30" i="3"/>
  <c r="GS30" i="3"/>
  <c r="GO30" i="3"/>
  <c r="GK30" i="3"/>
  <c r="GG30" i="3"/>
  <c r="GC30" i="3"/>
  <c r="FY30" i="3"/>
  <c r="FU30" i="3"/>
  <c r="FQ30" i="3"/>
  <c r="FM30" i="3"/>
  <c r="FI30" i="3"/>
  <c r="FE30" i="3"/>
  <c r="FA30" i="3"/>
  <c r="EW30" i="3"/>
  <c r="ES30" i="3"/>
  <c r="EO30" i="3"/>
  <c r="EK30" i="3"/>
  <c r="EG30" i="3"/>
  <c r="EC30" i="3"/>
  <c r="DY30" i="3"/>
  <c r="DU30" i="3"/>
  <c r="DQ30" i="3"/>
  <c r="DM30" i="3"/>
  <c r="DI30" i="3"/>
  <c r="DE30" i="3"/>
  <c r="DA30" i="3"/>
  <c r="CW30" i="3"/>
  <c r="CS30" i="3"/>
  <c r="CO30" i="3"/>
  <c r="CK30" i="3"/>
  <c r="CG30" i="3"/>
  <c r="CC30" i="3"/>
  <c r="BY30" i="3"/>
  <c r="BU30" i="3"/>
  <c r="BQ30" i="3"/>
  <c r="BM30" i="3"/>
  <c r="BI30" i="3"/>
  <c r="BE30" i="3"/>
  <c r="BA30" i="3"/>
  <c r="AW30" i="3"/>
  <c r="AS30" i="3"/>
  <c r="AO30" i="3"/>
  <c r="AK30" i="3"/>
  <c r="AG30" i="3"/>
  <c r="AC30" i="3"/>
  <c r="Y30" i="3"/>
  <c r="U30" i="3"/>
  <c r="Q30" i="3"/>
  <c r="M30" i="3"/>
  <c r="I30" i="3"/>
  <c r="F30" i="3"/>
  <c r="ALP30" i="3"/>
  <c r="AKZ30" i="3"/>
  <c r="AKJ30" i="3"/>
  <c r="AJT30" i="3"/>
  <c r="AJD30" i="3"/>
  <c r="AIN30" i="3"/>
  <c r="AHX30" i="3"/>
  <c r="AHH30" i="3"/>
  <c r="AGR30" i="3"/>
  <c r="AGB30" i="3"/>
  <c r="AFL30" i="3"/>
  <c r="AEV30" i="3"/>
  <c r="AEF30" i="3"/>
  <c r="ADP30" i="3"/>
  <c r="ACZ30" i="3"/>
  <c r="ACJ30" i="3"/>
  <c r="ABT30" i="3"/>
  <c r="ABD30" i="3"/>
  <c r="AAN30" i="3"/>
  <c r="ZX30" i="3"/>
  <c r="ZH30" i="3"/>
  <c r="YR30" i="3"/>
  <c r="YB30" i="3"/>
  <c r="XL30" i="3"/>
  <c r="WV30" i="3"/>
  <c r="WF30" i="3"/>
  <c r="VP30" i="3"/>
  <c r="UZ30" i="3"/>
  <c r="UJ30" i="3"/>
  <c r="TT30" i="3"/>
  <c r="TD30" i="3"/>
  <c r="SN30" i="3"/>
  <c r="RX30" i="3"/>
  <c r="RH30" i="3"/>
  <c r="QR30" i="3"/>
  <c r="QB30" i="3"/>
  <c r="PL30" i="3"/>
  <c r="OV30" i="3"/>
  <c r="OF30" i="3"/>
  <c r="NP30" i="3"/>
  <c r="MZ30" i="3"/>
  <c r="MJ30" i="3"/>
  <c r="LT30" i="3"/>
  <c r="LD30" i="3"/>
  <c r="KN30" i="3"/>
  <c r="JX30" i="3"/>
  <c r="JH30" i="3"/>
  <c r="IR30" i="3"/>
  <c r="IB30" i="3"/>
  <c r="HL30" i="3"/>
  <c r="GV30" i="3"/>
  <c r="GF30" i="3"/>
  <c r="FP30" i="3"/>
  <c r="EZ30" i="3"/>
  <c r="EJ30" i="3"/>
  <c r="DT30" i="3"/>
  <c r="DD30" i="3"/>
  <c r="CN30" i="3"/>
  <c r="BX30" i="3"/>
  <c r="BH30" i="3"/>
  <c r="AR30" i="3"/>
  <c r="AB30" i="3"/>
  <c r="L30" i="3"/>
  <c r="ALL30" i="3"/>
  <c r="AKV30" i="3"/>
  <c r="AKF30" i="3"/>
  <c r="AJP30" i="3"/>
  <c r="AIZ30" i="3"/>
  <c r="AIJ30" i="3"/>
  <c r="AHT30" i="3"/>
  <c r="AHD30" i="3"/>
  <c r="AGN30" i="3"/>
  <c r="AFX30" i="3"/>
  <c r="AFH30" i="3"/>
  <c r="AER30" i="3"/>
  <c r="AEB30" i="3"/>
  <c r="ADL30" i="3"/>
  <c r="ACV30" i="3"/>
  <c r="ACF30" i="3"/>
  <c r="ABP30" i="3"/>
  <c r="AAZ30" i="3"/>
  <c r="AAJ30" i="3"/>
  <c r="ZT30" i="3"/>
  <c r="ZD30" i="3"/>
  <c r="YN30" i="3"/>
  <c r="XX30" i="3"/>
  <c r="XH30" i="3"/>
  <c r="WR30" i="3"/>
  <c r="WB30" i="3"/>
  <c r="VL30" i="3"/>
  <c r="UV30" i="3"/>
  <c r="UF30" i="3"/>
  <c r="TP30" i="3"/>
  <c r="SZ30" i="3"/>
  <c r="SJ30" i="3"/>
  <c r="RT30" i="3"/>
  <c r="RD30" i="3"/>
  <c r="QN30" i="3"/>
  <c r="PX30" i="3"/>
  <c r="PH30" i="3"/>
  <c r="OR30" i="3"/>
  <c r="OB30" i="3"/>
  <c r="NL30" i="3"/>
  <c r="MV30" i="3"/>
  <c r="MF30" i="3"/>
  <c r="LP30" i="3"/>
  <c r="KZ30" i="3"/>
  <c r="KJ30" i="3"/>
  <c r="JT30" i="3"/>
  <c r="JD30" i="3"/>
  <c r="IN30" i="3"/>
  <c r="HX30" i="3"/>
  <c r="HH30" i="3"/>
  <c r="GR30" i="3"/>
  <c r="GB30" i="3"/>
  <c r="FL30" i="3"/>
  <c r="EV30" i="3"/>
  <c r="EF30" i="3"/>
  <c r="DP30" i="3"/>
  <c r="CZ30" i="3"/>
  <c r="CJ30" i="3"/>
  <c r="BT30" i="3"/>
  <c r="BD30" i="3"/>
  <c r="AN30" i="3"/>
  <c r="X30" i="3"/>
  <c r="H30" i="3"/>
  <c r="ALH30" i="3"/>
  <c r="AKR30" i="3"/>
  <c r="AKB30" i="3"/>
  <c r="AJL30" i="3"/>
  <c r="AIV30" i="3"/>
  <c r="AIF30" i="3"/>
  <c r="AHP30" i="3"/>
  <c r="AGZ30" i="3"/>
  <c r="AGJ30" i="3"/>
  <c r="AFT30" i="3"/>
  <c r="AFD30" i="3"/>
  <c r="AEN30" i="3"/>
  <c r="ADX30" i="3"/>
  <c r="ADH30" i="3"/>
  <c r="ACR30" i="3"/>
  <c r="ACB30" i="3"/>
  <c r="ABL30" i="3"/>
  <c r="AAV30" i="3"/>
  <c r="AAF30" i="3"/>
  <c r="ZP30" i="3"/>
  <c r="YZ30" i="3"/>
  <c r="YJ30" i="3"/>
  <c r="XT30" i="3"/>
  <c r="XD30" i="3"/>
  <c r="WN30" i="3"/>
  <c r="VX30" i="3"/>
  <c r="VH30" i="3"/>
  <c r="UR30" i="3"/>
  <c r="UB30" i="3"/>
  <c r="TL30" i="3"/>
  <c r="SV30" i="3"/>
  <c r="SF30" i="3"/>
  <c r="RP30" i="3"/>
  <c r="QZ30" i="3"/>
  <c r="QJ30" i="3"/>
  <c r="PT30" i="3"/>
  <c r="PD30" i="3"/>
  <c r="ON30" i="3"/>
  <c r="NX30" i="3"/>
  <c r="NH30" i="3"/>
  <c r="MR30" i="3"/>
  <c r="MB30" i="3"/>
  <c r="LL30" i="3"/>
  <c r="KV30" i="3"/>
  <c r="KF30" i="3"/>
  <c r="JP30" i="3"/>
  <c r="IZ30" i="3"/>
  <c r="IJ30" i="3"/>
  <c r="HT30" i="3"/>
  <c r="HD30" i="3"/>
  <c r="GN30" i="3"/>
  <c r="FX30" i="3"/>
  <c r="FH30" i="3"/>
  <c r="ER30" i="3"/>
  <c r="EB30" i="3"/>
  <c r="DL30" i="3"/>
  <c r="CV30" i="3"/>
  <c r="CF30" i="3"/>
  <c r="BP30" i="3"/>
  <c r="AZ30" i="3"/>
  <c r="AJ30" i="3"/>
  <c r="T30" i="3"/>
  <c r="ALN34" i="3"/>
  <c r="ALJ34" i="3"/>
  <c r="ALF34" i="3"/>
  <c r="ALB34" i="3"/>
  <c r="AKX34" i="3"/>
  <c r="AKT34" i="3"/>
  <c r="AKP34" i="3"/>
  <c r="AKL34" i="3"/>
  <c r="AKH34" i="3"/>
  <c r="AKD34" i="3"/>
  <c r="AJZ34" i="3"/>
  <c r="AJV34" i="3"/>
  <c r="AJR34" i="3"/>
  <c r="AJN34" i="3"/>
  <c r="AJJ34" i="3"/>
  <c r="AJF34" i="3"/>
  <c r="AJB34" i="3"/>
  <c r="AIX34" i="3"/>
  <c r="AIT34" i="3"/>
  <c r="AIP34" i="3"/>
  <c r="AIL34" i="3"/>
  <c r="AIH34" i="3"/>
  <c r="AID34" i="3"/>
  <c r="AHZ34" i="3"/>
  <c r="AHV34" i="3"/>
  <c r="AHR34" i="3"/>
  <c r="AHN34" i="3"/>
  <c r="AHJ34" i="3"/>
  <c r="AHF34" i="3"/>
  <c r="AHB34" i="3"/>
  <c r="AGX34" i="3"/>
  <c r="AGT34" i="3"/>
  <c r="AGP34" i="3"/>
  <c r="AGL34" i="3"/>
  <c r="AGH34" i="3"/>
  <c r="AGD34" i="3"/>
  <c r="AFZ34" i="3"/>
  <c r="AFV34" i="3"/>
  <c r="AFR34" i="3"/>
  <c r="AFN34" i="3"/>
  <c r="AFJ34" i="3"/>
  <c r="AFF34" i="3"/>
  <c r="AFB34" i="3"/>
  <c r="AEX34" i="3"/>
  <c r="AET34" i="3"/>
  <c r="AEP34" i="3"/>
  <c r="AEL34" i="3"/>
  <c r="AEH34" i="3"/>
  <c r="AED34" i="3"/>
  <c r="ADZ34" i="3"/>
  <c r="ADV34" i="3"/>
  <c r="ADR34" i="3"/>
  <c r="ADN34" i="3"/>
  <c r="ADJ34" i="3"/>
  <c r="ADF34" i="3"/>
  <c r="ADB34" i="3"/>
  <c r="ACX34" i="3"/>
  <c r="ACT34" i="3"/>
  <c r="ACP34" i="3"/>
  <c r="ACL34" i="3"/>
  <c r="ACH34" i="3"/>
  <c r="ACD34" i="3"/>
  <c r="ABZ34" i="3"/>
  <c r="ABV34" i="3"/>
  <c r="ABR34" i="3"/>
  <c r="ABN34" i="3"/>
  <c r="ABJ34" i="3"/>
  <c r="ABF34" i="3"/>
  <c r="ABB34" i="3"/>
  <c r="AAX34" i="3"/>
  <c r="AAT34" i="3"/>
  <c r="AAP34" i="3"/>
  <c r="AAL34" i="3"/>
  <c r="AAH34" i="3"/>
  <c r="AAD34" i="3"/>
  <c r="ZZ34" i="3"/>
  <c r="ZV34" i="3"/>
  <c r="ZR34" i="3"/>
  <c r="ZN34" i="3"/>
  <c r="ZJ34" i="3"/>
  <c r="ZF34" i="3"/>
  <c r="ZB34" i="3"/>
  <c r="YX34" i="3"/>
  <c r="YT34" i="3"/>
  <c r="YP34" i="3"/>
  <c r="YL34" i="3"/>
  <c r="YH34" i="3"/>
  <c r="YD34" i="3"/>
  <c r="XZ34" i="3"/>
  <c r="XV34" i="3"/>
  <c r="XR34" i="3"/>
  <c r="XN34" i="3"/>
  <c r="XJ34" i="3"/>
  <c r="XF34" i="3"/>
  <c r="XB34" i="3"/>
  <c r="WX34" i="3"/>
  <c r="WT34" i="3"/>
  <c r="WP34" i="3"/>
  <c r="WL34" i="3"/>
  <c r="WH34" i="3"/>
  <c r="WD34" i="3"/>
  <c r="VZ34" i="3"/>
  <c r="VV34" i="3"/>
  <c r="VR34" i="3"/>
  <c r="VN34" i="3"/>
  <c r="VJ34" i="3"/>
  <c r="VF34" i="3"/>
  <c r="VB34" i="3"/>
  <c r="UX34" i="3"/>
  <c r="UT34" i="3"/>
  <c r="UP34" i="3"/>
  <c r="UL34" i="3"/>
  <c r="UH34" i="3"/>
  <c r="UD34" i="3"/>
  <c r="ALP34" i="3"/>
  <c r="ALK34" i="3"/>
  <c r="ALE34" i="3"/>
  <c r="AKZ34" i="3"/>
  <c r="AKU34" i="3"/>
  <c r="AKO34" i="3"/>
  <c r="AKJ34" i="3"/>
  <c r="AKE34" i="3"/>
  <c r="AJY34" i="3"/>
  <c r="AJT34" i="3"/>
  <c r="AJO34" i="3"/>
  <c r="AJI34" i="3"/>
  <c r="AJD34" i="3"/>
  <c r="AIY34" i="3"/>
  <c r="AIS34" i="3"/>
  <c r="AIN34" i="3"/>
  <c r="AII34" i="3"/>
  <c r="AIC34" i="3"/>
  <c r="AHX34" i="3"/>
  <c r="AHS34" i="3"/>
  <c r="AHM34" i="3"/>
  <c r="AHH34" i="3"/>
  <c r="AHC34" i="3"/>
  <c r="AGW34" i="3"/>
  <c r="AGR34" i="3"/>
  <c r="AGM34" i="3"/>
  <c r="AGG34" i="3"/>
  <c r="AGB34" i="3"/>
  <c r="AFW34" i="3"/>
  <c r="AFQ34" i="3"/>
  <c r="AFL34" i="3"/>
  <c r="AFG34" i="3"/>
  <c r="AFA34" i="3"/>
  <c r="AEV34" i="3"/>
  <c r="AEQ34" i="3"/>
  <c r="AEK34" i="3"/>
  <c r="AEF34" i="3"/>
  <c r="AEA34" i="3"/>
  <c r="ADU34" i="3"/>
  <c r="ADP34" i="3"/>
  <c r="ADK34" i="3"/>
  <c r="ADE34" i="3"/>
  <c r="ACZ34" i="3"/>
  <c r="ACU34" i="3"/>
  <c r="ACO34" i="3"/>
  <c r="ACJ34" i="3"/>
  <c r="ACE34" i="3"/>
  <c r="ABY34" i="3"/>
  <c r="ABT34" i="3"/>
  <c r="ABO34" i="3"/>
  <c r="ABI34" i="3"/>
  <c r="ABD34" i="3"/>
  <c r="AAY34" i="3"/>
  <c r="AAS34" i="3"/>
  <c r="AAN34" i="3"/>
  <c r="AAI34" i="3"/>
  <c r="AAC34" i="3"/>
  <c r="ZX34" i="3"/>
  <c r="ZS34" i="3"/>
  <c r="ZM34" i="3"/>
  <c r="ZH34" i="3"/>
  <c r="ZC34" i="3"/>
  <c r="YW34" i="3"/>
  <c r="YR34" i="3"/>
  <c r="YM34" i="3"/>
  <c r="YG34" i="3"/>
  <c r="YB34" i="3"/>
  <c r="XW34" i="3"/>
  <c r="XQ34" i="3"/>
  <c r="XL34" i="3"/>
  <c r="XG34" i="3"/>
  <c r="XA34" i="3"/>
  <c r="WV34" i="3"/>
  <c r="WQ34" i="3"/>
  <c r="WK34" i="3"/>
  <c r="WF34" i="3"/>
  <c r="WA34" i="3"/>
  <c r="VU34" i="3"/>
  <c r="VP34" i="3"/>
  <c r="VK34" i="3"/>
  <c r="VE34" i="3"/>
  <c r="UZ34" i="3"/>
  <c r="UU34" i="3"/>
  <c r="UO34" i="3"/>
  <c r="UJ34" i="3"/>
  <c r="UE34" i="3"/>
  <c r="TZ34" i="3"/>
  <c r="TV34" i="3"/>
  <c r="TR34" i="3"/>
  <c r="TN34" i="3"/>
  <c r="TJ34" i="3"/>
  <c r="TF34" i="3"/>
  <c r="TB34" i="3"/>
  <c r="SX34" i="3"/>
  <c r="ST34" i="3"/>
  <c r="SP34" i="3"/>
  <c r="SL34" i="3"/>
  <c r="SH34" i="3"/>
  <c r="SD34" i="3"/>
  <c r="RZ34" i="3"/>
  <c r="RV34" i="3"/>
  <c r="RR34" i="3"/>
  <c r="RN34" i="3"/>
  <c r="RJ34" i="3"/>
  <c r="RF34" i="3"/>
  <c r="RB34" i="3"/>
  <c r="QX34" i="3"/>
  <c r="QT34" i="3"/>
  <c r="QP34" i="3"/>
  <c r="QL34" i="3"/>
  <c r="QH34" i="3"/>
  <c r="QD34" i="3"/>
  <c r="PZ34" i="3"/>
  <c r="PV34" i="3"/>
  <c r="PR34" i="3"/>
  <c r="PN34" i="3"/>
  <c r="PJ34" i="3"/>
  <c r="PF34" i="3"/>
  <c r="PB34" i="3"/>
  <c r="OX34" i="3"/>
  <c r="OT34" i="3"/>
  <c r="OP34" i="3"/>
  <c r="OL34" i="3"/>
  <c r="OH34" i="3"/>
  <c r="OD34" i="3"/>
  <c r="NZ34" i="3"/>
  <c r="NV34" i="3"/>
  <c r="NR34" i="3"/>
  <c r="NN34" i="3"/>
  <c r="NJ34" i="3"/>
  <c r="NF34" i="3"/>
  <c r="NB34" i="3"/>
  <c r="MX34" i="3"/>
  <c r="MT34" i="3"/>
  <c r="MP34" i="3"/>
  <c r="ML34" i="3"/>
  <c r="MH34" i="3"/>
  <c r="MD34" i="3"/>
  <c r="LZ34" i="3"/>
  <c r="LV34" i="3"/>
  <c r="LR34" i="3"/>
  <c r="LN34" i="3"/>
  <c r="LJ34" i="3"/>
  <c r="LF34" i="3"/>
  <c r="LB34" i="3"/>
  <c r="KX34" i="3"/>
  <c r="KT34" i="3"/>
  <c r="KP34" i="3"/>
  <c r="KL34" i="3"/>
  <c r="KH34" i="3"/>
  <c r="KD34" i="3"/>
  <c r="JZ34" i="3"/>
  <c r="JV34" i="3"/>
  <c r="JR34" i="3"/>
  <c r="JN34" i="3"/>
  <c r="JJ34" i="3"/>
  <c r="JF34" i="3"/>
  <c r="JB34" i="3"/>
  <c r="IX34" i="3"/>
  <c r="IT34" i="3"/>
  <c r="IP34" i="3"/>
  <c r="IL34" i="3"/>
  <c r="IH34" i="3"/>
  <c r="ID34" i="3"/>
  <c r="HZ34" i="3"/>
  <c r="HV34" i="3"/>
  <c r="HR34" i="3"/>
  <c r="HN34" i="3"/>
  <c r="HJ34" i="3"/>
  <c r="HF34" i="3"/>
  <c r="HB34" i="3"/>
  <c r="GX34" i="3"/>
  <c r="GT34" i="3"/>
  <c r="GP34" i="3"/>
  <c r="GL34" i="3"/>
  <c r="GH34" i="3"/>
  <c r="GD34" i="3"/>
  <c r="FZ34" i="3"/>
  <c r="FV34" i="3"/>
  <c r="FR34" i="3"/>
  <c r="FN34" i="3"/>
  <c r="FJ34" i="3"/>
  <c r="FF34" i="3"/>
  <c r="FB34" i="3"/>
  <c r="EX34" i="3"/>
  <c r="ET34" i="3"/>
  <c r="EP34" i="3"/>
  <c r="EL34" i="3"/>
  <c r="EH34" i="3"/>
  <c r="ED34" i="3"/>
  <c r="DZ34" i="3"/>
  <c r="DV34" i="3"/>
  <c r="DR34" i="3"/>
  <c r="DN34" i="3"/>
  <c r="DJ34" i="3"/>
  <c r="DF34" i="3"/>
  <c r="DB34" i="3"/>
  <c r="CX34" i="3"/>
  <c r="CT34" i="3"/>
  <c r="CP34" i="3"/>
  <c r="CL34" i="3"/>
  <c r="CH34" i="3"/>
  <c r="CD34" i="3"/>
  <c r="BZ34" i="3"/>
  <c r="BV34" i="3"/>
  <c r="BR34" i="3"/>
  <c r="BN34" i="3"/>
  <c r="BJ34" i="3"/>
  <c r="BF34" i="3"/>
  <c r="BB34" i="3"/>
  <c r="AX34" i="3"/>
  <c r="AT34" i="3"/>
  <c r="AP34" i="3"/>
  <c r="AL34" i="3"/>
  <c r="AH34" i="3"/>
  <c r="AD34" i="3"/>
  <c r="Z34" i="3"/>
  <c r="V34" i="3"/>
  <c r="R34" i="3"/>
  <c r="N34" i="3"/>
  <c r="J34" i="3"/>
  <c r="ALO34" i="3"/>
  <c r="ALI34" i="3"/>
  <c r="ALD34" i="3"/>
  <c r="AKY34" i="3"/>
  <c r="AKS34" i="3"/>
  <c r="AKN34" i="3"/>
  <c r="AKI34" i="3"/>
  <c r="AKC34" i="3"/>
  <c r="AJX34" i="3"/>
  <c r="AJS34" i="3"/>
  <c r="AJM34" i="3"/>
  <c r="AJH34" i="3"/>
  <c r="AJC34" i="3"/>
  <c r="AIW34" i="3"/>
  <c r="AIR34" i="3"/>
  <c r="AIM34" i="3"/>
  <c r="AIG34" i="3"/>
  <c r="AIB34" i="3"/>
  <c r="AHW34" i="3"/>
  <c r="AHQ34" i="3"/>
  <c r="AHL34" i="3"/>
  <c r="AHG34" i="3"/>
  <c r="AHA34" i="3"/>
  <c r="AGV34" i="3"/>
  <c r="AGQ34" i="3"/>
  <c r="AGK34" i="3"/>
  <c r="AGF34" i="3"/>
  <c r="AGA34" i="3"/>
  <c r="AFU34" i="3"/>
  <c r="AFP34" i="3"/>
  <c r="AFK34" i="3"/>
  <c r="AFE34" i="3"/>
  <c r="AEZ34" i="3"/>
  <c r="AEU34" i="3"/>
  <c r="AEO34" i="3"/>
  <c r="AEJ34" i="3"/>
  <c r="AEE34" i="3"/>
  <c r="ADY34" i="3"/>
  <c r="ADT34" i="3"/>
  <c r="ADO34" i="3"/>
  <c r="ADI34" i="3"/>
  <c r="ADD34" i="3"/>
  <c r="ACY34" i="3"/>
  <c r="ACS34" i="3"/>
  <c r="ACN34" i="3"/>
  <c r="ACI34" i="3"/>
  <c r="ACC34" i="3"/>
  <c r="ABX34" i="3"/>
  <c r="ABS34" i="3"/>
  <c r="ABM34" i="3"/>
  <c r="ABH34" i="3"/>
  <c r="ABC34" i="3"/>
  <c r="AAW34" i="3"/>
  <c r="AAR34" i="3"/>
  <c r="AAM34" i="3"/>
  <c r="AAG34" i="3"/>
  <c r="AAB34" i="3"/>
  <c r="ZW34" i="3"/>
  <c r="ZQ34" i="3"/>
  <c r="ZL34" i="3"/>
  <c r="ZG34" i="3"/>
  <c r="ZA34" i="3"/>
  <c r="YV34" i="3"/>
  <c r="YQ34" i="3"/>
  <c r="YK34" i="3"/>
  <c r="YF34" i="3"/>
  <c r="YA34" i="3"/>
  <c r="XU34" i="3"/>
  <c r="XP34" i="3"/>
  <c r="XK34" i="3"/>
  <c r="XE34" i="3"/>
  <c r="WZ34" i="3"/>
  <c r="WU34" i="3"/>
  <c r="WO34" i="3"/>
  <c r="WJ34" i="3"/>
  <c r="WE34" i="3"/>
  <c r="VY34" i="3"/>
  <c r="VT34" i="3"/>
  <c r="VO34" i="3"/>
  <c r="VI34" i="3"/>
  <c r="VD34" i="3"/>
  <c r="UY34" i="3"/>
  <c r="US34" i="3"/>
  <c r="UN34" i="3"/>
  <c r="UI34" i="3"/>
  <c r="UC34" i="3"/>
  <c r="TY34" i="3"/>
  <c r="TU34" i="3"/>
  <c r="TQ34" i="3"/>
  <c r="TM34" i="3"/>
  <c r="TI34" i="3"/>
  <c r="TE34" i="3"/>
  <c r="TA34" i="3"/>
  <c r="SW34" i="3"/>
  <c r="SS34" i="3"/>
  <c r="SO34" i="3"/>
  <c r="SK34" i="3"/>
  <c r="SG34" i="3"/>
  <c r="SC34" i="3"/>
  <c r="RY34" i="3"/>
  <c r="RU34" i="3"/>
  <c r="RQ34" i="3"/>
  <c r="RM34" i="3"/>
  <c r="RI34" i="3"/>
  <c r="RE34" i="3"/>
  <c r="RA34" i="3"/>
  <c r="QW34" i="3"/>
  <c r="QS34" i="3"/>
  <c r="QO34" i="3"/>
  <c r="QK34" i="3"/>
  <c r="QG34" i="3"/>
  <c r="QC34" i="3"/>
  <c r="PY34" i="3"/>
  <c r="PU34" i="3"/>
  <c r="PQ34" i="3"/>
  <c r="PM34" i="3"/>
  <c r="PI34" i="3"/>
  <c r="PE34" i="3"/>
  <c r="PA34" i="3"/>
  <c r="OW34" i="3"/>
  <c r="OS34" i="3"/>
  <c r="OO34" i="3"/>
  <c r="OK34" i="3"/>
  <c r="OG34" i="3"/>
  <c r="OC34" i="3"/>
  <c r="NY34" i="3"/>
  <c r="NU34" i="3"/>
  <c r="NQ34" i="3"/>
  <c r="NM34" i="3"/>
  <c r="NI34" i="3"/>
  <c r="NE34" i="3"/>
  <c r="NA34" i="3"/>
  <c r="MW34" i="3"/>
  <c r="MS34" i="3"/>
  <c r="MO34" i="3"/>
  <c r="MK34" i="3"/>
  <c r="MG34" i="3"/>
  <c r="MC34" i="3"/>
  <c r="LY34" i="3"/>
  <c r="LU34" i="3"/>
  <c r="LQ34" i="3"/>
  <c r="LM34" i="3"/>
  <c r="LI34" i="3"/>
  <c r="LE34" i="3"/>
  <c r="LA34" i="3"/>
  <c r="KW34" i="3"/>
  <c r="KS34" i="3"/>
  <c r="KO34" i="3"/>
  <c r="KK34" i="3"/>
  <c r="KG34" i="3"/>
  <c r="KC34" i="3"/>
  <c r="JY34" i="3"/>
  <c r="JU34" i="3"/>
  <c r="JQ34" i="3"/>
  <c r="JM34" i="3"/>
  <c r="JI34" i="3"/>
  <c r="JE34" i="3"/>
  <c r="JA34" i="3"/>
  <c r="IW34" i="3"/>
  <c r="IS34" i="3"/>
  <c r="IO34" i="3"/>
  <c r="IK34" i="3"/>
  <c r="IG34" i="3"/>
  <c r="IC34" i="3"/>
  <c r="HY34" i="3"/>
  <c r="HU34" i="3"/>
  <c r="HQ34" i="3"/>
  <c r="HM34" i="3"/>
  <c r="HI34" i="3"/>
  <c r="HE34" i="3"/>
  <c r="HA34" i="3"/>
  <c r="GW34" i="3"/>
  <c r="GS34" i="3"/>
  <c r="GO34" i="3"/>
  <c r="GK34" i="3"/>
  <c r="GG34" i="3"/>
  <c r="GC34" i="3"/>
  <c r="FY34" i="3"/>
  <c r="FU34" i="3"/>
  <c r="FQ34" i="3"/>
  <c r="FM34" i="3"/>
  <c r="FI34" i="3"/>
  <c r="FE34" i="3"/>
  <c r="FA34" i="3"/>
  <c r="EW34" i="3"/>
  <c r="ES34" i="3"/>
  <c r="EO34" i="3"/>
  <c r="EK34" i="3"/>
  <c r="EG34" i="3"/>
  <c r="EC34" i="3"/>
  <c r="DY34" i="3"/>
  <c r="DU34" i="3"/>
  <c r="DQ34" i="3"/>
  <c r="DM34" i="3"/>
  <c r="DI34" i="3"/>
  <c r="DE34" i="3"/>
  <c r="DA34" i="3"/>
  <c r="CW34" i="3"/>
  <c r="CS34" i="3"/>
  <c r="CO34" i="3"/>
  <c r="CK34" i="3"/>
  <c r="CG34" i="3"/>
  <c r="CC34" i="3"/>
  <c r="BY34" i="3"/>
  <c r="BU34" i="3"/>
  <c r="BQ34" i="3"/>
  <c r="BM34" i="3"/>
  <c r="BI34" i="3"/>
  <c r="BE34" i="3"/>
  <c r="BA34" i="3"/>
  <c r="AW34" i="3"/>
  <c r="AS34" i="3"/>
  <c r="AO34" i="3"/>
  <c r="AK34" i="3"/>
  <c r="AG34" i="3"/>
  <c r="AC34" i="3"/>
  <c r="Y34" i="3"/>
  <c r="U34" i="3"/>
  <c r="Q34" i="3"/>
  <c r="M34" i="3"/>
  <c r="I34" i="3"/>
  <c r="F34" i="3"/>
  <c r="ALQ34" i="3"/>
  <c r="ALL34" i="3"/>
  <c r="ALG34" i="3"/>
  <c r="ALA34" i="3"/>
  <c r="AKV34" i="3"/>
  <c r="AKQ34" i="3"/>
  <c r="AKK34" i="3"/>
  <c r="AKF34" i="3"/>
  <c r="AKA34" i="3"/>
  <c r="AJU34" i="3"/>
  <c r="AJP34" i="3"/>
  <c r="AJK34" i="3"/>
  <c r="AJE34" i="3"/>
  <c r="AIZ34" i="3"/>
  <c r="AIU34" i="3"/>
  <c r="AIO34" i="3"/>
  <c r="AIJ34" i="3"/>
  <c r="AIE34" i="3"/>
  <c r="AHY34" i="3"/>
  <c r="AHT34" i="3"/>
  <c r="AHO34" i="3"/>
  <c r="AHI34" i="3"/>
  <c r="AHD34" i="3"/>
  <c r="AGY34" i="3"/>
  <c r="AGS34" i="3"/>
  <c r="AGN34" i="3"/>
  <c r="AGI34" i="3"/>
  <c r="AGC34" i="3"/>
  <c r="AFX34" i="3"/>
  <c r="AFS34" i="3"/>
  <c r="AFM34" i="3"/>
  <c r="AFH34" i="3"/>
  <c r="AFC34" i="3"/>
  <c r="AEW34" i="3"/>
  <c r="AER34" i="3"/>
  <c r="AEM34" i="3"/>
  <c r="AEG34" i="3"/>
  <c r="AEB34" i="3"/>
  <c r="ADW34" i="3"/>
  <c r="ADQ34" i="3"/>
  <c r="ADL34" i="3"/>
  <c r="ADG34" i="3"/>
  <c r="ADA34" i="3"/>
  <c r="ACV34" i="3"/>
  <c r="ACQ34" i="3"/>
  <c r="ACK34" i="3"/>
  <c r="ACF34" i="3"/>
  <c r="ACA34" i="3"/>
  <c r="ABU34" i="3"/>
  <c r="ABP34" i="3"/>
  <c r="ABK34" i="3"/>
  <c r="ABE34" i="3"/>
  <c r="AAZ34" i="3"/>
  <c r="AAU34" i="3"/>
  <c r="AAO34" i="3"/>
  <c r="AAJ34" i="3"/>
  <c r="AAE34" i="3"/>
  <c r="ZY34" i="3"/>
  <c r="ZT34" i="3"/>
  <c r="ZO34" i="3"/>
  <c r="ZI34" i="3"/>
  <c r="ZD34" i="3"/>
  <c r="YY34" i="3"/>
  <c r="YS34" i="3"/>
  <c r="YN34" i="3"/>
  <c r="YI34" i="3"/>
  <c r="YC34" i="3"/>
  <c r="XX34" i="3"/>
  <c r="XS34" i="3"/>
  <c r="XM34" i="3"/>
  <c r="XH34" i="3"/>
  <c r="XC34" i="3"/>
  <c r="WW34" i="3"/>
  <c r="WR34" i="3"/>
  <c r="WM34" i="3"/>
  <c r="WG34" i="3"/>
  <c r="WB34" i="3"/>
  <c r="VW34" i="3"/>
  <c r="VQ34" i="3"/>
  <c r="VL34" i="3"/>
  <c r="VG34" i="3"/>
  <c r="VA34" i="3"/>
  <c r="UV34" i="3"/>
  <c r="UQ34" i="3"/>
  <c r="UK34" i="3"/>
  <c r="UF34" i="3"/>
  <c r="UA34" i="3"/>
  <c r="TW34" i="3"/>
  <c r="TS34" i="3"/>
  <c r="TO34" i="3"/>
  <c r="TK34" i="3"/>
  <c r="TG34" i="3"/>
  <c r="TC34" i="3"/>
  <c r="SY34" i="3"/>
  <c r="SU34" i="3"/>
  <c r="SQ34" i="3"/>
  <c r="SM34" i="3"/>
  <c r="SI34" i="3"/>
  <c r="SE34" i="3"/>
  <c r="SA34" i="3"/>
  <c r="RW34" i="3"/>
  <c r="RS34" i="3"/>
  <c r="RO34" i="3"/>
  <c r="RK34" i="3"/>
  <c r="RG34" i="3"/>
  <c r="RC34" i="3"/>
  <c r="QY34" i="3"/>
  <c r="QU34" i="3"/>
  <c r="QQ34" i="3"/>
  <c r="QM34" i="3"/>
  <c r="QI34" i="3"/>
  <c r="QE34" i="3"/>
  <c r="QA34" i="3"/>
  <c r="PW34" i="3"/>
  <c r="PS34" i="3"/>
  <c r="PO34" i="3"/>
  <c r="PK34" i="3"/>
  <c r="PG34" i="3"/>
  <c r="PC34" i="3"/>
  <c r="OY34" i="3"/>
  <c r="OU34" i="3"/>
  <c r="OQ34" i="3"/>
  <c r="OM34" i="3"/>
  <c r="OI34" i="3"/>
  <c r="OE34" i="3"/>
  <c r="OA34" i="3"/>
  <c r="NW34" i="3"/>
  <c r="NS34" i="3"/>
  <c r="NO34" i="3"/>
  <c r="NK34" i="3"/>
  <c r="NG34" i="3"/>
  <c r="NC34" i="3"/>
  <c r="MY34" i="3"/>
  <c r="MU34" i="3"/>
  <c r="MQ34" i="3"/>
  <c r="MM34" i="3"/>
  <c r="MI34" i="3"/>
  <c r="ME34" i="3"/>
  <c r="MA34" i="3"/>
  <c r="LW34" i="3"/>
  <c r="LS34" i="3"/>
  <c r="LO34" i="3"/>
  <c r="LK34" i="3"/>
  <c r="LG34" i="3"/>
  <c r="LC34" i="3"/>
  <c r="KY34" i="3"/>
  <c r="KU34" i="3"/>
  <c r="KQ34" i="3"/>
  <c r="KM34" i="3"/>
  <c r="KI34" i="3"/>
  <c r="KE34" i="3"/>
  <c r="KA34" i="3"/>
  <c r="JW34" i="3"/>
  <c r="JS34" i="3"/>
  <c r="JO34" i="3"/>
  <c r="JK34" i="3"/>
  <c r="JG34" i="3"/>
  <c r="JC34" i="3"/>
  <c r="IY34" i="3"/>
  <c r="IU34" i="3"/>
  <c r="IQ34" i="3"/>
  <c r="IM34" i="3"/>
  <c r="II34" i="3"/>
  <c r="IE34" i="3"/>
  <c r="IA34" i="3"/>
  <c r="HW34" i="3"/>
  <c r="HS34" i="3"/>
  <c r="HO34" i="3"/>
  <c r="HK34" i="3"/>
  <c r="HG34" i="3"/>
  <c r="HC34" i="3"/>
  <c r="GY34" i="3"/>
  <c r="GU34" i="3"/>
  <c r="GQ34" i="3"/>
  <c r="GM34" i="3"/>
  <c r="GI34" i="3"/>
  <c r="GE34" i="3"/>
  <c r="GA34" i="3"/>
  <c r="FW34" i="3"/>
  <c r="FS34" i="3"/>
  <c r="FO34" i="3"/>
  <c r="FK34" i="3"/>
  <c r="FG34" i="3"/>
  <c r="FC34" i="3"/>
  <c r="EY34" i="3"/>
  <c r="EU34" i="3"/>
  <c r="EQ34" i="3"/>
  <c r="EM34" i="3"/>
  <c r="EI34" i="3"/>
  <c r="EE34" i="3"/>
  <c r="EA34" i="3"/>
  <c r="DW34" i="3"/>
  <c r="DS34" i="3"/>
  <c r="DO34" i="3"/>
  <c r="DK34" i="3"/>
  <c r="DG34" i="3"/>
  <c r="DC34" i="3"/>
  <c r="CY34" i="3"/>
  <c r="CU34" i="3"/>
  <c r="CQ34" i="3"/>
  <c r="CM34" i="3"/>
  <c r="CI34" i="3"/>
  <c r="CE34" i="3"/>
  <c r="CA34" i="3"/>
  <c r="BW34" i="3"/>
  <c r="BS34" i="3"/>
  <c r="BO34" i="3"/>
  <c r="BK34" i="3"/>
  <c r="BG34" i="3"/>
  <c r="BC34" i="3"/>
  <c r="AY34" i="3"/>
  <c r="AU34" i="3"/>
  <c r="AQ34" i="3"/>
  <c r="AM34" i="3"/>
  <c r="AI34" i="3"/>
  <c r="AE34" i="3"/>
  <c r="AA34" i="3"/>
  <c r="W34" i="3"/>
  <c r="S34" i="3"/>
  <c r="O34" i="3"/>
  <c r="K34" i="3"/>
  <c r="G34" i="3"/>
  <c r="ALC34" i="3"/>
  <c r="AKG34" i="3"/>
  <c r="AJL34" i="3"/>
  <c r="AIQ34" i="3"/>
  <c r="AHU34" i="3"/>
  <c r="AGZ34" i="3"/>
  <c r="AGE34" i="3"/>
  <c r="AFI34" i="3"/>
  <c r="AEN34" i="3"/>
  <c r="ADS34" i="3"/>
  <c r="ACW34" i="3"/>
  <c r="ACB34" i="3"/>
  <c r="ABG34" i="3"/>
  <c r="AAK34" i="3"/>
  <c r="ZP34" i="3"/>
  <c r="YU34" i="3"/>
  <c r="XY34" i="3"/>
  <c r="XD34" i="3"/>
  <c r="WI34" i="3"/>
  <c r="VM34" i="3"/>
  <c r="UR34" i="3"/>
  <c r="TX34" i="3"/>
  <c r="TH34" i="3"/>
  <c r="SR34" i="3"/>
  <c r="SB34" i="3"/>
  <c r="RL34" i="3"/>
  <c r="QV34" i="3"/>
  <c r="QF34" i="3"/>
  <c r="PP34" i="3"/>
  <c r="OZ34" i="3"/>
  <c r="OJ34" i="3"/>
  <c r="NT34" i="3"/>
  <c r="ND34" i="3"/>
  <c r="MN34" i="3"/>
  <c r="LX34" i="3"/>
  <c r="LH34" i="3"/>
  <c r="KR34" i="3"/>
  <c r="KB34" i="3"/>
  <c r="JL34" i="3"/>
  <c r="IV34" i="3"/>
  <c r="IF34" i="3"/>
  <c r="HP34" i="3"/>
  <c r="GZ34" i="3"/>
  <c r="GJ34" i="3"/>
  <c r="FT34" i="3"/>
  <c r="FD34" i="3"/>
  <c r="EN34" i="3"/>
  <c r="DX34" i="3"/>
  <c r="DH34" i="3"/>
  <c r="CR34" i="3"/>
  <c r="CB34" i="3"/>
  <c r="BL34" i="3"/>
  <c r="AV34" i="3"/>
  <c r="AF34" i="3"/>
  <c r="P34" i="3"/>
  <c r="AKW34" i="3"/>
  <c r="AKB34" i="3"/>
  <c r="AJG34" i="3"/>
  <c r="AIK34" i="3"/>
  <c r="AHP34" i="3"/>
  <c r="AGU34" i="3"/>
  <c r="AFY34" i="3"/>
  <c r="AFD34" i="3"/>
  <c r="AEI34" i="3"/>
  <c r="ADM34" i="3"/>
  <c r="ACR34" i="3"/>
  <c r="ABW34" i="3"/>
  <c r="ABA34" i="3"/>
  <c r="AAF34" i="3"/>
  <c r="ZK34" i="3"/>
  <c r="YO34" i="3"/>
  <c r="XT34" i="3"/>
  <c r="WY34" i="3"/>
  <c r="WC34" i="3"/>
  <c r="VH34" i="3"/>
  <c r="UM34" i="3"/>
  <c r="TT34" i="3"/>
  <c r="TD34" i="3"/>
  <c r="SN34" i="3"/>
  <c r="RX34" i="3"/>
  <c r="RH34" i="3"/>
  <c r="QR34" i="3"/>
  <c r="QB34" i="3"/>
  <c r="PL34" i="3"/>
  <c r="OV34" i="3"/>
  <c r="OF34" i="3"/>
  <c r="NP34" i="3"/>
  <c r="MZ34" i="3"/>
  <c r="MJ34" i="3"/>
  <c r="LT34" i="3"/>
  <c r="LD34" i="3"/>
  <c r="KN34" i="3"/>
  <c r="JX34" i="3"/>
  <c r="JH34" i="3"/>
  <c r="IR34" i="3"/>
  <c r="IB34" i="3"/>
  <c r="HL34" i="3"/>
  <c r="GV34" i="3"/>
  <c r="GF34" i="3"/>
  <c r="FP34" i="3"/>
  <c r="EZ34" i="3"/>
  <c r="EJ34" i="3"/>
  <c r="DT34" i="3"/>
  <c r="DD34" i="3"/>
  <c r="CN34" i="3"/>
  <c r="BX34" i="3"/>
  <c r="BH34" i="3"/>
  <c r="AR34" i="3"/>
  <c r="AB34" i="3"/>
  <c r="L34" i="3"/>
  <c r="ALM34" i="3"/>
  <c r="AKR34" i="3"/>
  <c r="AJW34" i="3"/>
  <c r="AJA34" i="3"/>
  <c r="AIF34" i="3"/>
  <c r="AHK34" i="3"/>
  <c r="AGO34" i="3"/>
  <c r="AFT34" i="3"/>
  <c r="AEY34" i="3"/>
  <c r="AEC34" i="3"/>
  <c r="ADH34" i="3"/>
  <c r="ACM34" i="3"/>
  <c r="ABQ34" i="3"/>
  <c r="AAV34" i="3"/>
  <c r="AAA34" i="3"/>
  <c r="ZE34" i="3"/>
  <c r="YJ34" i="3"/>
  <c r="XO34" i="3"/>
  <c r="WS34" i="3"/>
  <c r="VX34" i="3"/>
  <c r="VC34" i="3"/>
  <c r="UG34" i="3"/>
  <c r="TP34" i="3"/>
  <c r="SZ34" i="3"/>
  <c r="SJ34" i="3"/>
  <c r="RT34" i="3"/>
  <c r="RD34" i="3"/>
  <c r="QN34" i="3"/>
  <c r="PX34" i="3"/>
  <c r="PH34" i="3"/>
  <c r="OR34" i="3"/>
  <c r="OB34" i="3"/>
  <c r="NL34" i="3"/>
  <c r="MV34" i="3"/>
  <c r="MF34" i="3"/>
  <c r="LP34" i="3"/>
  <c r="KZ34" i="3"/>
  <c r="KJ34" i="3"/>
  <c r="JT34" i="3"/>
  <c r="JD34" i="3"/>
  <c r="IN34" i="3"/>
  <c r="HX34" i="3"/>
  <c r="HH34" i="3"/>
  <c r="GR34" i="3"/>
  <c r="GB34" i="3"/>
  <c r="FL34" i="3"/>
  <c r="EV34" i="3"/>
  <c r="EF34" i="3"/>
  <c r="DP34" i="3"/>
  <c r="CZ34" i="3"/>
  <c r="CJ34" i="3"/>
  <c r="BT34" i="3"/>
  <c r="BD34" i="3"/>
  <c r="AN34" i="3"/>
  <c r="X34" i="3"/>
  <c r="H34" i="3"/>
  <c r="ALH34" i="3"/>
  <c r="AKM34" i="3"/>
  <c r="AJQ34" i="3"/>
  <c r="AIV34" i="3"/>
  <c r="AIA34" i="3"/>
  <c r="AHE34" i="3"/>
  <c r="AGJ34" i="3"/>
  <c r="AFO34" i="3"/>
  <c r="AES34" i="3"/>
  <c r="ADX34" i="3"/>
  <c r="ADC34" i="3"/>
  <c r="ACG34" i="3"/>
  <c r="ABL34" i="3"/>
  <c r="AAQ34" i="3"/>
  <c r="ZU34" i="3"/>
  <c r="YZ34" i="3"/>
  <c r="YE34" i="3"/>
  <c r="XI34" i="3"/>
  <c r="WN34" i="3"/>
  <c r="VS34" i="3"/>
  <c r="UW34" i="3"/>
  <c r="UB34" i="3"/>
  <c r="TL34" i="3"/>
  <c r="SV34" i="3"/>
  <c r="SF34" i="3"/>
  <c r="RP34" i="3"/>
  <c r="QZ34" i="3"/>
  <c r="QJ34" i="3"/>
  <c r="PT34" i="3"/>
  <c r="PD34" i="3"/>
  <c r="ON34" i="3"/>
  <c r="NX34" i="3"/>
  <c r="NH34" i="3"/>
  <c r="MR34" i="3"/>
  <c r="MB34" i="3"/>
  <c r="LL34" i="3"/>
  <c r="KV34" i="3"/>
  <c r="KF34" i="3"/>
  <c r="JP34" i="3"/>
  <c r="IZ34" i="3"/>
  <c r="IJ34" i="3"/>
  <c r="HT34" i="3"/>
  <c r="HD34" i="3"/>
  <c r="GN34" i="3"/>
  <c r="FX34" i="3"/>
  <c r="FH34" i="3"/>
  <c r="ER34" i="3"/>
  <c r="EB34" i="3"/>
  <c r="DL34" i="3"/>
  <c r="CV34" i="3"/>
  <c r="CF34" i="3"/>
  <c r="BP34" i="3"/>
  <c r="AZ34" i="3"/>
  <c r="AJ34" i="3"/>
  <c r="T34" i="3"/>
  <c r="ALN38" i="3"/>
  <c r="ALJ38" i="3"/>
  <c r="ALF38" i="3"/>
  <c r="ALB38" i="3"/>
  <c r="AKX38" i="3"/>
  <c r="AKT38" i="3"/>
  <c r="AKP38" i="3"/>
  <c r="AKL38" i="3"/>
  <c r="AKH38" i="3"/>
  <c r="AKD38" i="3"/>
  <c r="AJZ38" i="3"/>
  <c r="AJV38" i="3"/>
  <c r="AJR38" i="3"/>
  <c r="AJN38" i="3"/>
  <c r="AJJ38" i="3"/>
  <c r="AJF38" i="3"/>
  <c r="AJB38" i="3"/>
  <c r="AIX38" i="3"/>
  <c r="AIT38" i="3"/>
  <c r="AIP38" i="3"/>
  <c r="AIL38" i="3"/>
  <c r="AIH38" i="3"/>
  <c r="AID38" i="3"/>
  <c r="AHZ38" i="3"/>
  <c r="AHV38" i="3"/>
  <c r="AHR38" i="3"/>
  <c r="AHN38" i="3"/>
  <c r="AHJ38" i="3"/>
  <c r="AHF38" i="3"/>
  <c r="AHB38" i="3"/>
  <c r="AGX38" i="3"/>
  <c r="AGT38" i="3"/>
  <c r="AGP38" i="3"/>
  <c r="AGL38" i="3"/>
  <c r="AGH38" i="3"/>
  <c r="AGD38" i="3"/>
  <c r="AFZ38" i="3"/>
  <c r="AFV38" i="3"/>
  <c r="AFR38" i="3"/>
  <c r="AFN38" i="3"/>
  <c r="AFJ38" i="3"/>
  <c r="AFF38" i="3"/>
  <c r="AFB38" i="3"/>
  <c r="AEX38" i="3"/>
  <c r="AET38" i="3"/>
  <c r="AEP38" i="3"/>
  <c r="AEL38" i="3"/>
  <c r="AEH38" i="3"/>
  <c r="AED38" i="3"/>
  <c r="ADZ38" i="3"/>
  <c r="ADV38" i="3"/>
  <c r="ADR38" i="3"/>
  <c r="ADN38" i="3"/>
  <c r="ADJ38" i="3"/>
  <c r="ADF38" i="3"/>
  <c r="ADB38" i="3"/>
  <c r="ACX38" i="3"/>
  <c r="ACT38" i="3"/>
  <c r="ACP38" i="3"/>
  <c r="ACL38" i="3"/>
  <c r="ACH38" i="3"/>
  <c r="ACD38" i="3"/>
  <c r="ABZ38" i="3"/>
  <c r="ABV38" i="3"/>
  <c r="ABR38" i="3"/>
  <c r="ABN38" i="3"/>
  <c r="ABJ38" i="3"/>
  <c r="ABF38" i="3"/>
  <c r="ABB38" i="3"/>
  <c r="AAX38" i="3"/>
  <c r="AAT38" i="3"/>
  <c r="AAP38" i="3"/>
  <c r="AAL38" i="3"/>
  <c r="AAH38" i="3"/>
  <c r="AAD38" i="3"/>
  <c r="ZZ38" i="3"/>
  <c r="ZV38" i="3"/>
  <c r="ZR38" i="3"/>
  <c r="ZN38" i="3"/>
  <c r="ZJ38" i="3"/>
  <c r="ZF38" i="3"/>
  <c r="ZB38" i="3"/>
  <c r="YX38" i="3"/>
  <c r="YT38" i="3"/>
  <c r="YP38" i="3"/>
  <c r="YL38" i="3"/>
  <c r="YH38" i="3"/>
  <c r="YD38" i="3"/>
  <c r="XZ38" i="3"/>
  <c r="XV38" i="3"/>
  <c r="XR38" i="3"/>
  <c r="XN38" i="3"/>
  <c r="XJ38" i="3"/>
  <c r="XF38" i="3"/>
  <c r="XB38" i="3"/>
  <c r="WX38" i="3"/>
  <c r="WT38" i="3"/>
  <c r="WP38" i="3"/>
  <c r="WL38" i="3"/>
  <c r="WH38" i="3"/>
  <c r="WD38" i="3"/>
  <c r="VZ38" i="3"/>
  <c r="VV38" i="3"/>
  <c r="VR38" i="3"/>
  <c r="VN38" i="3"/>
  <c r="VJ38" i="3"/>
  <c r="VF38" i="3"/>
  <c r="VB38" i="3"/>
  <c r="UX38" i="3"/>
  <c r="UT38" i="3"/>
  <c r="UP38" i="3"/>
  <c r="UL38" i="3"/>
  <c r="UH38" i="3"/>
  <c r="UD38" i="3"/>
  <c r="TZ38" i="3"/>
  <c r="TV38" i="3"/>
  <c r="TR38" i="3"/>
  <c r="TN38" i="3"/>
  <c r="TJ38" i="3"/>
  <c r="TF38" i="3"/>
  <c r="TB38" i="3"/>
  <c r="SX38" i="3"/>
  <c r="ST38" i="3"/>
  <c r="SP38" i="3"/>
  <c r="SL38" i="3"/>
  <c r="SH38" i="3"/>
  <c r="SD38" i="3"/>
  <c r="RZ38" i="3"/>
  <c r="RV38" i="3"/>
  <c r="RR38" i="3"/>
  <c r="RN38" i="3"/>
  <c r="RJ38" i="3"/>
  <c r="RF38" i="3"/>
  <c r="RB38" i="3"/>
  <c r="QX38" i="3"/>
  <c r="QT38" i="3"/>
  <c r="QP38" i="3"/>
  <c r="QL38" i="3"/>
  <c r="QH38" i="3"/>
  <c r="QD38" i="3"/>
  <c r="PZ38" i="3"/>
  <c r="PV38" i="3"/>
  <c r="PR38" i="3"/>
  <c r="PN38" i="3"/>
  <c r="PJ38" i="3"/>
  <c r="PF38" i="3"/>
  <c r="PB38" i="3"/>
  <c r="OX38" i="3"/>
  <c r="OT38" i="3"/>
  <c r="OP38" i="3"/>
  <c r="OL38" i="3"/>
  <c r="OH38" i="3"/>
  <c r="OD38" i="3"/>
  <c r="NZ38" i="3"/>
  <c r="NV38" i="3"/>
  <c r="NR38" i="3"/>
  <c r="NN38" i="3"/>
  <c r="NJ38" i="3"/>
  <c r="NF38" i="3"/>
  <c r="NB38" i="3"/>
  <c r="MX38" i="3"/>
  <c r="MT38" i="3"/>
  <c r="MP38" i="3"/>
  <c r="ML38" i="3"/>
  <c r="MH38" i="3"/>
  <c r="MD38" i="3"/>
  <c r="LZ38" i="3"/>
  <c r="LV38" i="3"/>
  <c r="LR38" i="3"/>
  <c r="LN38" i="3"/>
  <c r="LJ38" i="3"/>
  <c r="LF38" i="3"/>
  <c r="LB38" i="3"/>
  <c r="KX38" i="3"/>
  <c r="KT38" i="3"/>
  <c r="KP38" i="3"/>
  <c r="KL38" i="3"/>
  <c r="KH38" i="3"/>
  <c r="KD38" i="3"/>
  <c r="JZ38" i="3"/>
  <c r="JV38" i="3"/>
  <c r="JR38" i="3"/>
  <c r="JN38" i="3"/>
  <c r="JJ38" i="3"/>
  <c r="JF38" i="3"/>
  <c r="JB38" i="3"/>
  <c r="IX38" i="3"/>
  <c r="IT38" i="3"/>
  <c r="IP38" i="3"/>
  <c r="IL38" i="3"/>
  <c r="IH38" i="3"/>
  <c r="ID38" i="3"/>
  <c r="HZ38" i="3"/>
  <c r="HV38" i="3"/>
  <c r="HR38" i="3"/>
  <c r="HN38" i="3"/>
  <c r="HJ38" i="3"/>
  <c r="HF38" i="3"/>
  <c r="HB38" i="3"/>
  <c r="GX38" i="3"/>
  <c r="GT38" i="3"/>
  <c r="GP38" i="3"/>
  <c r="GL38" i="3"/>
  <c r="GH38" i="3"/>
  <c r="GD38" i="3"/>
  <c r="FZ38" i="3"/>
  <c r="FV38" i="3"/>
  <c r="FR38" i="3"/>
  <c r="FN38" i="3"/>
  <c r="FJ38" i="3"/>
  <c r="FF38" i="3"/>
  <c r="FB38" i="3"/>
  <c r="EX38" i="3"/>
  <c r="ET38" i="3"/>
  <c r="EP38" i="3"/>
  <c r="EL38" i="3"/>
  <c r="EH38" i="3"/>
  <c r="ED38" i="3"/>
  <c r="DZ38" i="3"/>
  <c r="DV38" i="3"/>
  <c r="DR38" i="3"/>
  <c r="DN38" i="3"/>
  <c r="DJ38" i="3"/>
  <c r="DF38" i="3"/>
  <c r="DB38" i="3"/>
  <c r="CX38" i="3"/>
  <c r="CT38" i="3"/>
  <c r="CP38" i="3"/>
  <c r="CL38" i="3"/>
  <c r="CH38" i="3"/>
  <c r="CD38" i="3"/>
  <c r="BZ38" i="3"/>
  <c r="BV38" i="3"/>
  <c r="BR38" i="3"/>
  <c r="BN38" i="3"/>
  <c r="BJ38" i="3"/>
  <c r="BF38" i="3"/>
  <c r="BB38" i="3"/>
  <c r="AX38" i="3"/>
  <c r="AT38" i="3"/>
  <c r="AP38" i="3"/>
  <c r="AL38" i="3"/>
  <c r="AH38" i="3"/>
  <c r="AD38" i="3"/>
  <c r="Z38" i="3"/>
  <c r="V38" i="3"/>
  <c r="R38" i="3"/>
  <c r="N38" i="3"/>
  <c r="J38" i="3"/>
  <c r="ALQ38" i="3"/>
  <c r="ALL38" i="3"/>
  <c r="ALG38" i="3"/>
  <c r="ALA38" i="3"/>
  <c r="AKV38" i="3"/>
  <c r="AKQ38" i="3"/>
  <c r="AKK38" i="3"/>
  <c r="AKF38" i="3"/>
  <c r="AKA38" i="3"/>
  <c r="AJU38" i="3"/>
  <c r="ALP38" i="3"/>
  <c r="ALK38" i="3"/>
  <c r="ALE38" i="3"/>
  <c r="AKZ38" i="3"/>
  <c r="AKU38" i="3"/>
  <c r="AKO38" i="3"/>
  <c r="AKJ38" i="3"/>
  <c r="AKE38" i="3"/>
  <c r="AJY38" i="3"/>
  <c r="AJT38" i="3"/>
  <c r="ALM38" i="3"/>
  <c r="ALC38" i="3"/>
  <c r="AKR38" i="3"/>
  <c r="AKG38" i="3"/>
  <c r="AJW38" i="3"/>
  <c r="AJO38" i="3"/>
  <c r="AJI38" i="3"/>
  <c r="AJD38" i="3"/>
  <c r="AIY38" i="3"/>
  <c r="AIS38" i="3"/>
  <c r="AIN38" i="3"/>
  <c r="AII38" i="3"/>
  <c r="AIC38" i="3"/>
  <c r="AHX38" i="3"/>
  <c r="AHS38" i="3"/>
  <c r="AHM38" i="3"/>
  <c r="AHH38" i="3"/>
  <c r="AHC38" i="3"/>
  <c r="AGW38" i="3"/>
  <c r="AGR38" i="3"/>
  <c r="AGM38" i="3"/>
  <c r="AGG38" i="3"/>
  <c r="AGB38" i="3"/>
  <c r="AFW38" i="3"/>
  <c r="AFQ38" i="3"/>
  <c r="AFL38" i="3"/>
  <c r="AFG38" i="3"/>
  <c r="AFA38" i="3"/>
  <c r="AEV38" i="3"/>
  <c r="AEQ38" i="3"/>
  <c r="AEK38" i="3"/>
  <c r="AEF38" i="3"/>
  <c r="AEA38" i="3"/>
  <c r="ADU38" i="3"/>
  <c r="ADP38" i="3"/>
  <c r="ADK38" i="3"/>
  <c r="ADE38" i="3"/>
  <c r="ACZ38" i="3"/>
  <c r="ACU38" i="3"/>
  <c r="ACO38" i="3"/>
  <c r="ACJ38" i="3"/>
  <c r="ACE38" i="3"/>
  <c r="ABY38" i="3"/>
  <c r="ABT38" i="3"/>
  <c r="ABO38" i="3"/>
  <c r="ABI38" i="3"/>
  <c r="ABD38" i="3"/>
  <c r="AAY38" i="3"/>
  <c r="AAS38" i="3"/>
  <c r="AAN38" i="3"/>
  <c r="AAI38" i="3"/>
  <c r="AAC38" i="3"/>
  <c r="ZX38" i="3"/>
  <c r="ZS38" i="3"/>
  <c r="ZM38" i="3"/>
  <c r="ZH38" i="3"/>
  <c r="ZC38" i="3"/>
  <c r="YW38" i="3"/>
  <c r="YR38" i="3"/>
  <c r="YM38" i="3"/>
  <c r="YG38" i="3"/>
  <c r="YB38" i="3"/>
  <c r="XW38" i="3"/>
  <c r="XQ38" i="3"/>
  <c r="XL38" i="3"/>
  <c r="XG38" i="3"/>
  <c r="XA38" i="3"/>
  <c r="WV38" i="3"/>
  <c r="WQ38" i="3"/>
  <c r="WK38" i="3"/>
  <c r="WF38" i="3"/>
  <c r="WA38" i="3"/>
  <c r="VU38" i="3"/>
  <c r="VP38" i="3"/>
  <c r="VK38" i="3"/>
  <c r="VE38" i="3"/>
  <c r="UZ38" i="3"/>
  <c r="UU38" i="3"/>
  <c r="UO38" i="3"/>
  <c r="UJ38" i="3"/>
  <c r="UE38" i="3"/>
  <c r="TY38" i="3"/>
  <c r="TT38" i="3"/>
  <c r="TO38" i="3"/>
  <c r="TI38" i="3"/>
  <c r="TD38" i="3"/>
  <c r="SY38" i="3"/>
  <c r="SS38" i="3"/>
  <c r="SN38" i="3"/>
  <c r="SI38" i="3"/>
  <c r="SC38" i="3"/>
  <c r="RX38" i="3"/>
  <c r="RS38" i="3"/>
  <c r="RM38" i="3"/>
  <c r="RH38" i="3"/>
  <c r="RC38" i="3"/>
  <c r="QW38" i="3"/>
  <c r="QR38" i="3"/>
  <c r="QM38" i="3"/>
  <c r="QG38" i="3"/>
  <c r="QB38" i="3"/>
  <c r="PW38" i="3"/>
  <c r="PQ38" i="3"/>
  <c r="PL38" i="3"/>
  <c r="PG38" i="3"/>
  <c r="PA38" i="3"/>
  <c r="OV38" i="3"/>
  <c r="OQ38" i="3"/>
  <c r="OK38" i="3"/>
  <c r="OF38" i="3"/>
  <c r="OA38" i="3"/>
  <c r="NU38" i="3"/>
  <c r="NP38" i="3"/>
  <c r="NK38" i="3"/>
  <c r="NE38" i="3"/>
  <c r="MZ38" i="3"/>
  <c r="MU38" i="3"/>
  <c r="MO38" i="3"/>
  <c r="MJ38" i="3"/>
  <c r="ME38" i="3"/>
  <c r="LY38" i="3"/>
  <c r="LT38" i="3"/>
  <c r="LO38" i="3"/>
  <c r="LI38" i="3"/>
  <c r="LD38" i="3"/>
  <c r="KY38" i="3"/>
  <c r="KS38" i="3"/>
  <c r="KN38" i="3"/>
  <c r="KI38" i="3"/>
  <c r="KC38" i="3"/>
  <c r="JX38" i="3"/>
  <c r="JS38" i="3"/>
  <c r="JM38" i="3"/>
  <c r="JH38" i="3"/>
  <c r="JC38" i="3"/>
  <c r="IW38" i="3"/>
  <c r="IR38" i="3"/>
  <c r="IM38" i="3"/>
  <c r="IG38" i="3"/>
  <c r="IB38" i="3"/>
  <c r="HW38" i="3"/>
  <c r="HQ38" i="3"/>
  <c r="HL38" i="3"/>
  <c r="HG38" i="3"/>
  <c r="HA38" i="3"/>
  <c r="GV38" i="3"/>
  <c r="GQ38" i="3"/>
  <c r="GK38" i="3"/>
  <c r="GF38" i="3"/>
  <c r="GA38" i="3"/>
  <c r="FU38" i="3"/>
  <c r="FP38" i="3"/>
  <c r="FK38" i="3"/>
  <c r="FE38" i="3"/>
  <c r="EZ38" i="3"/>
  <c r="EU38" i="3"/>
  <c r="EO38" i="3"/>
  <c r="EJ38" i="3"/>
  <c r="EE38" i="3"/>
  <c r="DY38" i="3"/>
  <c r="DT38" i="3"/>
  <c r="DO38" i="3"/>
  <c r="DI38" i="3"/>
  <c r="DD38" i="3"/>
  <c r="CY38" i="3"/>
  <c r="CS38" i="3"/>
  <c r="CN38" i="3"/>
  <c r="CI38" i="3"/>
  <c r="CC38" i="3"/>
  <c r="BX38" i="3"/>
  <c r="BS38" i="3"/>
  <c r="BM38" i="3"/>
  <c r="BH38" i="3"/>
  <c r="BC38" i="3"/>
  <c r="AW38" i="3"/>
  <c r="AR38" i="3"/>
  <c r="AM38" i="3"/>
  <c r="AG38" i="3"/>
  <c r="AB38" i="3"/>
  <c r="W38" i="3"/>
  <c r="Q38" i="3"/>
  <c r="L38" i="3"/>
  <c r="G38" i="3"/>
  <c r="ALI38" i="3"/>
  <c r="AKY38" i="3"/>
  <c r="AKN38" i="3"/>
  <c r="AKC38" i="3"/>
  <c r="AJS38" i="3"/>
  <c r="AJM38" i="3"/>
  <c r="AJH38" i="3"/>
  <c r="AJC38" i="3"/>
  <c r="AIW38" i="3"/>
  <c r="AIR38" i="3"/>
  <c r="AIM38" i="3"/>
  <c r="AIG38" i="3"/>
  <c r="AIB38" i="3"/>
  <c r="AHW38" i="3"/>
  <c r="AHQ38" i="3"/>
  <c r="AHL38" i="3"/>
  <c r="AHG38" i="3"/>
  <c r="AHA38" i="3"/>
  <c r="AGV38" i="3"/>
  <c r="AGQ38" i="3"/>
  <c r="AGK38" i="3"/>
  <c r="AGF38" i="3"/>
  <c r="AGA38" i="3"/>
  <c r="AFU38" i="3"/>
  <c r="AFP38" i="3"/>
  <c r="AFK38" i="3"/>
  <c r="AFE38" i="3"/>
  <c r="AEZ38" i="3"/>
  <c r="AEU38" i="3"/>
  <c r="AEO38" i="3"/>
  <c r="AEJ38" i="3"/>
  <c r="AEE38" i="3"/>
  <c r="ADY38" i="3"/>
  <c r="ADT38" i="3"/>
  <c r="ADO38" i="3"/>
  <c r="ADI38" i="3"/>
  <c r="ADD38" i="3"/>
  <c r="ACY38" i="3"/>
  <c r="ACS38" i="3"/>
  <c r="ACN38" i="3"/>
  <c r="ACI38" i="3"/>
  <c r="ACC38" i="3"/>
  <c r="ABX38" i="3"/>
  <c r="ABS38" i="3"/>
  <c r="ABM38" i="3"/>
  <c r="ABH38" i="3"/>
  <c r="ABC38" i="3"/>
  <c r="AAW38" i="3"/>
  <c r="AAR38" i="3"/>
  <c r="AAM38" i="3"/>
  <c r="AAG38" i="3"/>
  <c r="AAB38" i="3"/>
  <c r="ZW38" i="3"/>
  <c r="ZQ38" i="3"/>
  <c r="ZL38" i="3"/>
  <c r="ZG38" i="3"/>
  <c r="ZA38" i="3"/>
  <c r="YV38" i="3"/>
  <c r="YQ38" i="3"/>
  <c r="YK38" i="3"/>
  <c r="YF38" i="3"/>
  <c r="YA38" i="3"/>
  <c r="XU38" i="3"/>
  <c r="XP38" i="3"/>
  <c r="XK38" i="3"/>
  <c r="XE38" i="3"/>
  <c r="WZ38" i="3"/>
  <c r="WU38" i="3"/>
  <c r="WO38" i="3"/>
  <c r="WJ38" i="3"/>
  <c r="WE38" i="3"/>
  <c r="VY38" i="3"/>
  <c r="VT38" i="3"/>
  <c r="VO38" i="3"/>
  <c r="VI38" i="3"/>
  <c r="VD38" i="3"/>
  <c r="UY38" i="3"/>
  <c r="US38" i="3"/>
  <c r="UN38" i="3"/>
  <c r="UI38" i="3"/>
  <c r="UC38" i="3"/>
  <c r="TX38" i="3"/>
  <c r="TS38" i="3"/>
  <c r="TM38" i="3"/>
  <c r="TH38" i="3"/>
  <c r="TC38" i="3"/>
  <c r="SW38" i="3"/>
  <c r="SR38" i="3"/>
  <c r="SM38" i="3"/>
  <c r="SG38" i="3"/>
  <c r="SB38" i="3"/>
  <c r="RW38" i="3"/>
  <c r="RQ38" i="3"/>
  <c r="RL38" i="3"/>
  <c r="RG38" i="3"/>
  <c r="RA38" i="3"/>
  <c r="QV38" i="3"/>
  <c r="QQ38" i="3"/>
  <c r="QK38" i="3"/>
  <c r="QF38" i="3"/>
  <c r="QA38" i="3"/>
  <c r="PU38" i="3"/>
  <c r="PP38" i="3"/>
  <c r="PK38" i="3"/>
  <c r="PE38" i="3"/>
  <c r="OZ38" i="3"/>
  <c r="OU38" i="3"/>
  <c r="OO38" i="3"/>
  <c r="OJ38" i="3"/>
  <c r="OE38" i="3"/>
  <c r="NY38" i="3"/>
  <c r="NT38" i="3"/>
  <c r="NO38" i="3"/>
  <c r="NI38" i="3"/>
  <c r="ND38" i="3"/>
  <c r="MY38" i="3"/>
  <c r="MS38" i="3"/>
  <c r="MN38" i="3"/>
  <c r="MI38" i="3"/>
  <c r="MC38" i="3"/>
  <c r="LX38" i="3"/>
  <c r="LS38" i="3"/>
  <c r="LM38" i="3"/>
  <c r="LH38" i="3"/>
  <c r="LC38" i="3"/>
  <c r="KW38" i="3"/>
  <c r="KR38" i="3"/>
  <c r="KM38" i="3"/>
  <c r="KG38" i="3"/>
  <c r="KB38" i="3"/>
  <c r="JW38" i="3"/>
  <c r="JQ38" i="3"/>
  <c r="JL38" i="3"/>
  <c r="JG38" i="3"/>
  <c r="JA38" i="3"/>
  <c r="IV38" i="3"/>
  <c r="IQ38" i="3"/>
  <c r="IK38" i="3"/>
  <c r="IF38" i="3"/>
  <c r="IA38" i="3"/>
  <c r="HU38" i="3"/>
  <c r="HP38" i="3"/>
  <c r="HK38" i="3"/>
  <c r="HE38" i="3"/>
  <c r="GZ38" i="3"/>
  <c r="GU38" i="3"/>
  <c r="GO38" i="3"/>
  <c r="GJ38" i="3"/>
  <c r="GE38" i="3"/>
  <c r="FY38" i="3"/>
  <c r="FT38" i="3"/>
  <c r="FO38" i="3"/>
  <c r="FI38" i="3"/>
  <c r="FD38" i="3"/>
  <c r="EY38" i="3"/>
  <c r="ES38" i="3"/>
  <c r="EN38" i="3"/>
  <c r="EI38" i="3"/>
  <c r="EC38" i="3"/>
  <c r="DX38" i="3"/>
  <c r="DS38" i="3"/>
  <c r="DM38" i="3"/>
  <c r="DH38" i="3"/>
  <c r="DC38" i="3"/>
  <c r="CW38" i="3"/>
  <c r="CR38" i="3"/>
  <c r="CM38" i="3"/>
  <c r="CG38" i="3"/>
  <c r="CB38" i="3"/>
  <c r="BW38" i="3"/>
  <c r="BQ38" i="3"/>
  <c r="BL38" i="3"/>
  <c r="BG38" i="3"/>
  <c r="BA38" i="3"/>
  <c r="AV38" i="3"/>
  <c r="AQ38" i="3"/>
  <c r="AK38" i="3"/>
  <c r="AF38" i="3"/>
  <c r="AA38" i="3"/>
  <c r="U38" i="3"/>
  <c r="P38" i="3"/>
  <c r="K38" i="3"/>
  <c r="F38" i="3"/>
  <c r="ALH38" i="3"/>
  <c r="AKW38" i="3"/>
  <c r="AKM38" i="3"/>
  <c r="AKB38" i="3"/>
  <c r="AJQ38" i="3"/>
  <c r="AJL38" i="3"/>
  <c r="AJG38" i="3"/>
  <c r="AJA38" i="3"/>
  <c r="AIV38" i="3"/>
  <c r="AIQ38" i="3"/>
  <c r="AIK38" i="3"/>
  <c r="AIF38" i="3"/>
  <c r="AIA38" i="3"/>
  <c r="AHU38" i="3"/>
  <c r="AHP38" i="3"/>
  <c r="AHK38" i="3"/>
  <c r="AHE38" i="3"/>
  <c r="AGZ38" i="3"/>
  <c r="AGU38" i="3"/>
  <c r="AGO38" i="3"/>
  <c r="AGJ38" i="3"/>
  <c r="AGE38" i="3"/>
  <c r="AFY38" i="3"/>
  <c r="AFT38" i="3"/>
  <c r="AFO38" i="3"/>
  <c r="AFI38" i="3"/>
  <c r="AFD38" i="3"/>
  <c r="AEY38" i="3"/>
  <c r="AES38" i="3"/>
  <c r="AEN38" i="3"/>
  <c r="AEI38" i="3"/>
  <c r="AEC38" i="3"/>
  <c r="ADX38" i="3"/>
  <c r="ADS38" i="3"/>
  <c r="ADM38" i="3"/>
  <c r="ADH38" i="3"/>
  <c r="ADC38" i="3"/>
  <c r="ACW38" i="3"/>
  <c r="ACR38" i="3"/>
  <c r="ACM38" i="3"/>
  <c r="ACG38" i="3"/>
  <c r="ACB38" i="3"/>
  <c r="ABW38" i="3"/>
  <c r="ABQ38" i="3"/>
  <c r="ABL38" i="3"/>
  <c r="ABG38" i="3"/>
  <c r="ABA38" i="3"/>
  <c r="AAV38" i="3"/>
  <c r="AAQ38" i="3"/>
  <c r="AAK38" i="3"/>
  <c r="AAF38" i="3"/>
  <c r="AAA38" i="3"/>
  <c r="ZU38" i="3"/>
  <c r="ZP38" i="3"/>
  <c r="ZK38" i="3"/>
  <c r="ZE38" i="3"/>
  <c r="YZ38" i="3"/>
  <c r="YU38" i="3"/>
  <c r="YO38" i="3"/>
  <c r="YJ38" i="3"/>
  <c r="YE38" i="3"/>
  <c r="XY38" i="3"/>
  <c r="XT38" i="3"/>
  <c r="XO38" i="3"/>
  <c r="XI38" i="3"/>
  <c r="XD38" i="3"/>
  <c r="WY38" i="3"/>
  <c r="WS38" i="3"/>
  <c r="WN38" i="3"/>
  <c r="WI38" i="3"/>
  <c r="WC38" i="3"/>
  <c r="VX38" i="3"/>
  <c r="VS38" i="3"/>
  <c r="VM38" i="3"/>
  <c r="VH38" i="3"/>
  <c r="VC38" i="3"/>
  <c r="UW38" i="3"/>
  <c r="UR38" i="3"/>
  <c r="UM38" i="3"/>
  <c r="UG38" i="3"/>
  <c r="UB38" i="3"/>
  <c r="TW38" i="3"/>
  <c r="TQ38" i="3"/>
  <c r="TL38" i="3"/>
  <c r="TG38" i="3"/>
  <c r="TA38" i="3"/>
  <c r="SV38" i="3"/>
  <c r="SQ38" i="3"/>
  <c r="SK38" i="3"/>
  <c r="SF38" i="3"/>
  <c r="SA38" i="3"/>
  <c r="RU38" i="3"/>
  <c r="RP38" i="3"/>
  <c r="RK38" i="3"/>
  <c r="RE38" i="3"/>
  <c r="QZ38" i="3"/>
  <c r="QU38" i="3"/>
  <c r="QO38" i="3"/>
  <c r="QJ38" i="3"/>
  <c r="QE38" i="3"/>
  <c r="PY38" i="3"/>
  <c r="PT38" i="3"/>
  <c r="PO38" i="3"/>
  <c r="PI38" i="3"/>
  <c r="PD38" i="3"/>
  <c r="OY38" i="3"/>
  <c r="OS38" i="3"/>
  <c r="ON38" i="3"/>
  <c r="OI38" i="3"/>
  <c r="OC38" i="3"/>
  <c r="NX38" i="3"/>
  <c r="NS38" i="3"/>
  <c r="NM38" i="3"/>
  <c r="NH38" i="3"/>
  <c r="NC38" i="3"/>
  <c r="MW38" i="3"/>
  <c r="MR38" i="3"/>
  <c r="MM38" i="3"/>
  <c r="MG38" i="3"/>
  <c r="MB38" i="3"/>
  <c r="LW38" i="3"/>
  <c r="LQ38" i="3"/>
  <c r="LL38" i="3"/>
  <c r="LG38" i="3"/>
  <c r="LA38" i="3"/>
  <c r="KV38" i="3"/>
  <c r="KQ38" i="3"/>
  <c r="KK38" i="3"/>
  <c r="KF38" i="3"/>
  <c r="KA38" i="3"/>
  <c r="JU38" i="3"/>
  <c r="JP38" i="3"/>
  <c r="JK38" i="3"/>
  <c r="JE38" i="3"/>
  <c r="IZ38" i="3"/>
  <c r="IU38" i="3"/>
  <c r="IO38" i="3"/>
  <c r="IJ38" i="3"/>
  <c r="IE38" i="3"/>
  <c r="HY38" i="3"/>
  <c r="HT38" i="3"/>
  <c r="HO38" i="3"/>
  <c r="HI38" i="3"/>
  <c r="HD38" i="3"/>
  <c r="GY38" i="3"/>
  <c r="GS38" i="3"/>
  <c r="GN38" i="3"/>
  <c r="GI38" i="3"/>
  <c r="GC38" i="3"/>
  <c r="FX38" i="3"/>
  <c r="FS38" i="3"/>
  <c r="FM38" i="3"/>
  <c r="FH38" i="3"/>
  <c r="FC38" i="3"/>
  <c r="EW38" i="3"/>
  <c r="ER38" i="3"/>
  <c r="EM38" i="3"/>
  <c r="EG38" i="3"/>
  <c r="EB38" i="3"/>
  <c r="DW38" i="3"/>
  <c r="DQ38" i="3"/>
  <c r="DL38" i="3"/>
  <c r="DG38" i="3"/>
  <c r="DA38" i="3"/>
  <c r="CV38" i="3"/>
  <c r="CQ38" i="3"/>
  <c r="CK38" i="3"/>
  <c r="CF38" i="3"/>
  <c r="CA38" i="3"/>
  <c r="BU38" i="3"/>
  <c r="BP38" i="3"/>
  <c r="BK38" i="3"/>
  <c r="BE38" i="3"/>
  <c r="AZ38" i="3"/>
  <c r="AU38" i="3"/>
  <c r="AO38" i="3"/>
  <c r="AJ38" i="3"/>
  <c r="AE38" i="3"/>
  <c r="Y38" i="3"/>
  <c r="T38" i="3"/>
  <c r="O38" i="3"/>
  <c r="I38" i="3"/>
  <c r="ALO38" i="3"/>
  <c r="ALD38" i="3"/>
  <c r="AKS38" i="3"/>
  <c r="AKI38" i="3"/>
  <c r="AJX38" i="3"/>
  <c r="AJP38" i="3"/>
  <c r="AJK38" i="3"/>
  <c r="AJE38" i="3"/>
  <c r="AIZ38" i="3"/>
  <c r="AIU38" i="3"/>
  <c r="AIO38" i="3"/>
  <c r="AIJ38" i="3"/>
  <c r="AIE38" i="3"/>
  <c r="AHY38" i="3"/>
  <c r="AHT38" i="3"/>
  <c r="AHO38" i="3"/>
  <c r="AHI38" i="3"/>
  <c r="AHD38" i="3"/>
  <c r="AGY38" i="3"/>
  <c r="AGS38" i="3"/>
  <c r="AGN38" i="3"/>
  <c r="AGI38" i="3"/>
  <c r="AGC38" i="3"/>
  <c r="AFX38" i="3"/>
  <c r="AFS38" i="3"/>
  <c r="AFM38" i="3"/>
  <c r="AFH38" i="3"/>
  <c r="AFC38" i="3"/>
  <c r="AEW38" i="3"/>
  <c r="AER38" i="3"/>
  <c r="AEM38" i="3"/>
  <c r="AEG38" i="3"/>
  <c r="AEB38" i="3"/>
  <c r="ADW38" i="3"/>
  <c r="ADQ38" i="3"/>
  <c r="ADL38" i="3"/>
  <c r="ADG38" i="3"/>
  <c r="ADA38" i="3"/>
  <c r="ACV38" i="3"/>
  <c r="ACQ38" i="3"/>
  <c r="ACK38" i="3"/>
  <c r="ACF38" i="3"/>
  <c r="ACA38" i="3"/>
  <c r="ABU38" i="3"/>
  <c r="ABP38" i="3"/>
  <c r="ABK38" i="3"/>
  <c r="ABE38" i="3"/>
  <c r="AAZ38" i="3"/>
  <c r="AAU38" i="3"/>
  <c r="AAO38" i="3"/>
  <c r="AAJ38" i="3"/>
  <c r="AAE38" i="3"/>
  <c r="ZY38" i="3"/>
  <c r="ZT38" i="3"/>
  <c r="ZO38" i="3"/>
  <c r="ZI38" i="3"/>
  <c r="ZD38" i="3"/>
  <c r="YY38" i="3"/>
  <c r="YS38" i="3"/>
  <c r="YN38" i="3"/>
  <c r="YI38" i="3"/>
  <c r="YC38" i="3"/>
  <c r="XX38" i="3"/>
  <c r="XS38" i="3"/>
  <c r="XM38" i="3"/>
  <c r="XH38" i="3"/>
  <c r="XC38" i="3"/>
  <c r="WW38" i="3"/>
  <c r="WR38" i="3"/>
  <c r="WM38" i="3"/>
  <c r="WG38" i="3"/>
  <c r="WB38" i="3"/>
  <c r="VW38" i="3"/>
  <c r="VQ38" i="3"/>
  <c r="VL38" i="3"/>
  <c r="VG38" i="3"/>
  <c r="VA38" i="3"/>
  <c r="UV38" i="3"/>
  <c r="UQ38" i="3"/>
  <c r="UK38" i="3"/>
  <c r="UF38" i="3"/>
  <c r="UA38" i="3"/>
  <c r="TU38" i="3"/>
  <c r="TP38" i="3"/>
  <c r="TK38" i="3"/>
  <c r="TE38" i="3"/>
  <c r="SZ38" i="3"/>
  <c r="SU38" i="3"/>
  <c r="SO38" i="3"/>
  <c r="SJ38" i="3"/>
  <c r="SE38" i="3"/>
  <c r="RY38" i="3"/>
  <c r="RT38" i="3"/>
  <c r="RO38" i="3"/>
  <c r="RI38" i="3"/>
  <c r="RD38" i="3"/>
  <c r="QY38" i="3"/>
  <c r="QS38" i="3"/>
  <c r="QN38" i="3"/>
  <c r="QI38" i="3"/>
  <c r="QC38" i="3"/>
  <c r="PX38" i="3"/>
  <c r="PS38" i="3"/>
  <c r="PM38" i="3"/>
  <c r="PH38" i="3"/>
  <c r="PC38" i="3"/>
  <c r="OW38" i="3"/>
  <c r="OR38" i="3"/>
  <c r="OM38" i="3"/>
  <c r="OG38" i="3"/>
  <c r="OB38" i="3"/>
  <c r="NW38" i="3"/>
  <c r="NQ38" i="3"/>
  <c r="NL38" i="3"/>
  <c r="NG38" i="3"/>
  <c r="NA38" i="3"/>
  <c r="MV38" i="3"/>
  <c r="MQ38" i="3"/>
  <c r="MK38" i="3"/>
  <c r="MF38" i="3"/>
  <c r="MA38" i="3"/>
  <c r="LU38" i="3"/>
  <c r="LP38" i="3"/>
  <c r="LK38" i="3"/>
  <c r="LE38" i="3"/>
  <c r="KZ38" i="3"/>
  <c r="KU38" i="3"/>
  <c r="KO38" i="3"/>
  <c r="KJ38" i="3"/>
  <c r="KE38" i="3"/>
  <c r="JY38" i="3"/>
  <c r="JT38" i="3"/>
  <c r="JO38" i="3"/>
  <c r="JI38" i="3"/>
  <c r="JD38" i="3"/>
  <c r="IY38" i="3"/>
  <c r="IS38" i="3"/>
  <c r="IN38" i="3"/>
  <c r="II38" i="3"/>
  <c r="IC38" i="3"/>
  <c r="HX38" i="3"/>
  <c r="HS38" i="3"/>
  <c r="HM38" i="3"/>
  <c r="HH38" i="3"/>
  <c r="HC38" i="3"/>
  <c r="GW38" i="3"/>
  <c r="GR38" i="3"/>
  <c r="GM38" i="3"/>
  <c r="GG38" i="3"/>
  <c r="GB38" i="3"/>
  <c r="FW38" i="3"/>
  <c r="FQ38" i="3"/>
  <c r="FL38" i="3"/>
  <c r="FG38" i="3"/>
  <c r="FA38" i="3"/>
  <c r="EV38" i="3"/>
  <c r="EQ38" i="3"/>
  <c r="EK38" i="3"/>
  <c r="EF38" i="3"/>
  <c r="EA38" i="3"/>
  <c r="DU38" i="3"/>
  <c r="DP38" i="3"/>
  <c r="DK38" i="3"/>
  <c r="DE38" i="3"/>
  <c r="CZ38" i="3"/>
  <c r="CU38" i="3"/>
  <c r="CO38" i="3"/>
  <c r="CJ38" i="3"/>
  <c r="CE38" i="3"/>
  <c r="BY38" i="3"/>
  <c r="BT38" i="3"/>
  <c r="BO38" i="3"/>
  <c r="BI38" i="3"/>
  <c r="BD38" i="3"/>
  <c r="AY38" i="3"/>
  <c r="AS38" i="3"/>
  <c r="AN38" i="3"/>
  <c r="AI38" i="3"/>
  <c r="AC38" i="3"/>
  <c r="X38" i="3"/>
  <c r="S38" i="3"/>
  <c r="M38" i="3"/>
  <c r="H38" i="3"/>
  <c r="ALQ42" i="3"/>
  <c r="ALM42" i="3"/>
  <c r="ALI42" i="3"/>
  <c r="ALE42" i="3"/>
  <c r="ALA42" i="3"/>
  <c r="AKW42" i="3"/>
  <c r="AKS42" i="3"/>
  <c r="AKO42" i="3"/>
  <c r="AKK42" i="3"/>
  <c r="AKG42" i="3"/>
  <c r="AKC42" i="3"/>
  <c r="AJY42" i="3"/>
  <c r="AJU42" i="3"/>
  <c r="AJQ42" i="3"/>
  <c r="AJM42" i="3"/>
  <c r="AJI42" i="3"/>
  <c r="AJE42" i="3"/>
  <c r="AJA42" i="3"/>
  <c r="AIW42" i="3"/>
  <c r="AIS42" i="3"/>
  <c r="AIO42" i="3"/>
  <c r="AIK42" i="3"/>
  <c r="AIG42" i="3"/>
  <c r="AIC42" i="3"/>
  <c r="AHY42" i="3"/>
  <c r="AHU42" i="3"/>
  <c r="AHQ42" i="3"/>
  <c r="AHM42" i="3"/>
  <c r="AHI42" i="3"/>
  <c r="AHE42" i="3"/>
  <c r="AHA42" i="3"/>
  <c r="AGW42" i="3"/>
  <c r="AGS42" i="3"/>
  <c r="AGO42" i="3"/>
  <c r="AGK42" i="3"/>
  <c r="AGG42" i="3"/>
  <c r="AGC42" i="3"/>
  <c r="AFY42" i="3"/>
  <c r="AFU42" i="3"/>
  <c r="AFQ42" i="3"/>
  <c r="AFM42" i="3"/>
  <c r="AFI42" i="3"/>
  <c r="AFE42" i="3"/>
  <c r="AFA42" i="3"/>
  <c r="AEW42" i="3"/>
  <c r="AES42" i="3"/>
  <c r="AEO42" i="3"/>
  <c r="AEK42" i="3"/>
  <c r="AEG42" i="3"/>
  <c r="AEC42" i="3"/>
  <c r="ADY42" i="3"/>
  <c r="ADU42" i="3"/>
  <c r="ADQ42" i="3"/>
  <c r="ADM42" i="3"/>
  <c r="ADI42" i="3"/>
  <c r="ADE42" i="3"/>
  <c r="ADA42" i="3"/>
  <c r="ACW42" i="3"/>
  <c r="ACS42" i="3"/>
  <c r="ACO42" i="3"/>
  <c r="ACK42" i="3"/>
  <c r="ACG42" i="3"/>
  <c r="ACC42" i="3"/>
  <c r="ABY42" i="3"/>
  <c r="ABU42" i="3"/>
  <c r="ABQ42" i="3"/>
  <c r="ABM42" i="3"/>
  <c r="ABI42" i="3"/>
  <c r="ABE42" i="3"/>
  <c r="ABA42" i="3"/>
  <c r="AAW42" i="3"/>
  <c r="AAS42" i="3"/>
  <c r="AAO42" i="3"/>
  <c r="AAK42" i="3"/>
  <c r="AAG42" i="3"/>
  <c r="AAC42" i="3"/>
  <c r="ZY42" i="3"/>
  <c r="ZU42" i="3"/>
  <c r="ZQ42" i="3"/>
  <c r="ZM42" i="3"/>
  <c r="ZI42" i="3"/>
  <c r="ZE42" i="3"/>
  <c r="ZA42" i="3"/>
  <c r="YW42" i="3"/>
  <c r="YS42" i="3"/>
  <c r="YO42" i="3"/>
  <c r="YK42" i="3"/>
  <c r="YG42" i="3"/>
  <c r="YC42" i="3"/>
  <c r="XY42" i="3"/>
  <c r="XU42" i="3"/>
  <c r="XQ42" i="3"/>
  <c r="XM42" i="3"/>
  <c r="XI42" i="3"/>
  <c r="XE42" i="3"/>
  <c r="XA42" i="3"/>
  <c r="WW42" i="3"/>
  <c r="WS42" i="3"/>
  <c r="WO42" i="3"/>
  <c r="WK42" i="3"/>
  <c r="WG42" i="3"/>
  <c r="WC42" i="3"/>
  <c r="VY42" i="3"/>
  <c r="VU42" i="3"/>
  <c r="VQ42" i="3"/>
  <c r="VM42" i="3"/>
  <c r="VI42" i="3"/>
  <c r="VE42" i="3"/>
  <c r="VA42" i="3"/>
  <c r="UW42" i="3"/>
  <c r="US42" i="3"/>
  <c r="UO42" i="3"/>
  <c r="UK42" i="3"/>
  <c r="UG42" i="3"/>
  <c r="UC42" i="3"/>
  <c r="TY42" i="3"/>
  <c r="TU42" i="3"/>
  <c r="TQ42" i="3"/>
  <c r="TM42" i="3"/>
  <c r="TI42" i="3"/>
  <c r="TE42" i="3"/>
  <c r="TA42" i="3"/>
  <c r="SW42" i="3"/>
  <c r="SS42" i="3"/>
  <c r="SO42" i="3"/>
  <c r="SK42" i="3"/>
  <c r="SG42" i="3"/>
  <c r="SC42" i="3"/>
  <c r="RY42" i="3"/>
  <c r="RU42" i="3"/>
  <c r="RQ42" i="3"/>
  <c r="RM42" i="3"/>
  <c r="RI42" i="3"/>
  <c r="RE42" i="3"/>
  <c r="RA42" i="3"/>
  <c r="QW42" i="3"/>
  <c r="QS42" i="3"/>
  <c r="QO42" i="3"/>
  <c r="QK42" i="3"/>
  <c r="QG42" i="3"/>
  <c r="QC42" i="3"/>
  <c r="PY42" i="3"/>
  <c r="PU42" i="3"/>
  <c r="PQ42" i="3"/>
  <c r="PM42" i="3"/>
  <c r="PI42" i="3"/>
  <c r="PE42" i="3"/>
  <c r="PA42" i="3"/>
  <c r="OW42" i="3"/>
  <c r="OS42" i="3"/>
  <c r="OO42" i="3"/>
  <c r="OK42" i="3"/>
  <c r="OG42" i="3"/>
  <c r="OC42" i="3"/>
  <c r="NY42" i="3"/>
  <c r="NU42" i="3"/>
  <c r="NQ42" i="3"/>
  <c r="NM42" i="3"/>
  <c r="NI42" i="3"/>
  <c r="NE42" i="3"/>
  <c r="NA42" i="3"/>
  <c r="MW42" i="3"/>
  <c r="MS42" i="3"/>
  <c r="MO42" i="3"/>
  <c r="MK42" i="3"/>
  <c r="MG42" i="3"/>
  <c r="MC42" i="3"/>
  <c r="LY42" i="3"/>
  <c r="LU42" i="3"/>
  <c r="LQ42" i="3"/>
  <c r="LM42" i="3"/>
  <c r="LI42" i="3"/>
  <c r="LE42" i="3"/>
  <c r="LA42" i="3"/>
  <c r="KW42" i="3"/>
  <c r="KS42" i="3"/>
  <c r="KO42" i="3"/>
  <c r="KK42" i="3"/>
  <c r="KG42" i="3"/>
  <c r="KC42" i="3"/>
  <c r="JY42" i="3"/>
  <c r="JU42" i="3"/>
  <c r="JQ42" i="3"/>
  <c r="JM42" i="3"/>
  <c r="JI42" i="3"/>
  <c r="JE42" i="3"/>
  <c r="JA42" i="3"/>
  <c r="IW42" i="3"/>
  <c r="IS42" i="3"/>
  <c r="IO42" i="3"/>
  <c r="IK42" i="3"/>
  <c r="IG42" i="3"/>
  <c r="IC42" i="3"/>
  <c r="HY42" i="3"/>
  <c r="HU42" i="3"/>
  <c r="HQ42" i="3"/>
  <c r="HM42" i="3"/>
  <c r="HI42" i="3"/>
  <c r="HE42" i="3"/>
  <c r="HA42" i="3"/>
  <c r="GW42" i="3"/>
  <c r="GS42" i="3"/>
  <c r="GO42" i="3"/>
  <c r="GK42" i="3"/>
  <c r="GG42" i="3"/>
  <c r="GC42" i="3"/>
  <c r="FY42" i="3"/>
  <c r="FU42" i="3"/>
  <c r="FQ42" i="3"/>
  <c r="FM42" i="3"/>
  <c r="FI42" i="3"/>
  <c r="FE42" i="3"/>
  <c r="FA42" i="3"/>
  <c r="EW42" i="3"/>
  <c r="ES42" i="3"/>
  <c r="EO42" i="3"/>
  <c r="EK42" i="3"/>
  <c r="EG42" i="3"/>
  <c r="EC42" i="3"/>
  <c r="DY42" i="3"/>
  <c r="DU42" i="3"/>
  <c r="DQ42" i="3"/>
  <c r="DM42" i="3"/>
  <c r="DI42" i="3"/>
  <c r="DE42" i="3"/>
  <c r="DA42" i="3"/>
  <c r="CW42" i="3"/>
  <c r="CS42" i="3"/>
  <c r="CO42" i="3"/>
  <c r="CK42" i="3"/>
  <c r="CG42" i="3"/>
  <c r="CC42" i="3"/>
  <c r="BY42" i="3"/>
  <c r="BU42" i="3"/>
  <c r="BQ42" i="3"/>
  <c r="BM42" i="3"/>
  <c r="BI42" i="3"/>
  <c r="BE42" i="3"/>
  <c r="BA42" i="3"/>
  <c r="AW42" i="3"/>
  <c r="AS42" i="3"/>
  <c r="AO42" i="3"/>
  <c r="AK42" i="3"/>
  <c r="AG42" i="3"/>
  <c r="AC42" i="3"/>
  <c r="Y42" i="3"/>
  <c r="U42" i="3"/>
  <c r="Q42" i="3"/>
  <c r="M42" i="3"/>
  <c r="I42" i="3"/>
  <c r="F42" i="3"/>
  <c r="ALO42" i="3"/>
  <c r="ALJ42" i="3"/>
  <c r="ALD42" i="3"/>
  <c r="AKY42" i="3"/>
  <c r="AKT42" i="3"/>
  <c r="AKN42" i="3"/>
  <c r="AKI42" i="3"/>
  <c r="AKD42" i="3"/>
  <c r="AJX42" i="3"/>
  <c r="AJS42" i="3"/>
  <c r="AJN42" i="3"/>
  <c r="AJH42" i="3"/>
  <c r="AJC42" i="3"/>
  <c r="AIX42" i="3"/>
  <c r="AIR42" i="3"/>
  <c r="AIM42" i="3"/>
  <c r="AIH42" i="3"/>
  <c r="AIB42" i="3"/>
  <c r="AHW42" i="3"/>
  <c r="AHR42" i="3"/>
  <c r="AHL42" i="3"/>
  <c r="AHG42" i="3"/>
  <c r="AHB42" i="3"/>
  <c r="AGV42" i="3"/>
  <c r="AGQ42" i="3"/>
  <c r="AGL42" i="3"/>
  <c r="AGF42" i="3"/>
  <c r="AGA42" i="3"/>
  <c r="AFV42" i="3"/>
  <c r="AFP42" i="3"/>
  <c r="AFK42" i="3"/>
  <c r="AFF42" i="3"/>
  <c r="AEZ42" i="3"/>
  <c r="AEU42" i="3"/>
  <c r="AEP42" i="3"/>
  <c r="AEJ42" i="3"/>
  <c r="AEE42" i="3"/>
  <c r="ADZ42" i="3"/>
  <c r="ADT42" i="3"/>
  <c r="ADO42" i="3"/>
  <c r="ADJ42" i="3"/>
  <c r="ADD42" i="3"/>
  <c r="ACY42" i="3"/>
  <c r="ACT42" i="3"/>
  <c r="ACN42" i="3"/>
  <c r="ACI42" i="3"/>
  <c r="ACD42" i="3"/>
  <c r="ABX42" i="3"/>
  <c r="ABS42" i="3"/>
  <c r="ABN42" i="3"/>
  <c r="ABH42" i="3"/>
  <c r="ABC42" i="3"/>
  <c r="AAX42" i="3"/>
  <c r="AAR42" i="3"/>
  <c r="AAM42" i="3"/>
  <c r="AAH42" i="3"/>
  <c r="AAB42" i="3"/>
  <c r="ZW42" i="3"/>
  <c r="ZR42" i="3"/>
  <c r="ZL42" i="3"/>
  <c r="ZG42" i="3"/>
  <c r="ZB42" i="3"/>
  <c r="YV42" i="3"/>
  <c r="YQ42" i="3"/>
  <c r="YL42" i="3"/>
  <c r="YF42" i="3"/>
  <c r="YA42" i="3"/>
  <c r="XV42" i="3"/>
  <c r="XP42" i="3"/>
  <c r="XK42" i="3"/>
  <c r="XF42" i="3"/>
  <c r="WZ42" i="3"/>
  <c r="WU42" i="3"/>
  <c r="WP42" i="3"/>
  <c r="WJ42" i="3"/>
  <c r="WE42" i="3"/>
  <c r="VZ42" i="3"/>
  <c r="VT42" i="3"/>
  <c r="VO42" i="3"/>
  <c r="VJ42" i="3"/>
  <c r="VD42" i="3"/>
  <c r="UY42" i="3"/>
  <c r="UT42" i="3"/>
  <c r="UN42" i="3"/>
  <c r="UI42" i="3"/>
  <c r="UD42" i="3"/>
  <c r="TX42" i="3"/>
  <c r="TS42" i="3"/>
  <c r="TN42" i="3"/>
  <c r="TH42" i="3"/>
  <c r="TC42" i="3"/>
  <c r="SX42" i="3"/>
  <c r="SR42" i="3"/>
  <c r="SM42" i="3"/>
  <c r="SH42" i="3"/>
  <c r="SB42" i="3"/>
  <c r="RW42" i="3"/>
  <c r="RR42" i="3"/>
  <c r="RL42" i="3"/>
  <c r="RG42" i="3"/>
  <c r="RB42" i="3"/>
  <c r="QV42" i="3"/>
  <c r="QQ42" i="3"/>
  <c r="QL42" i="3"/>
  <c r="QF42" i="3"/>
  <c r="QA42" i="3"/>
  <c r="PV42" i="3"/>
  <c r="PP42" i="3"/>
  <c r="PK42" i="3"/>
  <c r="PF42" i="3"/>
  <c r="OZ42" i="3"/>
  <c r="OU42" i="3"/>
  <c r="OP42" i="3"/>
  <c r="OJ42" i="3"/>
  <c r="OE42" i="3"/>
  <c r="NZ42" i="3"/>
  <c r="NT42" i="3"/>
  <c r="NO42" i="3"/>
  <c r="NJ42" i="3"/>
  <c r="ND42" i="3"/>
  <c r="MY42" i="3"/>
  <c r="MT42" i="3"/>
  <c r="MN42" i="3"/>
  <c r="MI42" i="3"/>
  <c r="MD42" i="3"/>
  <c r="LX42" i="3"/>
  <c r="LS42" i="3"/>
  <c r="LN42" i="3"/>
  <c r="LH42" i="3"/>
  <c r="LC42" i="3"/>
  <c r="KX42" i="3"/>
  <c r="KR42" i="3"/>
  <c r="KM42" i="3"/>
  <c r="KH42" i="3"/>
  <c r="KB42" i="3"/>
  <c r="JW42" i="3"/>
  <c r="JR42" i="3"/>
  <c r="JL42" i="3"/>
  <c r="JG42" i="3"/>
  <c r="JB42" i="3"/>
  <c r="IV42" i="3"/>
  <c r="IQ42" i="3"/>
  <c r="IL42" i="3"/>
  <c r="IF42" i="3"/>
  <c r="IA42" i="3"/>
  <c r="HV42" i="3"/>
  <c r="HP42" i="3"/>
  <c r="HK42" i="3"/>
  <c r="HF42" i="3"/>
  <c r="GZ42" i="3"/>
  <c r="GU42" i="3"/>
  <c r="GP42" i="3"/>
  <c r="GJ42" i="3"/>
  <c r="GE42" i="3"/>
  <c r="FZ42" i="3"/>
  <c r="FT42" i="3"/>
  <c r="FO42" i="3"/>
  <c r="FJ42" i="3"/>
  <c r="FD42" i="3"/>
  <c r="EY42" i="3"/>
  <c r="ET42" i="3"/>
  <c r="EN42" i="3"/>
  <c r="EI42" i="3"/>
  <c r="ED42" i="3"/>
  <c r="DX42" i="3"/>
  <c r="DS42" i="3"/>
  <c r="DN42" i="3"/>
  <c r="DH42" i="3"/>
  <c r="DC42" i="3"/>
  <c r="CX42" i="3"/>
  <c r="CR42" i="3"/>
  <c r="CM42" i="3"/>
  <c r="CH42" i="3"/>
  <c r="CB42" i="3"/>
  <c r="BW42" i="3"/>
  <c r="BR42" i="3"/>
  <c r="BL42" i="3"/>
  <c r="BG42" i="3"/>
  <c r="BB42" i="3"/>
  <c r="AV42" i="3"/>
  <c r="AQ42" i="3"/>
  <c r="AL42" i="3"/>
  <c r="AF42" i="3"/>
  <c r="AA42" i="3"/>
  <c r="V42" i="3"/>
  <c r="P42" i="3"/>
  <c r="K42" i="3"/>
  <c r="ALP42" i="3"/>
  <c r="ALH42" i="3"/>
  <c r="ALB42" i="3"/>
  <c r="AKU42" i="3"/>
  <c r="AKM42" i="3"/>
  <c r="AKF42" i="3"/>
  <c r="AJZ42" i="3"/>
  <c r="AJR42" i="3"/>
  <c r="AJK42" i="3"/>
  <c r="AJD42" i="3"/>
  <c r="AIV42" i="3"/>
  <c r="AIP42" i="3"/>
  <c r="AII42" i="3"/>
  <c r="AIA42" i="3"/>
  <c r="AHT42" i="3"/>
  <c r="AHN42" i="3"/>
  <c r="AHF42" i="3"/>
  <c r="AGY42" i="3"/>
  <c r="AGR42" i="3"/>
  <c r="AGJ42" i="3"/>
  <c r="AGD42" i="3"/>
  <c r="AFW42" i="3"/>
  <c r="AFO42" i="3"/>
  <c r="AFH42" i="3"/>
  <c r="AFB42" i="3"/>
  <c r="AET42" i="3"/>
  <c r="AEM42" i="3"/>
  <c r="AEF42" i="3"/>
  <c r="ADX42" i="3"/>
  <c r="ADR42" i="3"/>
  <c r="ADK42" i="3"/>
  <c r="ADC42" i="3"/>
  <c r="ACV42" i="3"/>
  <c r="ACP42" i="3"/>
  <c r="ACH42" i="3"/>
  <c r="ACA42" i="3"/>
  <c r="ABT42" i="3"/>
  <c r="ABL42" i="3"/>
  <c r="ABF42" i="3"/>
  <c r="AAY42" i="3"/>
  <c r="AAQ42" i="3"/>
  <c r="AAJ42" i="3"/>
  <c r="AAD42" i="3"/>
  <c r="ZV42" i="3"/>
  <c r="ZO42" i="3"/>
  <c r="ZH42" i="3"/>
  <c r="YZ42" i="3"/>
  <c r="YT42" i="3"/>
  <c r="YM42" i="3"/>
  <c r="YE42" i="3"/>
  <c r="XX42" i="3"/>
  <c r="XR42" i="3"/>
  <c r="XJ42" i="3"/>
  <c r="XC42" i="3"/>
  <c r="WV42" i="3"/>
  <c r="WN42" i="3"/>
  <c r="WH42" i="3"/>
  <c r="WA42" i="3"/>
  <c r="VS42" i="3"/>
  <c r="VL42" i="3"/>
  <c r="VF42" i="3"/>
  <c r="UX42" i="3"/>
  <c r="UQ42" i="3"/>
  <c r="UJ42" i="3"/>
  <c r="UB42" i="3"/>
  <c r="TV42" i="3"/>
  <c r="TO42" i="3"/>
  <c r="TG42" i="3"/>
  <c r="SZ42" i="3"/>
  <c r="ST42" i="3"/>
  <c r="SL42" i="3"/>
  <c r="SE42" i="3"/>
  <c r="RX42" i="3"/>
  <c r="RP42" i="3"/>
  <c r="RJ42" i="3"/>
  <c r="RC42" i="3"/>
  <c r="QU42" i="3"/>
  <c r="QN42" i="3"/>
  <c r="QH42" i="3"/>
  <c r="PZ42" i="3"/>
  <c r="PS42" i="3"/>
  <c r="PL42" i="3"/>
  <c r="PD42" i="3"/>
  <c r="OX42" i="3"/>
  <c r="OQ42" i="3"/>
  <c r="OI42" i="3"/>
  <c r="OB42" i="3"/>
  <c r="NV42" i="3"/>
  <c r="NN42" i="3"/>
  <c r="NG42" i="3"/>
  <c r="MZ42" i="3"/>
  <c r="MR42" i="3"/>
  <c r="ML42" i="3"/>
  <c r="ME42" i="3"/>
  <c r="LW42" i="3"/>
  <c r="LP42" i="3"/>
  <c r="LJ42" i="3"/>
  <c r="LB42" i="3"/>
  <c r="KU42" i="3"/>
  <c r="KN42" i="3"/>
  <c r="KF42" i="3"/>
  <c r="JZ42" i="3"/>
  <c r="JS42" i="3"/>
  <c r="JK42" i="3"/>
  <c r="JD42" i="3"/>
  <c r="IX42" i="3"/>
  <c r="IP42" i="3"/>
  <c r="II42" i="3"/>
  <c r="IB42" i="3"/>
  <c r="HT42" i="3"/>
  <c r="HN42" i="3"/>
  <c r="HG42" i="3"/>
  <c r="GY42" i="3"/>
  <c r="GR42" i="3"/>
  <c r="GL42" i="3"/>
  <c r="GD42" i="3"/>
  <c r="FW42" i="3"/>
  <c r="FP42" i="3"/>
  <c r="FH42" i="3"/>
  <c r="FB42" i="3"/>
  <c r="EU42" i="3"/>
  <c r="EM42" i="3"/>
  <c r="EF42" i="3"/>
  <c r="DZ42" i="3"/>
  <c r="DR42" i="3"/>
  <c r="DK42" i="3"/>
  <c r="DD42" i="3"/>
  <c r="CV42" i="3"/>
  <c r="CP42" i="3"/>
  <c r="CI42" i="3"/>
  <c r="CA42" i="3"/>
  <c r="BT42" i="3"/>
  <c r="BN42" i="3"/>
  <c r="BF42" i="3"/>
  <c r="AY42" i="3"/>
  <c r="AR42" i="3"/>
  <c r="AJ42" i="3"/>
  <c r="AD42" i="3"/>
  <c r="W42" i="3"/>
  <c r="O42" i="3"/>
  <c r="H42" i="3"/>
  <c r="ALN42" i="3"/>
  <c r="ALG42" i="3"/>
  <c r="AKZ42" i="3"/>
  <c r="AKR42" i="3"/>
  <c r="AKL42" i="3"/>
  <c r="AKE42" i="3"/>
  <c r="AJW42" i="3"/>
  <c r="AJP42" i="3"/>
  <c r="AJJ42" i="3"/>
  <c r="AJB42" i="3"/>
  <c r="AIU42" i="3"/>
  <c r="AIN42" i="3"/>
  <c r="AIF42" i="3"/>
  <c r="AHZ42" i="3"/>
  <c r="AHS42" i="3"/>
  <c r="AHK42" i="3"/>
  <c r="AHD42" i="3"/>
  <c r="AGX42" i="3"/>
  <c r="AGP42" i="3"/>
  <c r="AGI42" i="3"/>
  <c r="AGB42" i="3"/>
  <c r="AFT42" i="3"/>
  <c r="AFN42" i="3"/>
  <c r="AFG42" i="3"/>
  <c r="AEY42" i="3"/>
  <c r="AER42" i="3"/>
  <c r="AEL42" i="3"/>
  <c r="AED42" i="3"/>
  <c r="ADW42" i="3"/>
  <c r="ADP42" i="3"/>
  <c r="ADH42" i="3"/>
  <c r="ADB42" i="3"/>
  <c r="ACU42" i="3"/>
  <c r="ACM42" i="3"/>
  <c r="ACF42" i="3"/>
  <c r="ABZ42" i="3"/>
  <c r="ABR42" i="3"/>
  <c r="ABK42" i="3"/>
  <c r="ABD42" i="3"/>
  <c r="AAV42" i="3"/>
  <c r="AAP42" i="3"/>
  <c r="AAI42" i="3"/>
  <c r="AAA42" i="3"/>
  <c r="ZT42" i="3"/>
  <c r="ZN42" i="3"/>
  <c r="ZF42" i="3"/>
  <c r="YY42" i="3"/>
  <c r="YR42" i="3"/>
  <c r="YJ42" i="3"/>
  <c r="YD42" i="3"/>
  <c r="XW42" i="3"/>
  <c r="XO42" i="3"/>
  <c r="XH42" i="3"/>
  <c r="XB42" i="3"/>
  <c r="WT42" i="3"/>
  <c r="WM42" i="3"/>
  <c r="WF42" i="3"/>
  <c r="VX42" i="3"/>
  <c r="VR42" i="3"/>
  <c r="VK42" i="3"/>
  <c r="VC42" i="3"/>
  <c r="UV42" i="3"/>
  <c r="UP42" i="3"/>
  <c r="UH42" i="3"/>
  <c r="UA42" i="3"/>
  <c r="TT42" i="3"/>
  <c r="TL42" i="3"/>
  <c r="TF42" i="3"/>
  <c r="SY42" i="3"/>
  <c r="SQ42" i="3"/>
  <c r="SJ42" i="3"/>
  <c r="SD42" i="3"/>
  <c r="RV42" i="3"/>
  <c r="RO42" i="3"/>
  <c r="RH42" i="3"/>
  <c r="QZ42" i="3"/>
  <c r="QT42" i="3"/>
  <c r="QM42" i="3"/>
  <c r="QE42" i="3"/>
  <c r="PX42" i="3"/>
  <c r="PR42" i="3"/>
  <c r="PJ42" i="3"/>
  <c r="PC42" i="3"/>
  <c r="OV42" i="3"/>
  <c r="ON42" i="3"/>
  <c r="OH42" i="3"/>
  <c r="OA42" i="3"/>
  <c r="NS42" i="3"/>
  <c r="NL42" i="3"/>
  <c r="NF42" i="3"/>
  <c r="MX42" i="3"/>
  <c r="MQ42" i="3"/>
  <c r="MJ42" i="3"/>
  <c r="MB42" i="3"/>
  <c r="LV42" i="3"/>
  <c r="LO42" i="3"/>
  <c r="LG42" i="3"/>
  <c r="KZ42" i="3"/>
  <c r="KT42" i="3"/>
  <c r="KL42" i="3"/>
  <c r="KE42" i="3"/>
  <c r="JX42" i="3"/>
  <c r="JP42" i="3"/>
  <c r="JJ42" i="3"/>
  <c r="JC42" i="3"/>
  <c r="IU42" i="3"/>
  <c r="IN42" i="3"/>
  <c r="IH42" i="3"/>
  <c r="HZ42" i="3"/>
  <c r="HS42" i="3"/>
  <c r="HL42" i="3"/>
  <c r="HD42" i="3"/>
  <c r="GX42" i="3"/>
  <c r="GQ42" i="3"/>
  <c r="GI42" i="3"/>
  <c r="GB42" i="3"/>
  <c r="FV42" i="3"/>
  <c r="FN42" i="3"/>
  <c r="FG42" i="3"/>
  <c r="EZ42" i="3"/>
  <c r="ER42" i="3"/>
  <c r="EL42" i="3"/>
  <c r="EE42" i="3"/>
  <c r="DW42" i="3"/>
  <c r="DP42" i="3"/>
  <c r="DJ42" i="3"/>
  <c r="DB42" i="3"/>
  <c r="CU42" i="3"/>
  <c r="CN42" i="3"/>
  <c r="CF42" i="3"/>
  <c r="BZ42" i="3"/>
  <c r="BS42" i="3"/>
  <c r="BK42" i="3"/>
  <c r="BD42" i="3"/>
  <c r="AX42" i="3"/>
  <c r="AP42" i="3"/>
  <c r="AI42" i="3"/>
  <c r="AB42" i="3"/>
  <c r="T42" i="3"/>
  <c r="N42" i="3"/>
  <c r="G42" i="3"/>
  <c r="ALL42" i="3"/>
  <c r="ALF42" i="3"/>
  <c r="AKX42" i="3"/>
  <c r="AKQ42" i="3"/>
  <c r="AKJ42" i="3"/>
  <c r="AKB42" i="3"/>
  <c r="AJV42" i="3"/>
  <c r="AJO42" i="3"/>
  <c r="AJG42" i="3"/>
  <c r="AIZ42" i="3"/>
  <c r="AIT42" i="3"/>
  <c r="AIL42" i="3"/>
  <c r="AIE42" i="3"/>
  <c r="AHX42" i="3"/>
  <c r="AHP42" i="3"/>
  <c r="AHJ42" i="3"/>
  <c r="AHC42" i="3"/>
  <c r="AGU42" i="3"/>
  <c r="AGN42" i="3"/>
  <c r="AGH42" i="3"/>
  <c r="AFZ42" i="3"/>
  <c r="AFS42" i="3"/>
  <c r="AFL42" i="3"/>
  <c r="AFD42" i="3"/>
  <c r="AEX42" i="3"/>
  <c r="AEQ42" i="3"/>
  <c r="AEI42" i="3"/>
  <c r="AEB42" i="3"/>
  <c r="ADV42" i="3"/>
  <c r="ADN42" i="3"/>
  <c r="ADG42" i="3"/>
  <c r="ACZ42" i="3"/>
  <c r="ACR42" i="3"/>
  <c r="ACL42" i="3"/>
  <c r="ACE42" i="3"/>
  <c r="ABW42" i="3"/>
  <c r="ABP42" i="3"/>
  <c r="ABJ42" i="3"/>
  <c r="ABB42" i="3"/>
  <c r="AAU42" i="3"/>
  <c r="AAN42" i="3"/>
  <c r="AAF42" i="3"/>
  <c r="ZZ42" i="3"/>
  <c r="ZS42" i="3"/>
  <c r="ZK42" i="3"/>
  <c r="ZD42" i="3"/>
  <c r="YX42" i="3"/>
  <c r="YP42" i="3"/>
  <c r="YI42" i="3"/>
  <c r="YB42" i="3"/>
  <c r="XT42" i="3"/>
  <c r="XN42" i="3"/>
  <c r="XG42" i="3"/>
  <c r="WY42" i="3"/>
  <c r="WR42" i="3"/>
  <c r="WL42" i="3"/>
  <c r="WD42" i="3"/>
  <c r="VW42" i="3"/>
  <c r="VP42" i="3"/>
  <c r="VH42" i="3"/>
  <c r="VB42" i="3"/>
  <c r="UU42" i="3"/>
  <c r="UM42" i="3"/>
  <c r="UF42" i="3"/>
  <c r="TZ42" i="3"/>
  <c r="TR42" i="3"/>
  <c r="TK42" i="3"/>
  <c r="TD42" i="3"/>
  <c r="SV42" i="3"/>
  <c r="SP42" i="3"/>
  <c r="SI42" i="3"/>
  <c r="SA42" i="3"/>
  <c r="RT42" i="3"/>
  <c r="RN42" i="3"/>
  <c r="RF42" i="3"/>
  <c r="QY42" i="3"/>
  <c r="QR42" i="3"/>
  <c r="QJ42" i="3"/>
  <c r="QD42" i="3"/>
  <c r="PW42" i="3"/>
  <c r="PO42" i="3"/>
  <c r="PH42" i="3"/>
  <c r="PB42" i="3"/>
  <c r="OT42" i="3"/>
  <c r="OM42" i="3"/>
  <c r="OF42" i="3"/>
  <c r="NX42" i="3"/>
  <c r="NR42" i="3"/>
  <c r="NK42" i="3"/>
  <c r="NC42" i="3"/>
  <c r="MV42" i="3"/>
  <c r="MP42" i="3"/>
  <c r="MH42" i="3"/>
  <c r="MA42" i="3"/>
  <c r="LT42" i="3"/>
  <c r="LL42" i="3"/>
  <c r="LF42" i="3"/>
  <c r="KY42" i="3"/>
  <c r="KQ42" i="3"/>
  <c r="KJ42" i="3"/>
  <c r="KD42" i="3"/>
  <c r="JV42" i="3"/>
  <c r="JO42" i="3"/>
  <c r="JH42" i="3"/>
  <c r="IZ42" i="3"/>
  <c r="ALC42" i="3"/>
  <c r="AKA42" i="3"/>
  <c r="AIY42" i="3"/>
  <c r="AHV42" i="3"/>
  <c r="AGT42" i="3"/>
  <c r="AFR42" i="3"/>
  <c r="AEN42" i="3"/>
  <c r="ADL42" i="3"/>
  <c r="ACJ42" i="3"/>
  <c r="ABG42" i="3"/>
  <c r="AAE42" i="3"/>
  <c r="ZC42" i="3"/>
  <c r="XZ42" i="3"/>
  <c r="WX42" i="3"/>
  <c r="VV42" i="3"/>
  <c r="UR42" i="3"/>
  <c r="TP42" i="3"/>
  <c r="SN42" i="3"/>
  <c r="RK42" i="3"/>
  <c r="QI42" i="3"/>
  <c r="PG42" i="3"/>
  <c r="OD42" i="3"/>
  <c r="NB42" i="3"/>
  <c r="LZ42" i="3"/>
  <c r="KV42" i="3"/>
  <c r="JT42" i="3"/>
  <c r="IT42" i="3"/>
  <c r="IE42" i="3"/>
  <c r="HR42" i="3"/>
  <c r="HC42" i="3"/>
  <c r="GN42" i="3"/>
  <c r="GA42" i="3"/>
  <c r="FL42" i="3"/>
  <c r="EX42" i="3"/>
  <c r="EJ42" i="3"/>
  <c r="DV42" i="3"/>
  <c r="DG42" i="3"/>
  <c r="CT42" i="3"/>
  <c r="CE42" i="3"/>
  <c r="BP42" i="3"/>
  <c r="BC42" i="3"/>
  <c r="AN42" i="3"/>
  <c r="Z42" i="3"/>
  <c r="L42" i="3"/>
  <c r="AKV42" i="3"/>
  <c r="AJT42" i="3"/>
  <c r="AIQ42" i="3"/>
  <c r="AHO42" i="3"/>
  <c r="AGM42" i="3"/>
  <c r="AFJ42" i="3"/>
  <c r="AEH42" i="3"/>
  <c r="ADF42" i="3"/>
  <c r="ACB42" i="3"/>
  <c r="AAZ42" i="3"/>
  <c r="ZX42" i="3"/>
  <c r="YU42" i="3"/>
  <c r="XS42" i="3"/>
  <c r="WQ42" i="3"/>
  <c r="VN42" i="3"/>
  <c r="UL42" i="3"/>
  <c r="TJ42" i="3"/>
  <c r="SF42" i="3"/>
  <c r="RD42" i="3"/>
  <c r="QB42" i="3"/>
  <c r="OY42" i="3"/>
  <c r="NW42" i="3"/>
  <c r="MU42" i="3"/>
  <c r="LR42" i="3"/>
  <c r="KP42" i="3"/>
  <c r="JN42" i="3"/>
  <c r="IR42" i="3"/>
  <c r="ID42" i="3"/>
  <c r="HO42" i="3"/>
  <c r="HB42" i="3"/>
  <c r="GM42" i="3"/>
  <c r="FX42" i="3"/>
  <c r="AKP42" i="3"/>
  <c r="AJL42" i="3"/>
  <c r="AIJ42" i="3"/>
  <c r="AHH42" i="3"/>
  <c r="AGE42" i="3"/>
  <c r="AFC42" i="3"/>
  <c r="AEA42" i="3"/>
  <c r="ACX42" i="3"/>
  <c r="ABV42" i="3"/>
  <c r="AAT42" i="3"/>
  <c r="ZP42" i="3"/>
  <c r="YN42" i="3"/>
  <c r="XL42" i="3"/>
  <c r="WI42" i="3"/>
  <c r="VG42" i="3"/>
  <c r="UE42" i="3"/>
  <c r="TB42" i="3"/>
  <c r="RZ42" i="3"/>
  <c r="QX42" i="3"/>
  <c r="PT42" i="3"/>
  <c r="OR42" i="3"/>
  <c r="NP42" i="3"/>
  <c r="MM42" i="3"/>
  <c r="LK42" i="3"/>
  <c r="KI42" i="3"/>
  <c r="JF42" i="3"/>
  <c r="IM42" i="3"/>
  <c r="HX42" i="3"/>
  <c r="HJ42" i="3"/>
  <c r="GV42" i="3"/>
  <c r="GH42" i="3"/>
  <c r="FS42" i="3"/>
  <c r="FF42" i="3"/>
  <c r="EQ42" i="3"/>
  <c r="EB42" i="3"/>
  <c r="DO42" i="3"/>
  <c r="CZ42" i="3"/>
  <c r="CL42" i="3"/>
  <c r="BX42" i="3"/>
  <c r="BJ42" i="3"/>
  <c r="AU42" i="3"/>
  <c r="AH42" i="3"/>
  <c r="S42" i="3"/>
  <c r="ALK42" i="3"/>
  <c r="AKH42" i="3"/>
  <c r="AJF42" i="3"/>
  <c r="AID42" i="3"/>
  <c r="AGZ42" i="3"/>
  <c r="AFX42" i="3"/>
  <c r="AEV42" i="3"/>
  <c r="ADS42" i="3"/>
  <c r="ACQ42" i="3"/>
  <c r="ABO42" i="3"/>
  <c r="AAL42" i="3"/>
  <c r="ZJ42" i="3"/>
  <c r="YH42" i="3"/>
  <c r="XD42" i="3"/>
  <c r="WB42" i="3"/>
  <c r="UZ42" i="3"/>
  <c r="TW42" i="3"/>
  <c r="SU42" i="3"/>
  <c r="RS42" i="3"/>
  <c r="QP42" i="3"/>
  <c r="PN42" i="3"/>
  <c r="OL42" i="3"/>
  <c r="NH42" i="3"/>
  <c r="MF42" i="3"/>
  <c r="LD42" i="3"/>
  <c r="KA42" i="3"/>
  <c r="IY42" i="3"/>
  <c r="IJ42" i="3"/>
  <c r="HW42" i="3"/>
  <c r="HH42" i="3"/>
  <c r="GT42" i="3"/>
  <c r="GF42" i="3"/>
  <c r="FC42" i="3"/>
  <c r="EA42" i="3"/>
  <c r="CY42" i="3"/>
  <c r="BV42" i="3"/>
  <c r="AT42" i="3"/>
  <c r="R42" i="3"/>
  <c r="EV42" i="3"/>
  <c r="DT42" i="3"/>
  <c r="CQ42" i="3"/>
  <c r="BO42" i="3"/>
  <c r="AM42" i="3"/>
  <c r="J42" i="3"/>
  <c r="FR42" i="3"/>
  <c r="EP42" i="3"/>
  <c r="DL42" i="3"/>
  <c r="CJ42" i="3"/>
  <c r="BH42" i="3"/>
  <c r="AE42" i="3"/>
  <c r="FK42" i="3"/>
  <c r="EH42" i="3"/>
  <c r="DF42" i="3"/>
  <c r="CD42" i="3"/>
  <c r="AZ42" i="3"/>
  <c r="X42" i="3"/>
  <c r="F5" i="3" a="1"/>
  <c r="L20" i="3"/>
  <c r="T20" i="3"/>
  <c r="AB20" i="3"/>
  <c r="AJ20" i="3"/>
  <c r="AR20" i="3"/>
  <c r="AZ20" i="3"/>
  <c r="BH20" i="3"/>
  <c r="BP20" i="3"/>
  <c r="BX20" i="3"/>
  <c r="CF20" i="3"/>
  <c r="CN20" i="3"/>
  <c r="CV20" i="3"/>
  <c r="DD20" i="3"/>
  <c r="DL20" i="3"/>
  <c r="DT20" i="3"/>
  <c r="EB20" i="3"/>
  <c r="EJ20" i="3"/>
  <c r="ER20" i="3"/>
  <c r="EZ20" i="3"/>
  <c r="FH20" i="3"/>
  <c r="FP20" i="3"/>
  <c r="FX20" i="3"/>
  <c r="GF20" i="3"/>
  <c r="GN20" i="3"/>
  <c r="GV20" i="3"/>
  <c r="HD20" i="3"/>
  <c r="HL20" i="3"/>
  <c r="HT20" i="3"/>
  <c r="IB20" i="3"/>
  <c r="IJ20" i="3"/>
  <c r="IR20" i="3"/>
  <c r="IZ20" i="3"/>
  <c r="JH20" i="3"/>
  <c r="JP20" i="3"/>
  <c r="JX20" i="3"/>
  <c r="KF20" i="3"/>
  <c r="KN20" i="3"/>
  <c r="KV20" i="3"/>
  <c r="LD20" i="3"/>
  <c r="LL20" i="3"/>
  <c r="LT20" i="3"/>
  <c r="MB20" i="3"/>
  <c r="MJ20" i="3"/>
  <c r="MR20" i="3"/>
  <c r="MZ20" i="3"/>
  <c r="NH20" i="3"/>
  <c r="NP20" i="3"/>
  <c r="NX20" i="3"/>
  <c r="OF20" i="3"/>
  <c r="ON20" i="3"/>
  <c r="OV20" i="3"/>
  <c r="PD20" i="3"/>
  <c r="PL20" i="3"/>
  <c r="PT20" i="3"/>
  <c r="QB20" i="3"/>
  <c r="QJ20" i="3"/>
  <c r="QR20" i="3"/>
  <c r="QZ20" i="3"/>
  <c r="RH20" i="3"/>
  <c r="RP20" i="3"/>
  <c r="RX20" i="3"/>
  <c r="SF20" i="3"/>
  <c r="SN20" i="3"/>
  <c r="SV20" i="3"/>
  <c r="TD20" i="3"/>
  <c r="TL20" i="3"/>
  <c r="TT20" i="3"/>
  <c r="UB20" i="3"/>
  <c r="UJ20" i="3"/>
  <c r="UR20" i="3"/>
  <c r="UZ20" i="3"/>
  <c r="VH20" i="3"/>
  <c r="VP20" i="3"/>
  <c r="VX20" i="3"/>
  <c r="WF20" i="3"/>
  <c r="WN20" i="3"/>
  <c r="WV20" i="3"/>
  <c r="XD20" i="3"/>
  <c r="XL20" i="3"/>
  <c r="XT20" i="3"/>
  <c r="YB20" i="3"/>
  <c r="YJ20" i="3"/>
  <c r="YR20" i="3"/>
  <c r="YZ20" i="3"/>
  <c r="ZH20" i="3"/>
  <c r="ZP20" i="3"/>
  <c r="ZX20" i="3"/>
  <c r="AAF20" i="3"/>
  <c r="AAN20" i="3"/>
  <c r="AAV20" i="3"/>
  <c r="ABD20" i="3"/>
  <c r="ABL20" i="3"/>
  <c r="ABT20" i="3"/>
  <c r="ACB20" i="3"/>
  <c r="ACJ20" i="3"/>
  <c r="ACR20" i="3"/>
  <c r="ACZ20" i="3"/>
  <c r="ADH20" i="3"/>
  <c r="ADP20" i="3"/>
  <c r="ADX20" i="3"/>
  <c r="AEF20" i="3"/>
  <c r="AEN20" i="3"/>
  <c r="AEV20" i="3"/>
  <c r="AFD20" i="3"/>
  <c r="AFL20" i="3"/>
  <c r="AFT20" i="3"/>
  <c r="AGB20" i="3"/>
  <c r="AGJ20" i="3"/>
  <c r="AGR20" i="3"/>
  <c r="AGZ20" i="3"/>
  <c r="AHH20" i="3"/>
  <c r="AHP20" i="3"/>
  <c r="AHX20" i="3"/>
  <c r="AIF20" i="3"/>
  <c r="AIN20" i="3"/>
  <c r="AIV20" i="3"/>
  <c r="AJD20" i="3"/>
  <c r="AJL20" i="3"/>
  <c r="AJT20" i="3"/>
  <c r="AKB20" i="3"/>
  <c r="AKJ20" i="3"/>
  <c r="AKR20" i="3"/>
  <c r="AKZ20" i="3"/>
  <c r="ALH20" i="3"/>
  <c r="ALP20" i="3"/>
  <c r="K21" i="3"/>
  <c r="S21" i="3"/>
  <c r="AA21" i="3"/>
  <c r="AI21" i="3"/>
  <c r="AQ21" i="3"/>
  <c r="AY21" i="3"/>
  <c r="BG21" i="3"/>
  <c r="BO21" i="3"/>
  <c r="BW21" i="3"/>
  <c r="CE21" i="3"/>
  <c r="CM21" i="3"/>
  <c r="CU21" i="3"/>
  <c r="DC21" i="3"/>
  <c r="DK21" i="3"/>
  <c r="DS21" i="3"/>
  <c r="EA21" i="3"/>
  <c r="EI21" i="3"/>
  <c r="EQ21" i="3"/>
  <c r="EY21" i="3"/>
  <c r="FG21" i="3"/>
  <c r="FO21" i="3"/>
  <c r="FW21" i="3"/>
  <c r="GE21" i="3"/>
  <c r="GM21" i="3"/>
  <c r="GU21" i="3"/>
  <c r="HC21" i="3"/>
  <c r="HK21" i="3"/>
  <c r="HS21" i="3"/>
  <c r="IA21" i="3"/>
  <c r="II21" i="3"/>
  <c r="IQ21" i="3"/>
  <c r="IY21" i="3"/>
  <c r="JG21" i="3"/>
  <c r="JO21" i="3"/>
  <c r="JW21" i="3"/>
  <c r="KE21" i="3"/>
  <c r="KM21" i="3"/>
  <c r="KU21" i="3"/>
  <c r="LC21" i="3"/>
  <c r="LK21" i="3"/>
  <c r="LS21" i="3"/>
  <c r="MA21" i="3"/>
  <c r="MI21" i="3"/>
  <c r="MQ21" i="3"/>
  <c r="MY21" i="3"/>
  <c r="NG21" i="3"/>
  <c r="NO21" i="3"/>
  <c r="NW21" i="3"/>
  <c r="OE21" i="3"/>
  <c r="OM21" i="3"/>
  <c r="OU21" i="3"/>
  <c r="PC21" i="3"/>
  <c r="PK21" i="3"/>
  <c r="PS21" i="3"/>
  <c r="QA21" i="3"/>
  <c r="QI21" i="3"/>
  <c r="QQ21" i="3"/>
  <c r="QY21" i="3"/>
  <c r="RG21" i="3"/>
  <c r="RO21" i="3"/>
  <c r="RW21" i="3"/>
  <c r="SE21" i="3"/>
  <c r="SM21" i="3"/>
  <c r="SU21" i="3"/>
  <c r="TC21" i="3"/>
  <c r="TK21" i="3"/>
  <c r="TS21" i="3"/>
  <c r="UA21" i="3"/>
  <c r="UI21" i="3"/>
  <c r="UQ21" i="3"/>
  <c r="UY21" i="3"/>
  <c r="VG21" i="3"/>
  <c r="VO21" i="3"/>
  <c r="VW21" i="3"/>
  <c r="WE21" i="3"/>
  <c r="WM21" i="3"/>
  <c r="WU21" i="3"/>
  <c r="XC21" i="3"/>
  <c r="XK21" i="3"/>
  <c r="XS21" i="3"/>
  <c r="YA21" i="3"/>
  <c r="YI21" i="3"/>
  <c r="YQ21" i="3"/>
  <c r="YY21" i="3"/>
  <c r="ZG21" i="3"/>
  <c r="ZO21" i="3"/>
  <c r="ZW21" i="3"/>
  <c r="AAE21" i="3"/>
  <c r="AAM21" i="3"/>
  <c r="AAU21" i="3"/>
  <c r="ABC21" i="3"/>
  <c r="ABK21" i="3"/>
  <c r="ABS21" i="3"/>
  <c r="ACA21" i="3"/>
  <c r="ACI21" i="3"/>
  <c r="ACQ21" i="3"/>
  <c r="ACY21" i="3"/>
  <c r="ADG21" i="3"/>
  <c r="ADO21" i="3"/>
  <c r="ADW21" i="3"/>
  <c r="AEE21" i="3"/>
  <c r="AEM21" i="3"/>
  <c r="AEU21" i="3"/>
  <c r="AFC21" i="3"/>
  <c r="AFK21" i="3"/>
  <c r="AFS21" i="3"/>
  <c r="AGA21" i="3"/>
  <c r="AGI21" i="3"/>
  <c r="AGQ21" i="3"/>
  <c r="AGY21" i="3"/>
  <c r="AHG21" i="3"/>
  <c r="AHO21" i="3"/>
  <c r="AHW21" i="3"/>
  <c r="AIE21" i="3"/>
  <c r="AIM21" i="3"/>
  <c r="AIU21" i="3"/>
  <c r="AJC21" i="3"/>
  <c r="AJK21" i="3"/>
  <c r="AJS21" i="3"/>
  <c r="AKA21" i="3"/>
  <c r="AKI21" i="3"/>
  <c r="AKQ21" i="3"/>
  <c r="AKY21" i="3"/>
  <c r="ALG21" i="3"/>
  <c r="ALO21" i="3"/>
  <c r="T24" i="3"/>
  <c r="AJ24" i="3"/>
  <c r="AZ24" i="3"/>
  <c r="BP24" i="3"/>
  <c r="CF24" i="3"/>
  <c r="CV24" i="3"/>
  <c r="DL24" i="3"/>
  <c r="EB24" i="3"/>
  <c r="ER24" i="3"/>
  <c r="FH24" i="3"/>
  <c r="FX24" i="3"/>
  <c r="GN24" i="3"/>
  <c r="HD24" i="3"/>
  <c r="HT24" i="3"/>
  <c r="IJ24" i="3"/>
  <c r="IZ24" i="3"/>
  <c r="JP24" i="3"/>
  <c r="KF24" i="3"/>
  <c r="KV24" i="3"/>
  <c r="LL24" i="3"/>
  <c r="MB24" i="3"/>
  <c r="MR24" i="3"/>
  <c r="NH24" i="3"/>
  <c r="NX24" i="3"/>
  <c r="ON24" i="3"/>
  <c r="PD24" i="3"/>
  <c r="PT24" i="3"/>
  <c r="QJ24" i="3"/>
  <c r="QZ24" i="3"/>
  <c r="RP24" i="3"/>
  <c r="SF24" i="3"/>
  <c r="SV24" i="3"/>
  <c r="TL24" i="3"/>
  <c r="UB24" i="3"/>
  <c r="UR24" i="3"/>
  <c r="VH24" i="3"/>
  <c r="VX24" i="3"/>
  <c r="WN24" i="3"/>
  <c r="XD24" i="3"/>
  <c r="XT24" i="3"/>
  <c r="YJ24" i="3"/>
  <c r="YZ24" i="3"/>
  <c r="ZP24" i="3"/>
  <c r="AAF24" i="3"/>
  <c r="AAV24" i="3"/>
  <c r="ABL24" i="3"/>
  <c r="ACB24" i="3"/>
  <c r="ACR24" i="3"/>
  <c r="ADH24" i="3"/>
  <c r="ADX24" i="3"/>
  <c r="AEN24" i="3"/>
  <c r="AFD24" i="3"/>
  <c r="AFT24" i="3"/>
  <c r="AGJ24" i="3"/>
  <c r="AGZ24" i="3"/>
  <c r="AHP24" i="3"/>
  <c r="AIF24" i="3"/>
  <c r="AIV24" i="3"/>
  <c r="AJL24" i="3"/>
  <c r="AKB24" i="3"/>
  <c r="AKR24" i="3"/>
  <c r="ALH24" i="3"/>
  <c r="K25" i="3"/>
  <c r="AA25" i="3"/>
  <c r="AQ25" i="3"/>
  <c r="BG25" i="3"/>
  <c r="BW25" i="3"/>
  <c r="CM25" i="3"/>
  <c r="DC25" i="3"/>
  <c r="DS25" i="3"/>
  <c r="EI25" i="3"/>
  <c r="EY25" i="3"/>
  <c r="FO25" i="3"/>
  <c r="GE25" i="3"/>
  <c r="GU25" i="3"/>
  <c r="HK25" i="3"/>
  <c r="IA25" i="3"/>
  <c r="IQ25" i="3"/>
  <c r="JG25" i="3"/>
  <c r="JW25" i="3"/>
  <c r="KM25" i="3"/>
  <c r="LC25" i="3"/>
  <c r="LS25" i="3"/>
  <c r="MI25" i="3"/>
  <c r="MY25" i="3"/>
  <c r="NO25" i="3"/>
  <c r="OE25" i="3"/>
  <c r="OU25" i="3"/>
  <c r="PK25" i="3"/>
  <c r="QA25" i="3"/>
  <c r="QQ25" i="3"/>
  <c r="RG25" i="3"/>
  <c r="RW25" i="3"/>
  <c r="SM25" i="3"/>
  <c r="TC25" i="3"/>
  <c r="TS25" i="3"/>
  <c r="UI25" i="3"/>
  <c r="UY25" i="3"/>
  <c r="VO25" i="3"/>
  <c r="WE25" i="3"/>
  <c r="WU25" i="3"/>
  <c r="XK25" i="3"/>
  <c r="YA25" i="3"/>
  <c r="YQ25" i="3"/>
  <c r="ZG25" i="3"/>
  <c r="ZW25" i="3"/>
  <c r="AAM25" i="3"/>
  <c r="ABC25" i="3"/>
  <c r="ABS25" i="3"/>
  <c r="ACI25" i="3"/>
  <c r="ACY25" i="3"/>
  <c r="ADO25" i="3"/>
  <c r="AEE25" i="3"/>
  <c r="AEU25" i="3"/>
  <c r="AFK25" i="3"/>
  <c r="AGA25" i="3"/>
  <c r="AGQ25" i="3"/>
  <c r="AHG25" i="3"/>
  <c r="AHW25" i="3"/>
  <c r="AIM25" i="3"/>
  <c r="AJC25" i="3"/>
  <c r="AJS25" i="3"/>
  <c r="AKI25" i="3"/>
  <c r="AKY25" i="3"/>
  <c r="ALO25" i="3"/>
  <c r="P28" i="3"/>
  <c r="AF28" i="3"/>
  <c r="AV28" i="3"/>
  <c r="BL28" i="3"/>
  <c r="CB28" i="3"/>
  <c r="CR28" i="3"/>
  <c r="DH28" i="3"/>
  <c r="DX28" i="3"/>
  <c r="EN28" i="3"/>
  <c r="FD28" i="3"/>
  <c r="FT28" i="3"/>
  <c r="GJ28" i="3"/>
  <c r="GZ28" i="3"/>
  <c r="HP28" i="3"/>
  <c r="IF28" i="3"/>
  <c r="IV28" i="3"/>
  <c r="JL28" i="3"/>
  <c r="KB28" i="3"/>
  <c r="KR28" i="3"/>
  <c r="LH28" i="3"/>
  <c r="ME28" i="3"/>
  <c r="NK28" i="3"/>
  <c r="OQ28" i="3"/>
  <c r="PW28" i="3"/>
  <c r="RC28" i="3"/>
  <c r="SI28" i="3"/>
  <c r="TO28" i="3"/>
  <c r="UU28" i="3"/>
  <c r="WA28" i="3"/>
  <c r="XG28" i="3"/>
  <c r="YM28" i="3"/>
  <c r="ZS28" i="3"/>
  <c r="AAY28" i="3"/>
  <c r="ACE28" i="3"/>
  <c r="ADK28" i="3"/>
  <c r="AEQ28" i="3"/>
  <c r="AFW28" i="3"/>
  <c r="AHC28" i="3"/>
  <c r="AII28" i="3"/>
  <c r="AJO28" i="3"/>
  <c r="AKU28" i="3"/>
  <c r="Y29" i="3"/>
  <c r="CK29" i="3"/>
  <c r="EW29" i="3"/>
  <c r="HI29" i="3"/>
  <c r="JU29" i="3"/>
  <c r="MG29" i="3"/>
  <c r="OS29" i="3"/>
  <c r="RE29" i="3"/>
  <c r="TQ29" i="3"/>
  <c r="WC29" i="3"/>
  <c r="YO29" i="3"/>
  <c r="ABA29" i="3"/>
  <c r="ADM29" i="3"/>
  <c r="AFY29" i="3"/>
  <c r="AIK29" i="3"/>
  <c r="AKW29" i="3"/>
  <c r="AV30" i="3"/>
  <c r="DH30" i="3"/>
  <c r="FT30" i="3"/>
  <c r="IF30" i="3"/>
  <c r="KR30" i="3"/>
  <c r="ND30" i="3"/>
  <c r="PP30" i="3"/>
  <c r="SB30" i="3"/>
  <c r="UN30" i="3"/>
  <c r="WZ30" i="3"/>
  <c r="ZL30" i="3"/>
  <c r="ABX30" i="3"/>
  <c r="AEJ30" i="3"/>
  <c r="AGV30" i="3"/>
  <c r="AJH30" i="3"/>
  <c r="Y5" i="4"/>
  <c r="Y4" i="4"/>
  <c r="Y6" i="4"/>
  <c r="Y3" i="4"/>
  <c r="Y7" i="4"/>
  <c r="AO5" i="4"/>
  <c r="AO4" i="4"/>
  <c r="AO2" i="4"/>
  <c r="AO7" i="4"/>
  <c r="AO6" i="4"/>
  <c r="AO3" i="4"/>
  <c r="AC7" i="5"/>
  <c r="AC3" i="5"/>
  <c r="AC6" i="5"/>
  <c r="AC2" i="5"/>
  <c r="AC9" i="5"/>
  <c r="AC8" i="5"/>
  <c r="AC4" i="5"/>
  <c r="AC5" i="5"/>
  <c r="AS7" i="5"/>
  <c r="AS3" i="5"/>
  <c r="AS6" i="5"/>
  <c r="AS2" i="5"/>
  <c r="AS5" i="5"/>
  <c r="AS4" i="5"/>
  <c r="AS9" i="5"/>
  <c r="AS8" i="5"/>
  <c r="AC6" i="4"/>
  <c r="AS2" i="4"/>
  <c r="U7" i="4"/>
  <c r="U4" i="4"/>
  <c r="AK3" i="4"/>
  <c r="AC5" i="4"/>
  <c r="AC2" i="4"/>
  <c r="AS6" i="4"/>
  <c r="Q5" i="4"/>
  <c r="Y2" i="6"/>
  <c r="Y4" i="6"/>
  <c r="Y9" i="6"/>
  <c r="AO2" i="6"/>
  <c r="AO9" i="6"/>
  <c r="AO4" i="6"/>
  <c r="AO3" i="6"/>
  <c r="Q7" i="4"/>
  <c r="Q3" i="4"/>
  <c r="Q6" i="4"/>
  <c r="Q2" i="4"/>
  <c r="AG7" i="4"/>
  <c r="AG3" i="4"/>
  <c r="AG6" i="4"/>
  <c r="AG2" i="4"/>
  <c r="Y5" i="5"/>
  <c r="AO9" i="5"/>
  <c r="Q6" i="5"/>
  <c r="Q2" i="5"/>
  <c r="Q9" i="5"/>
  <c r="Q5" i="5"/>
  <c r="Q4" i="5"/>
  <c r="Q3" i="5"/>
  <c r="Q8" i="5"/>
  <c r="AG6" i="5"/>
  <c r="AG2" i="5"/>
  <c r="AG9" i="5"/>
  <c r="AG5" i="5"/>
  <c r="AG8" i="5"/>
  <c r="AG7" i="5"/>
  <c r="AG4" i="5"/>
  <c r="AG4" i="4"/>
  <c r="AC4" i="4"/>
  <c r="AC7" i="4"/>
  <c r="AC3" i="4"/>
  <c r="AS4" i="4"/>
  <c r="AS7" i="4"/>
  <c r="AS3" i="4"/>
  <c r="U6" i="4"/>
  <c r="U2" i="4"/>
  <c r="U5" i="4"/>
  <c r="AK6" i="4"/>
  <c r="AK2" i="4"/>
  <c r="AK5" i="4"/>
  <c r="Y8" i="5"/>
  <c r="Y4" i="5"/>
  <c r="Y7" i="5"/>
  <c r="Y3" i="5"/>
  <c r="Y2" i="5"/>
  <c r="Y9" i="5"/>
  <c r="AO8" i="5"/>
  <c r="AO4" i="5"/>
  <c r="AO7" i="5"/>
  <c r="AO3" i="5"/>
  <c r="AO6" i="5"/>
  <c r="AO5" i="5"/>
  <c r="U3" i="5"/>
  <c r="U2" i="5"/>
  <c r="AK7" i="5"/>
  <c r="AK6" i="5"/>
  <c r="U9" i="5"/>
  <c r="U5" i="5"/>
  <c r="U8" i="5"/>
  <c r="U4" i="5"/>
  <c r="AK9" i="5"/>
  <c r="AK5" i="5"/>
  <c r="AK8" i="5"/>
  <c r="AK4" i="5"/>
  <c r="AC4" i="6"/>
  <c r="AC2" i="6"/>
  <c r="AS2" i="6"/>
  <c r="AS4" i="6"/>
  <c r="AG3" i="6"/>
  <c r="U3" i="6"/>
  <c r="U10" i="6" s="1"/>
  <c r="U9" i="6"/>
  <c r="AK3" i="6"/>
  <c r="AK9" i="6"/>
  <c r="AK4" i="6"/>
  <c r="AK2" i="6"/>
  <c r="Q4" i="6"/>
  <c r="Q2" i="6"/>
  <c r="AG4" i="6"/>
  <c r="AG2" i="6"/>
  <c r="AC3" i="6"/>
  <c r="AS3" i="6"/>
  <c r="AG9" i="6"/>
  <c r="AC9" i="6"/>
  <c r="AS9" i="6"/>
  <c r="Y8" i="4" l="1"/>
  <c r="Q10" i="6"/>
  <c r="AC10" i="6"/>
  <c r="AO10" i="5"/>
  <c r="AC8" i="4"/>
  <c r="AG10" i="5"/>
  <c r="M55" i="5"/>
  <c r="I55" i="5"/>
  <c r="L55" i="5"/>
  <c r="H55" i="5"/>
  <c r="G55" i="5"/>
  <c r="F55" i="5"/>
  <c r="K55" i="5"/>
  <c r="J55" i="5"/>
  <c r="L54" i="6"/>
  <c r="H54" i="6"/>
  <c r="K54" i="6"/>
  <c r="G54" i="6"/>
  <c r="I54" i="6"/>
  <c r="F54" i="6"/>
  <c r="M54" i="6"/>
  <c r="J54" i="6"/>
  <c r="K50" i="4"/>
  <c r="G50" i="4"/>
  <c r="J50" i="4"/>
  <c r="F50" i="4"/>
  <c r="M50" i="4"/>
  <c r="L50" i="4"/>
  <c r="I50" i="4"/>
  <c r="H50" i="4"/>
  <c r="L51" i="5"/>
  <c r="H51" i="5"/>
  <c r="K51" i="5"/>
  <c r="G51" i="5"/>
  <c r="M51" i="5"/>
  <c r="J51" i="5"/>
  <c r="I51" i="5"/>
  <c r="F51" i="5"/>
  <c r="L50" i="6"/>
  <c r="H50" i="6"/>
  <c r="K50" i="6"/>
  <c r="G50" i="6"/>
  <c r="M50" i="6"/>
  <c r="J50" i="6"/>
  <c r="I50" i="6"/>
  <c r="F50" i="6"/>
  <c r="K46" i="4"/>
  <c r="G46" i="4"/>
  <c r="J46" i="4"/>
  <c r="F46" i="4"/>
  <c r="I46" i="4"/>
  <c r="H46" i="4"/>
  <c r="M46" i="4"/>
  <c r="L46" i="4"/>
  <c r="K46" i="5"/>
  <c r="G46" i="5"/>
  <c r="J46" i="5"/>
  <c r="F46" i="5"/>
  <c r="L46" i="5"/>
  <c r="I46" i="5"/>
  <c r="H46" i="5"/>
  <c r="M46" i="5"/>
  <c r="K41" i="6"/>
  <c r="G41" i="6"/>
  <c r="J41" i="6"/>
  <c r="F41" i="6"/>
  <c r="H41" i="6"/>
  <c r="M41" i="6"/>
  <c r="L41" i="6"/>
  <c r="I41" i="6"/>
  <c r="J33" i="5"/>
  <c r="F33" i="5"/>
  <c r="M33" i="5"/>
  <c r="I33" i="5"/>
  <c r="K33" i="5"/>
  <c r="H33" i="5"/>
  <c r="G33" i="5"/>
  <c r="L33" i="5"/>
  <c r="K30" i="5"/>
  <c r="G30" i="5"/>
  <c r="J30" i="5"/>
  <c r="F30" i="5"/>
  <c r="L30" i="5"/>
  <c r="I30" i="5"/>
  <c r="H30" i="5"/>
  <c r="M30" i="5"/>
  <c r="M26" i="6"/>
  <c r="I26" i="6"/>
  <c r="L26" i="6"/>
  <c r="H26" i="6"/>
  <c r="K26" i="6"/>
  <c r="G26" i="6"/>
  <c r="J26" i="6"/>
  <c r="F26" i="6"/>
  <c r="J17" i="4"/>
  <c r="F17" i="4"/>
  <c r="M17" i="4"/>
  <c r="I17" i="4"/>
  <c r="H17" i="4"/>
  <c r="G17" i="4"/>
  <c r="K17" i="4"/>
  <c r="L17" i="4"/>
  <c r="L15" i="4"/>
  <c r="H15" i="4"/>
  <c r="K15" i="4"/>
  <c r="G15" i="4"/>
  <c r="F15" i="4"/>
  <c r="M15" i="4"/>
  <c r="J15" i="4"/>
  <c r="I15" i="4"/>
  <c r="K16" i="6"/>
  <c r="G16" i="6"/>
  <c r="J16" i="6"/>
  <c r="F16" i="6"/>
  <c r="M16" i="6"/>
  <c r="I16" i="6"/>
  <c r="L16" i="6"/>
  <c r="H16" i="6"/>
  <c r="M12" i="4"/>
  <c r="I12" i="4"/>
  <c r="L12" i="4"/>
  <c r="H12" i="4"/>
  <c r="G12" i="4"/>
  <c r="F12" i="4"/>
  <c r="K12" i="4"/>
  <c r="J12" i="4"/>
  <c r="L179" i="4"/>
  <c r="H179" i="4"/>
  <c r="K179" i="4"/>
  <c r="G179" i="4"/>
  <c r="F179" i="4"/>
  <c r="M179" i="4"/>
  <c r="J179" i="4"/>
  <c r="I179" i="4"/>
  <c r="M180" i="5"/>
  <c r="I180" i="5"/>
  <c r="K180" i="5"/>
  <c r="G180" i="5"/>
  <c r="H180" i="5"/>
  <c r="F180" i="5"/>
  <c r="L180" i="5"/>
  <c r="J180" i="5"/>
  <c r="L179" i="6"/>
  <c r="H179" i="6"/>
  <c r="J179" i="6"/>
  <c r="F179" i="6"/>
  <c r="I179" i="6"/>
  <c r="G179" i="6"/>
  <c r="M179" i="6"/>
  <c r="K179" i="6"/>
  <c r="L175" i="4"/>
  <c r="H175" i="4"/>
  <c r="K175" i="4"/>
  <c r="G175" i="4"/>
  <c r="J175" i="4"/>
  <c r="I175" i="4"/>
  <c r="M175" i="4"/>
  <c r="F175" i="4"/>
  <c r="M176" i="5"/>
  <c r="I176" i="5"/>
  <c r="K176" i="5"/>
  <c r="G176" i="5"/>
  <c r="L176" i="5"/>
  <c r="J176" i="5"/>
  <c r="F176" i="5"/>
  <c r="H176" i="5"/>
  <c r="L175" i="6"/>
  <c r="H175" i="6"/>
  <c r="J175" i="6"/>
  <c r="F175" i="6"/>
  <c r="M175" i="6"/>
  <c r="I175" i="6"/>
  <c r="G175" i="6"/>
  <c r="K175" i="6"/>
  <c r="L171" i="4"/>
  <c r="H171" i="4"/>
  <c r="K171" i="4"/>
  <c r="G171" i="4"/>
  <c r="F171" i="4"/>
  <c r="M171" i="4"/>
  <c r="J171" i="4"/>
  <c r="I171" i="4"/>
  <c r="M172" i="5"/>
  <c r="I172" i="5"/>
  <c r="K172" i="5"/>
  <c r="G172" i="5"/>
  <c r="H172" i="5"/>
  <c r="F172" i="5"/>
  <c r="L172" i="5"/>
  <c r="J172" i="5"/>
  <c r="L171" i="6"/>
  <c r="H171" i="6"/>
  <c r="J171" i="6"/>
  <c r="F171" i="6"/>
  <c r="I171" i="6"/>
  <c r="K171" i="6"/>
  <c r="G171" i="6"/>
  <c r="M171" i="6"/>
  <c r="L167" i="4"/>
  <c r="H167" i="4"/>
  <c r="K167" i="4"/>
  <c r="G167" i="4"/>
  <c r="J167" i="4"/>
  <c r="I167" i="4"/>
  <c r="F167" i="4"/>
  <c r="M167" i="4"/>
  <c r="M168" i="5"/>
  <c r="I168" i="5"/>
  <c r="H168" i="5"/>
  <c r="L168" i="5"/>
  <c r="G168" i="5"/>
  <c r="K168" i="5"/>
  <c r="J168" i="5"/>
  <c r="F168" i="5"/>
  <c r="L167" i="6"/>
  <c r="H167" i="6"/>
  <c r="J167" i="6"/>
  <c r="F167" i="6"/>
  <c r="M167" i="6"/>
  <c r="K167" i="6"/>
  <c r="I167" i="6"/>
  <c r="G167" i="6"/>
  <c r="K163" i="4"/>
  <c r="G163" i="4"/>
  <c r="J163" i="4"/>
  <c r="F163" i="4"/>
  <c r="I163" i="4"/>
  <c r="H163" i="4"/>
  <c r="M163" i="4"/>
  <c r="L163" i="4"/>
  <c r="M164" i="5"/>
  <c r="I164" i="5"/>
  <c r="J164" i="5"/>
  <c r="H164" i="5"/>
  <c r="L164" i="5"/>
  <c r="K164" i="5"/>
  <c r="G164" i="5"/>
  <c r="F164" i="5"/>
  <c r="L163" i="6"/>
  <c r="H163" i="6"/>
  <c r="J163" i="6"/>
  <c r="F163" i="6"/>
  <c r="I163" i="6"/>
  <c r="M163" i="6"/>
  <c r="K163" i="6"/>
  <c r="G163" i="6"/>
  <c r="K159" i="4"/>
  <c r="G159" i="4"/>
  <c r="J159" i="4"/>
  <c r="F159" i="4"/>
  <c r="M159" i="4"/>
  <c r="L159" i="4"/>
  <c r="I159" i="4"/>
  <c r="H159" i="4"/>
  <c r="M160" i="5"/>
  <c r="I160" i="5"/>
  <c r="K160" i="5"/>
  <c r="F160" i="5"/>
  <c r="J160" i="5"/>
  <c r="L160" i="5"/>
  <c r="H160" i="5"/>
  <c r="G160" i="5"/>
  <c r="L159" i="6"/>
  <c r="H159" i="6"/>
  <c r="K159" i="6"/>
  <c r="F159" i="6"/>
  <c r="J159" i="6"/>
  <c r="I159" i="6"/>
  <c r="G159" i="6"/>
  <c r="M159" i="6"/>
  <c r="K155" i="4"/>
  <c r="G155" i="4"/>
  <c r="J155" i="4"/>
  <c r="F155" i="4"/>
  <c r="I155" i="4"/>
  <c r="H155" i="4"/>
  <c r="M155" i="4"/>
  <c r="L155" i="4"/>
  <c r="M156" i="5"/>
  <c r="I156" i="5"/>
  <c r="L156" i="5"/>
  <c r="G156" i="5"/>
  <c r="K156" i="5"/>
  <c r="F156" i="5"/>
  <c r="J156" i="5"/>
  <c r="H156" i="5"/>
  <c r="L155" i="6"/>
  <c r="H155" i="6"/>
  <c r="M155" i="6"/>
  <c r="G155" i="6"/>
  <c r="K155" i="6"/>
  <c r="J155" i="6"/>
  <c r="I155" i="6"/>
  <c r="F155" i="6"/>
  <c r="K151" i="4"/>
  <c r="G151" i="4"/>
  <c r="J151" i="4"/>
  <c r="F151" i="4"/>
  <c r="M151" i="4"/>
  <c r="L151" i="4"/>
  <c r="I151" i="4"/>
  <c r="H151" i="4"/>
  <c r="M152" i="5"/>
  <c r="I152" i="5"/>
  <c r="H152" i="5"/>
  <c r="L152" i="5"/>
  <c r="G152" i="5"/>
  <c r="F152" i="5"/>
  <c r="K152" i="5"/>
  <c r="J152" i="5"/>
  <c r="J151" i="6"/>
  <c r="F151" i="6"/>
  <c r="M151" i="6"/>
  <c r="H151" i="6"/>
  <c r="L151" i="6"/>
  <c r="G151" i="6"/>
  <c r="K151" i="6"/>
  <c r="I151" i="6"/>
  <c r="K147" i="4"/>
  <c r="G147" i="4"/>
  <c r="J147" i="4"/>
  <c r="F147" i="4"/>
  <c r="I147" i="4"/>
  <c r="H147" i="4"/>
  <c r="M147" i="4"/>
  <c r="L147" i="4"/>
  <c r="M148" i="5"/>
  <c r="I148" i="5"/>
  <c r="J148" i="5"/>
  <c r="H148" i="5"/>
  <c r="G148" i="5"/>
  <c r="F148" i="5"/>
  <c r="L148" i="5"/>
  <c r="K148" i="5"/>
  <c r="J147" i="6"/>
  <c r="F147" i="6"/>
  <c r="I147" i="6"/>
  <c r="M147" i="6"/>
  <c r="H147" i="6"/>
  <c r="L147" i="6"/>
  <c r="K147" i="6"/>
  <c r="G147" i="6"/>
  <c r="K143" i="4"/>
  <c r="G143" i="4"/>
  <c r="J143" i="4"/>
  <c r="F143" i="4"/>
  <c r="M143" i="4"/>
  <c r="L143" i="4"/>
  <c r="I143" i="4"/>
  <c r="H143" i="4"/>
  <c r="M144" i="5"/>
  <c r="I144" i="5"/>
  <c r="K144" i="5"/>
  <c r="F144" i="5"/>
  <c r="J144" i="5"/>
  <c r="H144" i="5"/>
  <c r="G144" i="5"/>
  <c r="L144" i="5"/>
  <c r="J143" i="6"/>
  <c r="F143" i="6"/>
  <c r="K143" i="6"/>
  <c r="I143" i="6"/>
  <c r="M143" i="6"/>
  <c r="L143" i="6"/>
  <c r="H143" i="6"/>
  <c r="G143" i="6"/>
  <c r="K139" i="4"/>
  <c r="G139" i="4"/>
  <c r="J139" i="4"/>
  <c r="F139" i="4"/>
  <c r="I139" i="4"/>
  <c r="H139" i="4"/>
  <c r="M139" i="4"/>
  <c r="L139" i="4"/>
  <c r="J138" i="4"/>
  <c r="F138" i="4"/>
  <c r="M138" i="4"/>
  <c r="I138" i="4"/>
  <c r="L138" i="4"/>
  <c r="K138" i="4"/>
  <c r="H138" i="4"/>
  <c r="G138" i="4"/>
  <c r="J139" i="6"/>
  <c r="F139" i="6"/>
  <c r="L139" i="6"/>
  <c r="G139" i="6"/>
  <c r="K139" i="6"/>
  <c r="M139" i="6"/>
  <c r="I139" i="6"/>
  <c r="H139" i="6"/>
  <c r="J137" i="5"/>
  <c r="F137" i="5"/>
  <c r="M137" i="5"/>
  <c r="H137" i="5"/>
  <c r="L137" i="5"/>
  <c r="G137" i="5"/>
  <c r="K137" i="5"/>
  <c r="I137" i="5"/>
  <c r="M136" i="5"/>
  <c r="I136" i="5"/>
  <c r="H136" i="5"/>
  <c r="L136" i="5"/>
  <c r="G136" i="5"/>
  <c r="K136" i="5"/>
  <c r="J136" i="5"/>
  <c r="F136" i="5"/>
  <c r="J135" i="6"/>
  <c r="F135" i="6"/>
  <c r="M135" i="6"/>
  <c r="H135" i="6"/>
  <c r="L135" i="6"/>
  <c r="G135" i="6"/>
  <c r="K135" i="6"/>
  <c r="I135" i="6"/>
  <c r="K131" i="4"/>
  <c r="G131" i="4"/>
  <c r="J131" i="4"/>
  <c r="F131" i="4"/>
  <c r="I131" i="4"/>
  <c r="H131" i="4"/>
  <c r="M131" i="4"/>
  <c r="L131" i="4"/>
  <c r="M132" i="5"/>
  <c r="I132" i="5"/>
  <c r="J132" i="5"/>
  <c r="H132" i="5"/>
  <c r="L132" i="5"/>
  <c r="K132" i="5"/>
  <c r="F132" i="5"/>
  <c r="G132" i="5"/>
  <c r="J131" i="6"/>
  <c r="F131" i="6"/>
  <c r="I131" i="6"/>
  <c r="M131" i="6"/>
  <c r="H131" i="6"/>
  <c r="G131" i="6"/>
  <c r="L131" i="6"/>
  <c r="K131" i="6"/>
  <c r="K127" i="4"/>
  <c r="G127" i="4"/>
  <c r="J127" i="4"/>
  <c r="F127" i="4"/>
  <c r="M127" i="4"/>
  <c r="L127" i="4"/>
  <c r="I127" i="4"/>
  <c r="H127" i="4"/>
  <c r="M128" i="5"/>
  <c r="I128" i="5"/>
  <c r="K128" i="5"/>
  <c r="F128" i="5"/>
  <c r="J128" i="5"/>
  <c r="L128" i="5"/>
  <c r="G128" i="5"/>
  <c r="H128" i="5"/>
  <c r="J127" i="6"/>
  <c r="F127" i="6"/>
  <c r="K127" i="6"/>
  <c r="L127" i="6"/>
  <c r="I127" i="6"/>
  <c r="M127" i="6"/>
  <c r="H127" i="6"/>
  <c r="G127" i="6"/>
  <c r="K123" i="4"/>
  <c r="G123" i="4"/>
  <c r="J123" i="4"/>
  <c r="F123" i="4"/>
  <c r="I123" i="4"/>
  <c r="H123" i="4"/>
  <c r="M123" i="4"/>
  <c r="L123" i="4"/>
  <c r="M124" i="5"/>
  <c r="I124" i="5"/>
  <c r="L124" i="5"/>
  <c r="G124" i="5"/>
  <c r="K124" i="5"/>
  <c r="F124" i="5"/>
  <c r="H124" i="5"/>
  <c r="J124" i="5"/>
  <c r="J123" i="6"/>
  <c r="F123" i="6"/>
  <c r="L123" i="6"/>
  <c r="G123" i="6"/>
  <c r="M123" i="6"/>
  <c r="K123" i="6"/>
  <c r="I123" i="6"/>
  <c r="H123" i="6"/>
  <c r="K119" i="4"/>
  <c r="G119" i="4"/>
  <c r="J119" i="4"/>
  <c r="F119" i="4"/>
  <c r="M119" i="4"/>
  <c r="L119" i="4"/>
  <c r="I119" i="4"/>
  <c r="H119" i="4"/>
  <c r="M120" i="5"/>
  <c r="I120" i="5"/>
  <c r="H120" i="5"/>
  <c r="L120" i="5"/>
  <c r="G120" i="5"/>
  <c r="F120" i="5"/>
  <c r="J120" i="5"/>
  <c r="K120" i="5"/>
  <c r="J119" i="6"/>
  <c r="F119" i="6"/>
  <c r="M119" i="6"/>
  <c r="H119" i="6"/>
  <c r="G119" i="6"/>
  <c r="L119" i="6"/>
  <c r="K119" i="6"/>
  <c r="I119" i="6"/>
  <c r="K115" i="4"/>
  <c r="G115" i="4"/>
  <c r="J115" i="4"/>
  <c r="F115" i="4"/>
  <c r="I115" i="4"/>
  <c r="H115" i="4"/>
  <c r="M115" i="4"/>
  <c r="L115" i="4"/>
  <c r="M116" i="5"/>
  <c r="I116" i="5"/>
  <c r="J116" i="5"/>
  <c r="H116" i="5"/>
  <c r="G116" i="5"/>
  <c r="F116" i="5"/>
  <c r="K116" i="5"/>
  <c r="L116" i="5"/>
  <c r="J115" i="6"/>
  <c r="F115" i="6"/>
  <c r="I115" i="6"/>
  <c r="H115" i="6"/>
  <c r="M115" i="6"/>
  <c r="G115" i="6"/>
  <c r="L115" i="6"/>
  <c r="K115" i="6"/>
  <c r="K111" i="4"/>
  <c r="G111" i="4"/>
  <c r="J111" i="4"/>
  <c r="F111" i="4"/>
  <c r="M111" i="4"/>
  <c r="L111" i="4"/>
  <c r="I111" i="4"/>
  <c r="H111" i="4"/>
  <c r="J112" i="5"/>
  <c r="F112" i="5"/>
  <c r="M112" i="5"/>
  <c r="I112" i="5"/>
  <c r="L112" i="5"/>
  <c r="K112" i="5"/>
  <c r="H112" i="5"/>
  <c r="G112" i="5"/>
  <c r="J111" i="6"/>
  <c r="F111" i="6"/>
  <c r="K111" i="6"/>
  <c r="I111" i="6"/>
  <c r="H111" i="6"/>
  <c r="G111" i="6"/>
  <c r="M111" i="6"/>
  <c r="L111" i="6"/>
  <c r="K107" i="4"/>
  <c r="G107" i="4"/>
  <c r="J107" i="4"/>
  <c r="F107" i="4"/>
  <c r="I107" i="4"/>
  <c r="H107" i="4"/>
  <c r="M107" i="4"/>
  <c r="L107" i="4"/>
  <c r="J108" i="5"/>
  <c r="F108" i="5"/>
  <c r="M108" i="5"/>
  <c r="I108" i="5"/>
  <c r="H108" i="5"/>
  <c r="G108" i="5"/>
  <c r="K108" i="5"/>
  <c r="L108" i="5"/>
  <c r="L107" i="6"/>
  <c r="H107" i="6"/>
  <c r="K107" i="6"/>
  <c r="F107" i="6"/>
  <c r="J107" i="6"/>
  <c r="I107" i="6"/>
  <c r="G107" i="6"/>
  <c r="M107" i="6"/>
  <c r="K105" i="5"/>
  <c r="G105" i="5"/>
  <c r="J105" i="5"/>
  <c r="F105" i="5"/>
  <c r="I105" i="5"/>
  <c r="H105" i="5"/>
  <c r="L105" i="5"/>
  <c r="M105" i="5"/>
  <c r="J104" i="5"/>
  <c r="F104" i="5"/>
  <c r="M104" i="5"/>
  <c r="I104" i="5"/>
  <c r="L104" i="5"/>
  <c r="K104" i="5"/>
  <c r="G104" i="5"/>
  <c r="H104" i="5"/>
  <c r="L103" i="6"/>
  <c r="H103" i="6"/>
  <c r="M103" i="6"/>
  <c r="G103" i="6"/>
  <c r="K103" i="6"/>
  <c r="F103" i="6"/>
  <c r="J103" i="6"/>
  <c r="I103" i="6"/>
  <c r="L99" i="4"/>
  <c r="H99" i="4"/>
  <c r="K99" i="4"/>
  <c r="G99" i="4"/>
  <c r="J99" i="4"/>
  <c r="I99" i="4"/>
  <c r="F99" i="4"/>
  <c r="M99" i="4"/>
  <c r="J100" i="5"/>
  <c r="F100" i="5"/>
  <c r="M100" i="5"/>
  <c r="I100" i="5"/>
  <c r="H100" i="5"/>
  <c r="G100" i="5"/>
  <c r="L100" i="5"/>
  <c r="K100" i="5"/>
  <c r="L99" i="6"/>
  <c r="H99" i="6"/>
  <c r="I99" i="6"/>
  <c r="M99" i="6"/>
  <c r="G99" i="6"/>
  <c r="K99" i="6"/>
  <c r="J99" i="6"/>
  <c r="F99" i="6"/>
  <c r="L95" i="4"/>
  <c r="H95" i="4"/>
  <c r="K95" i="4"/>
  <c r="G95" i="4"/>
  <c r="F95" i="4"/>
  <c r="M95" i="4"/>
  <c r="J95" i="4"/>
  <c r="I95" i="4"/>
  <c r="J96" i="5"/>
  <c r="F96" i="5"/>
  <c r="M96" i="5"/>
  <c r="I96" i="5"/>
  <c r="L96" i="5"/>
  <c r="K96" i="5"/>
  <c r="H96" i="5"/>
  <c r="G96" i="5"/>
  <c r="L95" i="6"/>
  <c r="J95" i="6"/>
  <c r="F95" i="6"/>
  <c r="I95" i="6"/>
  <c r="M95" i="6"/>
  <c r="K95" i="6"/>
  <c r="H95" i="6"/>
  <c r="G95" i="6"/>
  <c r="L91" i="4"/>
  <c r="H91" i="4"/>
  <c r="K91" i="4"/>
  <c r="G91" i="4"/>
  <c r="J91" i="4"/>
  <c r="I91" i="4"/>
  <c r="F91" i="4"/>
  <c r="M91" i="4"/>
  <c r="J92" i="5"/>
  <c r="F92" i="5"/>
  <c r="M92" i="5"/>
  <c r="I92" i="5"/>
  <c r="H92" i="5"/>
  <c r="G92" i="5"/>
  <c r="K92" i="5"/>
  <c r="L92" i="5"/>
  <c r="J91" i="6"/>
  <c r="F91" i="6"/>
  <c r="M91" i="6"/>
  <c r="I91" i="6"/>
  <c r="H91" i="6"/>
  <c r="G91" i="6"/>
  <c r="L91" i="6"/>
  <c r="K91" i="6"/>
  <c r="L87" i="4"/>
  <c r="H87" i="4"/>
  <c r="K87" i="4"/>
  <c r="G87" i="4"/>
  <c r="F87" i="4"/>
  <c r="M87" i="4"/>
  <c r="J87" i="4"/>
  <c r="I87" i="4"/>
  <c r="J88" i="5"/>
  <c r="F88" i="5"/>
  <c r="M88" i="5"/>
  <c r="I88" i="5"/>
  <c r="L88" i="5"/>
  <c r="K88" i="5"/>
  <c r="G88" i="5"/>
  <c r="H88" i="5"/>
  <c r="J87" i="6"/>
  <c r="F87" i="6"/>
  <c r="M87" i="6"/>
  <c r="I87" i="6"/>
  <c r="L87" i="6"/>
  <c r="K87" i="6"/>
  <c r="H87" i="6"/>
  <c r="G87" i="6"/>
  <c r="L83" i="4"/>
  <c r="H83" i="4"/>
  <c r="K83" i="4"/>
  <c r="G83" i="4"/>
  <c r="J83" i="4"/>
  <c r="I83" i="4"/>
  <c r="F83" i="4"/>
  <c r="M83" i="4"/>
  <c r="J84" i="5"/>
  <c r="F84" i="5"/>
  <c r="M84" i="5"/>
  <c r="I84" i="5"/>
  <c r="H84" i="5"/>
  <c r="G84" i="5"/>
  <c r="L84" i="5"/>
  <c r="K84" i="5"/>
  <c r="J83" i="6"/>
  <c r="F83" i="6"/>
  <c r="M83" i="6"/>
  <c r="I83" i="6"/>
  <c r="H83" i="6"/>
  <c r="G83" i="6"/>
  <c r="L83" i="6"/>
  <c r="K83" i="6"/>
  <c r="L79" i="4"/>
  <c r="H79" i="4"/>
  <c r="K79" i="4"/>
  <c r="G79" i="4"/>
  <c r="F79" i="4"/>
  <c r="M79" i="4"/>
  <c r="J79" i="4"/>
  <c r="I79" i="4"/>
  <c r="J80" i="5"/>
  <c r="F80" i="5"/>
  <c r="M80" i="5"/>
  <c r="I80" i="5"/>
  <c r="L80" i="5"/>
  <c r="K80" i="5"/>
  <c r="H80" i="5"/>
  <c r="G80" i="5"/>
  <c r="J79" i="6"/>
  <c r="F79" i="6"/>
  <c r="M79" i="6"/>
  <c r="I79" i="6"/>
  <c r="L79" i="6"/>
  <c r="K79" i="6"/>
  <c r="H79" i="6"/>
  <c r="G79" i="6"/>
  <c r="L75" i="4"/>
  <c r="H75" i="4"/>
  <c r="K75" i="4"/>
  <c r="G75" i="4"/>
  <c r="J75" i="4"/>
  <c r="I75" i="4"/>
  <c r="F75" i="4"/>
  <c r="M75" i="4"/>
  <c r="J76" i="5"/>
  <c r="F76" i="5"/>
  <c r="M76" i="5"/>
  <c r="I76" i="5"/>
  <c r="H76" i="5"/>
  <c r="G76" i="5"/>
  <c r="K76" i="5"/>
  <c r="L76" i="5"/>
  <c r="J75" i="6"/>
  <c r="F75" i="6"/>
  <c r="M75" i="6"/>
  <c r="I75" i="6"/>
  <c r="H75" i="6"/>
  <c r="G75" i="6"/>
  <c r="L75" i="6"/>
  <c r="K75" i="6"/>
  <c r="K73" i="5"/>
  <c r="G73" i="5"/>
  <c r="J73" i="5"/>
  <c r="F73" i="5"/>
  <c r="I73" i="5"/>
  <c r="H73" i="5"/>
  <c r="L73" i="5"/>
  <c r="M73" i="5"/>
  <c r="J72" i="5"/>
  <c r="F72" i="5"/>
  <c r="M72" i="5"/>
  <c r="I72" i="5"/>
  <c r="L72" i="5"/>
  <c r="K72" i="5"/>
  <c r="G72" i="5"/>
  <c r="H72" i="5"/>
  <c r="J71" i="6"/>
  <c r="F71" i="6"/>
  <c r="M71" i="6"/>
  <c r="I71" i="6"/>
  <c r="L71" i="6"/>
  <c r="K71" i="6"/>
  <c r="H71" i="6"/>
  <c r="G71" i="6"/>
  <c r="L67" i="4"/>
  <c r="H67" i="4"/>
  <c r="K67" i="4"/>
  <c r="G67" i="4"/>
  <c r="J67" i="4"/>
  <c r="I67" i="4"/>
  <c r="F67" i="4"/>
  <c r="M67" i="4"/>
  <c r="J68" i="5"/>
  <c r="F68" i="5"/>
  <c r="M68" i="5"/>
  <c r="I68" i="5"/>
  <c r="H68" i="5"/>
  <c r="G68" i="5"/>
  <c r="L68" i="5"/>
  <c r="K68" i="5"/>
  <c r="M67" i="6"/>
  <c r="I67" i="6"/>
  <c r="L67" i="6"/>
  <c r="H67" i="6"/>
  <c r="J67" i="6"/>
  <c r="G67" i="6"/>
  <c r="F67" i="6"/>
  <c r="K67" i="6"/>
  <c r="L63" i="4"/>
  <c r="H63" i="4"/>
  <c r="K63" i="4"/>
  <c r="G63" i="4"/>
  <c r="F63" i="4"/>
  <c r="M63" i="4"/>
  <c r="J63" i="4"/>
  <c r="I63" i="4"/>
  <c r="J64" i="6"/>
  <c r="F64" i="6"/>
  <c r="M64" i="6"/>
  <c r="I64" i="6"/>
  <c r="K64" i="6"/>
  <c r="H64" i="6"/>
  <c r="G64" i="6"/>
  <c r="L64" i="6"/>
  <c r="M63" i="6"/>
  <c r="I63" i="6"/>
  <c r="L63" i="6"/>
  <c r="H63" i="6"/>
  <c r="F63" i="6"/>
  <c r="K63" i="6"/>
  <c r="J63" i="6"/>
  <c r="G63" i="6"/>
  <c r="L59" i="4"/>
  <c r="H59" i="4"/>
  <c r="K59" i="4"/>
  <c r="G59" i="4"/>
  <c r="J59" i="4"/>
  <c r="I59" i="4"/>
  <c r="F59" i="4"/>
  <c r="M59" i="4"/>
  <c r="J60" i="5"/>
  <c r="F60" i="5"/>
  <c r="M60" i="5"/>
  <c r="I60" i="5"/>
  <c r="H60" i="5"/>
  <c r="G60" i="5"/>
  <c r="K60" i="5"/>
  <c r="L60" i="5"/>
  <c r="L58" i="6"/>
  <c r="H58" i="6"/>
  <c r="K58" i="6"/>
  <c r="G58" i="6"/>
  <c r="M58" i="6"/>
  <c r="J58" i="6"/>
  <c r="I58" i="6"/>
  <c r="F58" i="6"/>
  <c r="J45" i="4"/>
  <c r="F45" i="4"/>
  <c r="M45" i="4"/>
  <c r="I45" i="4"/>
  <c r="L45" i="4"/>
  <c r="K45" i="4"/>
  <c r="H45" i="4"/>
  <c r="G45" i="4"/>
  <c r="J45" i="5"/>
  <c r="F45" i="5"/>
  <c r="M45" i="5"/>
  <c r="I45" i="5"/>
  <c r="G45" i="5"/>
  <c r="L45" i="5"/>
  <c r="K45" i="5"/>
  <c r="H45" i="5"/>
  <c r="J44" i="6"/>
  <c r="F44" i="6"/>
  <c r="M44" i="6"/>
  <c r="I44" i="6"/>
  <c r="G44" i="6"/>
  <c r="L44" i="6"/>
  <c r="K44" i="6"/>
  <c r="H44" i="6"/>
  <c r="M40" i="4"/>
  <c r="I40" i="4"/>
  <c r="L40" i="4"/>
  <c r="H40" i="4"/>
  <c r="K40" i="4"/>
  <c r="J40" i="4"/>
  <c r="G40" i="4"/>
  <c r="F40" i="4"/>
  <c r="L39" i="5"/>
  <c r="H39" i="5"/>
  <c r="K39" i="5"/>
  <c r="G39" i="5"/>
  <c r="I39" i="5"/>
  <c r="F39" i="5"/>
  <c r="M39" i="5"/>
  <c r="J39" i="5"/>
  <c r="L38" i="6"/>
  <c r="H38" i="6"/>
  <c r="K38" i="6"/>
  <c r="G38" i="6"/>
  <c r="I38" i="6"/>
  <c r="F38" i="6"/>
  <c r="M38" i="6"/>
  <c r="J38" i="6"/>
  <c r="K34" i="4"/>
  <c r="G34" i="4"/>
  <c r="J34" i="4"/>
  <c r="F34" i="4"/>
  <c r="M34" i="4"/>
  <c r="L34" i="4"/>
  <c r="I34" i="4"/>
  <c r="H34" i="4"/>
  <c r="L35" i="5"/>
  <c r="H35" i="5"/>
  <c r="K35" i="5"/>
  <c r="G35" i="5"/>
  <c r="M35" i="5"/>
  <c r="J35" i="5"/>
  <c r="I35" i="5"/>
  <c r="F35" i="5"/>
  <c r="L34" i="6"/>
  <c r="H34" i="6"/>
  <c r="K34" i="6"/>
  <c r="G34" i="6"/>
  <c r="M34" i="6"/>
  <c r="J34" i="6"/>
  <c r="I34" i="6"/>
  <c r="F34" i="6"/>
  <c r="J29" i="4"/>
  <c r="F29" i="4"/>
  <c r="M29" i="4"/>
  <c r="I29" i="4"/>
  <c r="L29" i="4"/>
  <c r="K29" i="4"/>
  <c r="H29" i="4"/>
  <c r="G29" i="4"/>
  <c r="J29" i="5"/>
  <c r="F29" i="5"/>
  <c r="M29" i="5"/>
  <c r="I29" i="5"/>
  <c r="G29" i="5"/>
  <c r="L29" i="5"/>
  <c r="K29" i="5"/>
  <c r="H29" i="5"/>
  <c r="K28" i="6"/>
  <c r="G28" i="6"/>
  <c r="J28" i="6"/>
  <c r="F28" i="6"/>
  <c r="M28" i="6"/>
  <c r="I28" i="6"/>
  <c r="L28" i="6"/>
  <c r="H28" i="6"/>
  <c r="J25" i="5"/>
  <c r="F25" i="5"/>
  <c r="M25" i="5"/>
  <c r="I25" i="5"/>
  <c r="K25" i="5"/>
  <c r="H25" i="5"/>
  <c r="L25" i="5"/>
  <c r="G25" i="5"/>
  <c r="M24" i="5"/>
  <c r="I24" i="5"/>
  <c r="L24" i="5"/>
  <c r="H24" i="5"/>
  <c r="F24" i="5"/>
  <c r="K24" i="5"/>
  <c r="J24" i="5"/>
  <c r="G24" i="5"/>
  <c r="M22" i="6"/>
  <c r="I22" i="6"/>
  <c r="L22" i="6"/>
  <c r="H22" i="6"/>
  <c r="K22" i="6"/>
  <c r="G22" i="6"/>
  <c r="J22" i="6"/>
  <c r="F22" i="6"/>
  <c r="K18" i="4"/>
  <c r="G18" i="4"/>
  <c r="J18" i="4"/>
  <c r="F18" i="4"/>
  <c r="M18" i="4"/>
  <c r="L18" i="4"/>
  <c r="I18" i="4"/>
  <c r="H18" i="4"/>
  <c r="M16" i="4"/>
  <c r="I16" i="4"/>
  <c r="L16" i="4"/>
  <c r="H16" i="4"/>
  <c r="K16" i="4"/>
  <c r="J16" i="4"/>
  <c r="F16" i="4"/>
  <c r="G16" i="4"/>
  <c r="L13" i="6"/>
  <c r="H13" i="6"/>
  <c r="K13" i="6"/>
  <c r="G13" i="6"/>
  <c r="J13" i="6"/>
  <c r="F13" i="6"/>
  <c r="M13" i="6"/>
  <c r="I13" i="6"/>
  <c r="E9" i="6"/>
  <c r="E3" i="6"/>
  <c r="E2" i="6"/>
  <c r="E4" i="6"/>
  <c r="K10" i="4"/>
  <c r="G10" i="4"/>
  <c r="J10" i="4"/>
  <c r="F10" i="4"/>
  <c r="M10" i="4"/>
  <c r="L10" i="4"/>
  <c r="H10" i="4"/>
  <c r="I10" i="4"/>
  <c r="ALP15" i="3"/>
  <c r="ALL15" i="3"/>
  <c r="ALH15" i="3"/>
  <c r="ALD15" i="3"/>
  <c r="AKZ15" i="3"/>
  <c r="AKV15" i="3"/>
  <c r="AKR15" i="3"/>
  <c r="AKN15" i="3"/>
  <c r="AKJ15" i="3"/>
  <c r="AKF15" i="3"/>
  <c r="AKB15" i="3"/>
  <c r="AJX15" i="3"/>
  <c r="AJT15" i="3"/>
  <c r="AJP15" i="3"/>
  <c r="AJL15" i="3"/>
  <c r="AJH15" i="3"/>
  <c r="AJD15" i="3"/>
  <c r="AIZ15" i="3"/>
  <c r="AIV15" i="3"/>
  <c r="AIR15" i="3"/>
  <c r="AIN15" i="3"/>
  <c r="AIJ15" i="3"/>
  <c r="AIF15" i="3"/>
  <c r="AIB15" i="3"/>
  <c r="AHX15" i="3"/>
  <c r="AHT15" i="3"/>
  <c r="AHP15" i="3"/>
  <c r="AHL15" i="3"/>
  <c r="AHH15" i="3"/>
  <c r="AHD15" i="3"/>
  <c r="AGZ15" i="3"/>
  <c r="AGV15" i="3"/>
  <c r="AGR15" i="3"/>
  <c r="AGN15" i="3"/>
  <c r="AGJ15" i="3"/>
  <c r="AGF15" i="3"/>
  <c r="AGB15" i="3"/>
  <c r="AFX15" i="3"/>
  <c r="AFT15" i="3"/>
  <c r="AFP15" i="3"/>
  <c r="AFL15" i="3"/>
  <c r="AFH15" i="3"/>
  <c r="AFD15" i="3"/>
  <c r="AEZ15" i="3"/>
  <c r="AEV15" i="3"/>
  <c r="AER15" i="3"/>
  <c r="AEN15" i="3"/>
  <c r="AEJ15" i="3"/>
  <c r="AEF15" i="3"/>
  <c r="AEB15" i="3"/>
  <c r="ADX15" i="3"/>
  <c r="ADT15" i="3"/>
  <c r="ADP15" i="3"/>
  <c r="ADL15" i="3"/>
  <c r="ADH15" i="3"/>
  <c r="ADD15" i="3"/>
  <c r="ACZ15" i="3"/>
  <c r="ACV15" i="3"/>
  <c r="ACR15" i="3"/>
  <c r="ACN15" i="3"/>
  <c r="ACJ15" i="3"/>
  <c r="ACF15" i="3"/>
  <c r="ACB15" i="3"/>
  <c r="ABX15" i="3"/>
  <c r="ABT15" i="3"/>
  <c r="ABP15" i="3"/>
  <c r="ABL15" i="3"/>
  <c r="ABH15" i="3"/>
  <c r="ABD15" i="3"/>
  <c r="AAZ15" i="3"/>
  <c r="AAV15" i="3"/>
  <c r="AAR15" i="3"/>
  <c r="AAN15" i="3"/>
  <c r="AAJ15" i="3"/>
  <c r="AAF15" i="3"/>
  <c r="AAB15" i="3"/>
  <c r="ZX15" i="3"/>
  <c r="ZT15" i="3"/>
  <c r="ZP15" i="3"/>
  <c r="ZL15" i="3"/>
  <c r="ZH15" i="3"/>
  <c r="ZD15" i="3"/>
  <c r="YZ15" i="3"/>
  <c r="YV15" i="3"/>
  <c r="YR15" i="3"/>
  <c r="YN15" i="3"/>
  <c r="YJ15" i="3"/>
  <c r="YF15" i="3"/>
  <c r="YB15" i="3"/>
  <c r="XX15" i="3"/>
  <c r="XT15" i="3"/>
  <c r="XP15" i="3"/>
  <c r="XL15" i="3"/>
  <c r="XH15" i="3"/>
  <c r="XD15" i="3"/>
  <c r="WZ15" i="3"/>
  <c r="WV15" i="3"/>
  <c r="WR15" i="3"/>
  <c r="WN15" i="3"/>
  <c r="WJ15" i="3"/>
  <c r="WF15" i="3"/>
  <c r="WB15" i="3"/>
  <c r="VX15" i="3"/>
  <c r="VT15" i="3"/>
  <c r="VP15" i="3"/>
  <c r="VL15" i="3"/>
  <c r="VH15" i="3"/>
  <c r="VD15" i="3"/>
  <c r="UZ15" i="3"/>
  <c r="UV15" i="3"/>
  <c r="UR15" i="3"/>
  <c r="UN15" i="3"/>
  <c r="UJ15" i="3"/>
  <c r="UF15" i="3"/>
  <c r="UB15" i="3"/>
  <c r="TX15" i="3"/>
  <c r="TT15" i="3"/>
  <c r="TP15" i="3"/>
  <c r="TL15" i="3"/>
  <c r="TH15" i="3"/>
  <c r="TD15" i="3"/>
  <c r="SZ15" i="3"/>
  <c r="SV15" i="3"/>
  <c r="SR15" i="3"/>
  <c r="SN15" i="3"/>
  <c r="SJ15" i="3"/>
  <c r="SF15" i="3"/>
  <c r="SB15" i="3"/>
  <c r="RX15" i="3"/>
  <c r="RT15" i="3"/>
  <c r="RP15" i="3"/>
  <c r="RL15" i="3"/>
  <c r="RH15" i="3"/>
  <c r="RD15" i="3"/>
  <c r="QZ15" i="3"/>
  <c r="QV15" i="3"/>
  <c r="QR15" i="3"/>
  <c r="QN15" i="3"/>
  <c r="QJ15" i="3"/>
  <c r="QF15" i="3"/>
  <c r="QB15" i="3"/>
  <c r="PX15" i="3"/>
  <c r="PT15" i="3"/>
  <c r="PP15" i="3"/>
  <c r="PL15" i="3"/>
  <c r="PH15" i="3"/>
  <c r="PD15" i="3"/>
  <c r="OZ15" i="3"/>
  <c r="OV15" i="3"/>
  <c r="OR15" i="3"/>
  <c r="ON15" i="3"/>
  <c r="OJ15" i="3"/>
  <c r="OF15" i="3"/>
  <c r="OB15" i="3"/>
  <c r="NX15" i="3"/>
  <c r="NT15" i="3"/>
  <c r="NP15" i="3"/>
  <c r="NL15" i="3"/>
  <c r="NH15" i="3"/>
  <c r="ND15" i="3"/>
  <c r="MZ15" i="3"/>
  <c r="MV15" i="3"/>
  <c r="MR15" i="3"/>
  <c r="MN15" i="3"/>
  <c r="MJ15" i="3"/>
  <c r="MF15" i="3"/>
  <c r="MB15" i="3"/>
  <c r="LX15" i="3"/>
  <c r="LT15" i="3"/>
  <c r="LP15" i="3"/>
  <c r="LL15" i="3"/>
  <c r="LH15" i="3"/>
  <c r="LD15" i="3"/>
  <c r="KZ15" i="3"/>
  <c r="KV15" i="3"/>
  <c r="KR15" i="3"/>
  <c r="KN15" i="3"/>
  <c r="KJ15" i="3"/>
  <c r="KF15" i="3"/>
  <c r="KB15" i="3"/>
  <c r="JX15" i="3"/>
  <c r="JT15" i="3"/>
  <c r="JP15" i="3"/>
  <c r="JL15" i="3"/>
  <c r="JH15" i="3"/>
  <c r="JD15" i="3"/>
  <c r="IZ15" i="3"/>
  <c r="IV15" i="3"/>
  <c r="IR15" i="3"/>
  <c r="IN15" i="3"/>
  <c r="IJ15" i="3"/>
  <c r="IF15" i="3"/>
  <c r="IB15" i="3"/>
  <c r="HX15" i="3"/>
  <c r="HT15" i="3"/>
  <c r="HP15" i="3"/>
  <c r="HL15" i="3"/>
  <c r="HH15" i="3"/>
  <c r="HD15" i="3"/>
  <c r="GZ15" i="3"/>
  <c r="GV15" i="3"/>
  <c r="GR15" i="3"/>
  <c r="GN15" i="3"/>
  <c r="GJ15" i="3"/>
  <c r="GF15" i="3"/>
  <c r="GB15" i="3"/>
  <c r="FX15" i="3"/>
  <c r="FT15" i="3"/>
  <c r="FP15" i="3"/>
  <c r="FL15" i="3"/>
  <c r="FH15" i="3"/>
  <c r="FD15" i="3"/>
  <c r="EZ15" i="3"/>
  <c r="EV15" i="3"/>
  <c r="ER15" i="3"/>
  <c r="EN15" i="3"/>
  <c r="EJ15" i="3"/>
  <c r="EF15" i="3"/>
  <c r="EB15" i="3"/>
  <c r="DX15" i="3"/>
  <c r="DT15" i="3"/>
  <c r="DP15" i="3"/>
  <c r="DL15" i="3"/>
  <c r="DH15" i="3"/>
  <c r="DD15" i="3"/>
  <c r="CZ15" i="3"/>
  <c r="CV15" i="3"/>
  <c r="CR15" i="3"/>
  <c r="CN15" i="3"/>
  <c r="CJ15" i="3"/>
  <c r="CF15" i="3"/>
  <c r="CB15" i="3"/>
  <c r="BX15" i="3"/>
  <c r="BT15" i="3"/>
  <c r="BP15" i="3"/>
  <c r="BL15" i="3"/>
  <c r="BH15" i="3"/>
  <c r="BD15" i="3"/>
  <c r="AZ15" i="3"/>
  <c r="AV15" i="3"/>
  <c r="AR15" i="3"/>
  <c r="AN15" i="3"/>
  <c r="AJ15" i="3"/>
  <c r="AF15" i="3"/>
  <c r="AB15" i="3"/>
  <c r="X15" i="3"/>
  <c r="T15" i="3"/>
  <c r="P15" i="3"/>
  <c r="L15" i="3"/>
  <c r="H15" i="3"/>
  <c r="ALO15" i="3"/>
  <c r="ALK15" i="3"/>
  <c r="ALG15" i="3"/>
  <c r="ALC15" i="3"/>
  <c r="AKY15" i="3"/>
  <c r="AKU15" i="3"/>
  <c r="AKQ15" i="3"/>
  <c r="AKM15" i="3"/>
  <c r="AKI15" i="3"/>
  <c r="AKE15" i="3"/>
  <c r="AKA15" i="3"/>
  <c r="AJW15" i="3"/>
  <c r="AJS15" i="3"/>
  <c r="AJO15" i="3"/>
  <c r="AJK15" i="3"/>
  <c r="AJG15" i="3"/>
  <c r="AJC15" i="3"/>
  <c r="AIY15" i="3"/>
  <c r="AIU15" i="3"/>
  <c r="AIQ15" i="3"/>
  <c r="AIM15" i="3"/>
  <c r="AII15" i="3"/>
  <c r="AIE15" i="3"/>
  <c r="AIA15" i="3"/>
  <c r="AHW15" i="3"/>
  <c r="AHS15" i="3"/>
  <c r="AHO15" i="3"/>
  <c r="AHK15" i="3"/>
  <c r="AHG15" i="3"/>
  <c r="AHC15" i="3"/>
  <c r="AGY15" i="3"/>
  <c r="AGU15" i="3"/>
  <c r="AGQ15" i="3"/>
  <c r="AGM15" i="3"/>
  <c r="AGI15" i="3"/>
  <c r="AGE15" i="3"/>
  <c r="AGA15" i="3"/>
  <c r="AFW15" i="3"/>
  <c r="AFS15" i="3"/>
  <c r="AFO15" i="3"/>
  <c r="AFK15" i="3"/>
  <c r="AFG15" i="3"/>
  <c r="AFC15" i="3"/>
  <c r="AEY15" i="3"/>
  <c r="AEU15" i="3"/>
  <c r="AEQ15" i="3"/>
  <c r="AEM15" i="3"/>
  <c r="AEI15" i="3"/>
  <c r="AEE15" i="3"/>
  <c r="AEA15" i="3"/>
  <c r="ADW15" i="3"/>
  <c r="ADS15" i="3"/>
  <c r="ADO15" i="3"/>
  <c r="ADK15" i="3"/>
  <c r="ADG15" i="3"/>
  <c r="ADC15" i="3"/>
  <c r="ACY15" i="3"/>
  <c r="ACU15" i="3"/>
  <c r="ACQ15" i="3"/>
  <c r="ACM15" i="3"/>
  <c r="ACI15" i="3"/>
  <c r="ACE15" i="3"/>
  <c r="ACA15" i="3"/>
  <c r="ABW15" i="3"/>
  <c r="ABS15" i="3"/>
  <c r="ABO15" i="3"/>
  <c r="ABK15" i="3"/>
  <c r="ABG15" i="3"/>
  <c r="ABC15" i="3"/>
  <c r="AAY15" i="3"/>
  <c r="AAU15" i="3"/>
  <c r="AAQ15" i="3"/>
  <c r="AAM15" i="3"/>
  <c r="AAI15" i="3"/>
  <c r="AAE15" i="3"/>
  <c r="AAA15" i="3"/>
  <c r="ZW15" i="3"/>
  <c r="ZS15" i="3"/>
  <c r="ZO15" i="3"/>
  <c r="ZK15" i="3"/>
  <c r="ZG15" i="3"/>
  <c r="ZC15" i="3"/>
  <c r="YY15" i="3"/>
  <c r="YU15" i="3"/>
  <c r="YQ15" i="3"/>
  <c r="YM15" i="3"/>
  <c r="YI15" i="3"/>
  <c r="YE15" i="3"/>
  <c r="YA15" i="3"/>
  <c r="XW15" i="3"/>
  <c r="XS15" i="3"/>
  <c r="XO15" i="3"/>
  <c r="XK15" i="3"/>
  <c r="XG15" i="3"/>
  <c r="XC15" i="3"/>
  <c r="WY15" i="3"/>
  <c r="WU15" i="3"/>
  <c r="WQ15" i="3"/>
  <c r="WM15" i="3"/>
  <c r="WI15" i="3"/>
  <c r="WE15" i="3"/>
  <c r="WA15" i="3"/>
  <c r="VW15" i="3"/>
  <c r="VS15" i="3"/>
  <c r="VO15" i="3"/>
  <c r="VK15" i="3"/>
  <c r="VG15" i="3"/>
  <c r="VC15" i="3"/>
  <c r="UY15" i="3"/>
  <c r="UU15" i="3"/>
  <c r="UQ15" i="3"/>
  <c r="UM15" i="3"/>
  <c r="UI15" i="3"/>
  <c r="UE15" i="3"/>
  <c r="UA15" i="3"/>
  <c r="TW15" i="3"/>
  <c r="TS15" i="3"/>
  <c r="TO15" i="3"/>
  <c r="TK15" i="3"/>
  <c r="TG15" i="3"/>
  <c r="TC15" i="3"/>
  <c r="SY15" i="3"/>
  <c r="SU15" i="3"/>
  <c r="SQ15" i="3"/>
  <c r="SM15" i="3"/>
  <c r="SI15" i="3"/>
  <c r="SE15" i="3"/>
  <c r="SA15" i="3"/>
  <c r="RW15" i="3"/>
  <c r="RS15" i="3"/>
  <c r="RO15" i="3"/>
  <c r="RK15" i="3"/>
  <c r="RG15" i="3"/>
  <c r="RC15" i="3"/>
  <c r="QY15" i="3"/>
  <c r="QU15" i="3"/>
  <c r="QQ15" i="3"/>
  <c r="QM15" i="3"/>
  <c r="QI15" i="3"/>
  <c r="QE15" i="3"/>
  <c r="QA15" i="3"/>
  <c r="PW15" i="3"/>
  <c r="PS15" i="3"/>
  <c r="PO15" i="3"/>
  <c r="PK15" i="3"/>
  <c r="PG15" i="3"/>
  <c r="PC15" i="3"/>
  <c r="OY15" i="3"/>
  <c r="OU15" i="3"/>
  <c r="OQ15" i="3"/>
  <c r="OM15" i="3"/>
  <c r="OI15" i="3"/>
  <c r="OE15" i="3"/>
  <c r="OA15" i="3"/>
  <c r="NW15" i="3"/>
  <c r="NS15" i="3"/>
  <c r="NO15" i="3"/>
  <c r="NK15" i="3"/>
  <c r="NG15" i="3"/>
  <c r="NC15" i="3"/>
  <c r="MY15" i="3"/>
  <c r="MU15" i="3"/>
  <c r="MQ15" i="3"/>
  <c r="MM15" i="3"/>
  <c r="MI15" i="3"/>
  <c r="ME15" i="3"/>
  <c r="MA15" i="3"/>
  <c r="LW15" i="3"/>
  <c r="LS15" i="3"/>
  <c r="LO15" i="3"/>
  <c r="LK15" i="3"/>
  <c r="LG15" i="3"/>
  <c r="LC15" i="3"/>
  <c r="KY15" i="3"/>
  <c r="KU15" i="3"/>
  <c r="KQ15" i="3"/>
  <c r="KM15" i="3"/>
  <c r="KI15" i="3"/>
  <c r="KE15" i="3"/>
  <c r="KA15" i="3"/>
  <c r="JW15" i="3"/>
  <c r="JS15" i="3"/>
  <c r="JO15" i="3"/>
  <c r="JK15" i="3"/>
  <c r="JG15" i="3"/>
  <c r="JC15" i="3"/>
  <c r="IY15" i="3"/>
  <c r="IU15" i="3"/>
  <c r="IQ15" i="3"/>
  <c r="IM15" i="3"/>
  <c r="II15" i="3"/>
  <c r="IE15" i="3"/>
  <c r="IA15" i="3"/>
  <c r="HW15" i="3"/>
  <c r="HS15" i="3"/>
  <c r="HO15" i="3"/>
  <c r="HK15" i="3"/>
  <c r="HG15" i="3"/>
  <c r="HC15" i="3"/>
  <c r="GY15" i="3"/>
  <c r="GU15" i="3"/>
  <c r="GQ15" i="3"/>
  <c r="GM15" i="3"/>
  <c r="GI15" i="3"/>
  <c r="GE15" i="3"/>
  <c r="GA15" i="3"/>
  <c r="FW15" i="3"/>
  <c r="FS15" i="3"/>
  <c r="FO15" i="3"/>
  <c r="FK15" i="3"/>
  <c r="FG15" i="3"/>
  <c r="FC15" i="3"/>
  <c r="EY15" i="3"/>
  <c r="EU15" i="3"/>
  <c r="EQ15" i="3"/>
  <c r="EM15" i="3"/>
  <c r="EI15" i="3"/>
  <c r="EE15" i="3"/>
  <c r="EA15" i="3"/>
  <c r="DW15" i="3"/>
  <c r="DS15" i="3"/>
  <c r="DO15" i="3"/>
  <c r="DK15" i="3"/>
  <c r="DG15" i="3"/>
  <c r="DC15" i="3"/>
  <c r="CY15" i="3"/>
  <c r="CU15" i="3"/>
  <c r="CQ15" i="3"/>
  <c r="CM15" i="3"/>
  <c r="CI15" i="3"/>
  <c r="CE15" i="3"/>
  <c r="CA15" i="3"/>
  <c r="BW15" i="3"/>
  <c r="BS15" i="3"/>
  <c r="BO15" i="3"/>
  <c r="BK15" i="3"/>
  <c r="BG15" i="3"/>
  <c r="BC15" i="3"/>
  <c r="AY15" i="3"/>
  <c r="AU15" i="3"/>
  <c r="AQ15" i="3"/>
  <c r="AM15" i="3"/>
  <c r="AI15" i="3"/>
  <c r="AE15" i="3"/>
  <c r="AA15" i="3"/>
  <c r="W15" i="3"/>
  <c r="S15" i="3"/>
  <c r="O15" i="3"/>
  <c r="K15" i="3"/>
  <c r="G15" i="3"/>
  <c r="ALN15" i="3"/>
  <c r="ALJ15" i="3"/>
  <c r="ALF15" i="3"/>
  <c r="ALB15" i="3"/>
  <c r="AKX15" i="3"/>
  <c r="AKT15" i="3"/>
  <c r="AKP15" i="3"/>
  <c r="AKL15" i="3"/>
  <c r="AKH15" i="3"/>
  <c r="AKD15" i="3"/>
  <c r="AJZ15" i="3"/>
  <c r="AJV15" i="3"/>
  <c r="AJR15" i="3"/>
  <c r="AJN15" i="3"/>
  <c r="AJJ15" i="3"/>
  <c r="AJF15" i="3"/>
  <c r="AJB15" i="3"/>
  <c r="AIX15" i="3"/>
  <c r="AIT15" i="3"/>
  <c r="AIP15" i="3"/>
  <c r="AIL15" i="3"/>
  <c r="AIH15" i="3"/>
  <c r="AID15" i="3"/>
  <c r="AHZ15" i="3"/>
  <c r="AHV15" i="3"/>
  <c r="AHR15" i="3"/>
  <c r="AHN15" i="3"/>
  <c r="AHJ15" i="3"/>
  <c r="AHF15" i="3"/>
  <c r="AHB15" i="3"/>
  <c r="AGX15" i="3"/>
  <c r="AGT15" i="3"/>
  <c r="AGP15" i="3"/>
  <c r="AGL15" i="3"/>
  <c r="AGH15" i="3"/>
  <c r="AGD15" i="3"/>
  <c r="AFZ15" i="3"/>
  <c r="AFV15" i="3"/>
  <c r="AFR15" i="3"/>
  <c r="AFN15" i="3"/>
  <c r="AFJ15" i="3"/>
  <c r="AFF15" i="3"/>
  <c r="AFB15" i="3"/>
  <c r="AEX15" i="3"/>
  <c r="AET15" i="3"/>
  <c r="AEP15" i="3"/>
  <c r="AEL15" i="3"/>
  <c r="AEH15" i="3"/>
  <c r="AED15" i="3"/>
  <c r="ADZ15" i="3"/>
  <c r="ADV15" i="3"/>
  <c r="ADR15" i="3"/>
  <c r="ADN15" i="3"/>
  <c r="ADJ15" i="3"/>
  <c r="ADF15" i="3"/>
  <c r="ADB15" i="3"/>
  <c r="ACX15" i="3"/>
  <c r="ACT15" i="3"/>
  <c r="ACP15" i="3"/>
  <c r="ACL15" i="3"/>
  <c r="ACH15" i="3"/>
  <c r="ACD15" i="3"/>
  <c r="ABZ15" i="3"/>
  <c r="ABV15" i="3"/>
  <c r="ABR15" i="3"/>
  <c r="ABN15" i="3"/>
  <c r="ABJ15" i="3"/>
  <c r="ABF15" i="3"/>
  <c r="ABB15" i="3"/>
  <c r="AAX15" i="3"/>
  <c r="AAT15" i="3"/>
  <c r="AAP15" i="3"/>
  <c r="AAL15" i="3"/>
  <c r="AAH15" i="3"/>
  <c r="AAD15" i="3"/>
  <c r="ZZ15" i="3"/>
  <c r="ZV15" i="3"/>
  <c r="ZR15" i="3"/>
  <c r="ZN15" i="3"/>
  <c r="ZJ15" i="3"/>
  <c r="ZF15" i="3"/>
  <c r="ZB15" i="3"/>
  <c r="YX15" i="3"/>
  <c r="YT15" i="3"/>
  <c r="YP15" i="3"/>
  <c r="YL15" i="3"/>
  <c r="YH15" i="3"/>
  <c r="YD15" i="3"/>
  <c r="XZ15" i="3"/>
  <c r="XV15" i="3"/>
  <c r="XR15" i="3"/>
  <c r="XN15" i="3"/>
  <c r="XJ15" i="3"/>
  <c r="XF15" i="3"/>
  <c r="XB15" i="3"/>
  <c r="WX15" i="3"/>
  <c r="WT15" i="3"/>
  <c r="WP15" i="3"/>
  <c r="WL15" i="3"/>
  <c r="WH15" i="3"/>
  <c r="WD15" i="3"/>
  <c r="VZ15" i="3"/>
  <c r="VV15" i="3"/>
  <c r="VR15" i="3"/>
  <c r="VN15" i="3"/>
  <c r="VJ15" i="3"/>
  <c r="VF15" i="3"/>
  <c r="VB15" i="3"/>
  <c r="UX15" i="3"/>
  <c r="UT15" i="3"/>
  <c r="UP15" i="3"/>
  <c r="UL15" i="3"/>
  <c r="UH15" i="3"/>
  <c r="UD15" i="3"/>
  <c r="TZ15" i="3"/>
  <c r="TV15" i="3"/>
  <c r="TR15" i="3"/>
  <c r="TN15" i="3"/>
  <c r="TJ15" i="3"/>
  <c r="TF15" i="3"/>
  <c r="TB15" i="3"/>
  <c r="SX15" i="3"/>
  <c r="ST15" i="3"/>
  <c r="SP15" i="3"/>
  <c r="SL15" i="3"/>
  <c r="SH15" i="3"/>
  <c r="SD15" i="3"/>
  <c r="RZ15" i="3"/>
  <c r="RV15" i="3"/>
  <c r="RR15" i="3"/>
  <c r="RN15" i="3"/>
  <c r="RJ15" i="3"/>
  <c r="RF15" i="3"/>
  <c r="RB15" i="3"/>
  <c r="QX15" i="3"/>
  <c r="QT15" i="3"/>
  <c r="QP15" i="3"/>
  <c r="QL15" i="3"/>
  <c r="QH15" i="3"/>
  <c r="QD15" i="3"/>
  <c r="PZ15" i="3"/>
  <c r="PV15" i="3"/>
  <c r="PR15" i="3"/>
  <c r="PN15" i="3"/>
  <c r="PJ15" i="3"/>
  <c r="PF15" i="3"/>
  <c r="PB15" i="3"/>
  <c r="OX15" i="3"/>
  <c r="OT15" i="3"/>
  <c r="OP15" i="3"/>
  <c r="OL15" i="3"/>
  <c r="OH15" i="3"/>
  <c r="OD15" i="3"/>
  <c r="NZ15" i="3"/>
  <c r="NV15" i="3"/>
  <c r="NR15" i="3"/>
  <c r="NN15" i="3"/>
  <c r="NJ15" i="3"/>
  <c r="NF15" i="3"/>
  <c r="NB15" i="3"/>
  <c r="MX15" i="3"/>
  <c r="MT15" i="3"/>
  <c r="MP15" i="3"/>
  <c r="ML15" i="3"/>
  <c r="MH15" i="3"/>
  <c r="MD15" i="3"/>
  <c r="LZ15" i="3"/>
  <c r="LV15" i="3"/>
  <c r="LR15" i="3"/>
  <c r="LN15" i="3"/>
  <c r="LJ15" i="3"/>
  <c r="LF15" i="3"/>
  <c r="LB15" i="3"/>
  <c r="KX15" i="3"/>
  <c r="KT15" i="3"/>
  <c r="KP15" i="3"/>
  <c r="KL15" i="3"/>
  <c r="KH15" i="3"/>
  <c r="KD15" i="3"/>
  <c r="JZ15" i="3"/>
  <c r="JV15" i="3"/>
  <c r="JR15" i="3"/>
  <c r="JN15" i="3"/>
  <c r="JJ15" i="3"/>
  <c r="JF15" i="3"/>
  <c r="JB15" i="3"/>
  <c r="IX15" i="3"/>
  <c r="IT15" i="3"/>
  <c r="IP15" i="3"/>
  <c r="IL15" i="3"/>
  <c r="IH15" i="3"/>
  <c r="ID15" i="3"/>
  <c r="HZ15" i="3"/>
  <c r="HV15" i="3"/>
  <c r="HR15" i="3"/>
  <c r="HN15" i="3"/>
  <c r="HJ15" i="3"/>
  <c r="HF15" i="3"/>
  <c r="HB15" i="3"/>
  <c r="GX15" i="3"/>
  <c r="GT15" i="3"/>
  <c r="GP15" i="3"/>
  <c r="GL15" i="3"/>
  <c r="GH15" i="3"/>
  <c r="GD15" i="3"/>
  <c r="FZ15" i="3"/>
  <c r="FV15" i="3"/>
  <c r="FR15" i="3"/>
  <c r="FN15" i="3"/>
  <c r="FJ15" i="3"/>
  <c r="FF15" i="3"/>
  <c r="FB15" i="3"/>
  <c r="EX15" i="3"/>
  <c r="ET15" i="3"/>
  <c r="EP15" i="3"/>
  <c r="EL15" i="3"/>
  <c r="EH15" i="3"/>
  <c r="ED15" i="3"/>
  <c r="DZ15" i="3"/>
  <c r="DV15" i="3"/>
  <c r="DR15" i="3"/>
  <c r="DN15" i="3"/>
  <c r="DJ15" i="3"/>
  <c r="DF15" i="3"/>
  <c r="DB15" i="3"/>
  <c r="CX15" i="3"/>
  <c r="CT15" i="3"/>
  <c r="CP15" i="3"/>
  <c r="CL15" i="3"/>
  <c r="CH15" i="3"/>
  <c r="CD15" i="3"/>
  <c r="BZ15" i="3"/>
  <c r="BV15" i="3"/>
  <c r="BR15" i="3"/>
  <c r="BN15" i="3"/>
  <c r="BJ15" i="3"/>
  <c r="BF15" i="3"/>
  <c r="BB15" i="3"/>
  <c r="AX15" i="3"/>
  <c r="AT15" i="3"/>
  <c r="AP15" i="3"/>
  <c r="AL15" i="3"/>
  <c r="AH15" i="3"/>
  <c r="AD15" i="3"/>
  <c r="Z15" i="3"/>
  <c r="V15" i="3"/>
  <c r="R15" i="3"/>
  <c r="N15" i="3"/>
  <c r="J15" i="3"/>
  <c r="ALQ15" i="3"/>
  <c r="ALA15" i="3"/>
  <c r="AKK15" i="3"/>
  <c r="AJU15" i="3"/>
  <c r="AJE15" i="3"/>
  <c r="AIO15" i="3"/>
  <c r="AHY15" i="3"/>
  <c r="AHI15" i="3"/>
  <c r="AGS15" i="3"/>
  <c r="AGC15" i="3"/>
  <c r="AFM15" i="3"/>
  <c r="AEW15" i="3"/>
  <c r="AEG15" i="3"/>
  <c r="ADQ15" i="3"/>
  <c r="ADA15" i="3"/>
  <c r="ACK15" i="3"/>
  <c r="ABU15" i="3"/>
  <c r="ABE15" i="3"/>
  <c r="AAO15" i="3"/>
  <c r="ZY15" i="3"/>
  <c r="ZI15" i="3"/>
  <c r="YS15" i="3"/>
  <c r="YC15" i="3"/>
  <c r="XM15" i="3"/>
  <c r="WW15" i="3"/>
  <c r="WG15" i="3"/>
  <c r="VQ15" i="3"/>
  <c r="VA15" i="3"/>
  <c r="UK15" i="3"/>
  <c r="TU15" i="3"/>
  <c r="TE15" i="3"/>
  <c r="SO15" i="3"/>
  <c r="RY15" i="3"/>
  <c r="RI15" i="3"/>
  <c r="QS15" i="3"/>
  <c r="QC15" i="3"/>
  <c r="PM15" i="3"/>
  <c r="OW15" i="3"/>
  <c r="OG15" i="3"/>
  <c r="NQ15" i="3"/>
  <c r="NA15" i="3"/>
  <c r="MK15" i="3"/>
  <c r="LU15" i="3"/>
  <c r="LE15" i="3"/>
  <c r="KO15" i="3"/>
  <c r="JY15" i="3"/>
  <c r="JI15" i="3"/>
  <c r="IS15" i="3"/>
  <c r="IC15" i="3"/>
  <c r="HM15" i="3"/>
  <c r="GW15" i="3"/>
  <c r="GG15" i="3"/>
  <c r="FQ15" i="3"/>
  <c r="FA15" i="3"/>
  <c r="EK15" i="3"/>
  <c r="DU15" i="3"/>
  <c r="DE15" i="3"/>
  <c r="CO15" i="3"/>
  <c r="BY15" i="3"/>
  <c r="BI15" i="3"/>
  <c r="AS15" i="3"/>
  <c r="AC15" i="3"/>
  <c r="M15" i="3"/>
  <c r="ALM15" i="3"/>
  <c r="AKW15" i="3"/>
  <c r="AKG15" i="3"/>
  <c r="AJQ15" i="3"/>
  <c r="AJA15" i="3"/>
  <c r="AIK15" i="3"/>
  <c r="AHU15" i="3"/>
  <c r="AHE15" i="3"/>
  <c r="AGO15" i="3"/>
  <c r="AFY15" i="3"/>
  <c r="AFI15" i="3"/>
  <c r="AES15" i="3"/>
  <c r="AEC15" i="3"/>
  <c r="ADM15" i="3"/>
  <c r="ACW15" i="3"/>
  <c r="ACG15" i="3"/>
  <c r="ABQ15" i="3"/>
  <c r="ABA15" i="3"/>
  <c r="AAK15" i="3"/>
  <c r="ZU15" i="3"/>
  <c r="ZE15" i="3"/>
  <c r="YO15" i="3"/>
  <c r="XY15" i="3"/>
  <c r="XI15" i="3"/>
  <c r="WS15" i="3"/>
  <c r="WC15" i="3"/>
  <c r="VM15" i="3"/>
  <c r="UW15" i="3"/>
  <c r="UG15" i="3"/>
  <c r="TQ15" i="3"/>
  <c r="TA15" i="3"/>
  <c r="SK15" i="3"/>
  <c r="RU15" i="3"/>
  <c r="RE15" i="3"/>
  <c r="QO15" i="3"/>
  <c r="PY15" i="3"/>
  <c r="PI15" i="3"/>
  <c r="OS15" i="3"/>
  <c r="OC15" i="3"/>
  <c r="NM15" i="3"/>
  <c r="MW15" i="3"/>
  <c r="MG15" i="3"/>
  <c r="LQ15" i="3"/>
  <c r="LA15" i="3"/>
  <c r="KK15" i="3"/>
  <c r="JU15" i="3"/>
  <c r="JE15" i="3"/>
  <c r="IO15" i="3"/>
  <c r="HY15" i="3"/>
  <c r="HI15" i="3"/>
  <c r="GS15" i="3"/>
  <c r="GC15" i="3"/>
  <c r="FM15" i="3"/>
  <c r="EW15" i="3"/>
  <c r="EG15" i="3"/>
  <c r="DQ15" i="3"/>
  <c r="DA15" i="3"/>
  <c r="CK15" i="3"/>
  <c r="BU15" i="3"/>
  <c r="BE15" i="3"/>
  <c r="AO15" i="3"/>
  <c r="Y15" i="3"/>
  <c r="I15" i="3"/>
  <c r="ALI15" i="3"/>
  <c r="AKS15" i="3"/>
  <c r="AKC15" i="3"/>
  <c r="AJM15" i="3"/>
  <c r="AIW15" i="3"/>
  <c r="AIG15" i="3"/>
  <c r="AHQ15" i="3"/>
  <c r="AHA15" i="3"/>
  <c r="AGK15" i="3"/>
  <c r="AFU15" i="3"/>
  <c r="AFE15" i="3"/>
  <c r="AEO15" i="3"/>
  <c r="ADY15" i="3"/>
  <c r="ADI15" i="3"/>
  <c r="ACS15" i="3"/>
  <c r="ACC15" i="3"/>
  <c r="ABM15" i="3"/>
  <c r="AAW15" i="3"/>
  <c r="AAG15" i="3"/>
  <c r="ZQ15" i="3"/>
  <c r="ZA15" i="3"/>
  <c r="YK15" i="3"/>
  <c r="XU15" i="3"/>
  <c r="XE15" i="3"/>
  <c r="WO15" i="3"/>
  <c r="VY15" i="3"/>
  <c r="VI15" i="3"/>
  <c r="US15" i="3"/>
  <c r="UC15" i="3"/>
  <c r="TM15" i="3"/>
  <c r="SW15" i="3"/>
  <c r="SG15" i="3"/>
  <c r="RQ15" i="3"/>
  <c r="RA15" i="3"/>
  <c r="QK15" i="3"/>
  <c r="PU15" i="3"/>
  <c r="PE15" i="3"/>
  <c r="OO15" i="3"/>
  <c r="NY15" i="3"/>
  <c r="NI15" i="3"/>
  <c r="MS15" i="3"/>
  <c r="MC15" i="3"/>
  <c r="LM15" i="3"/>
  <c r="KW15" i="3"/>
  <c r="KG15" i="3"/>
  <c r="JQ15" i="3"/>
  <c r="JA15" i="3"/>
  <c r="IK15" i="3"/>
  <c r="HU15" i="3"/>
  <c r="HE15" i="3"/>
  <c r="GO15" i="3"/>
  <c r="FY15" i="3"/>
  <c r="FI15" i="3"/>
  <c r="ES15" i="3"/>
  <c r="EC15" i="3"/>
  <c r="DM15" i="3"/>
  <c r="CW15" i="3"/>
  <c r="CG15" i="3"/>
  <c r="BQ15" i="3"/>
  <c r="BA15" i="3"/>
  <c r="AK15" i="3"/>
  <c r="U15" i="3"/>
  <c r="F15" i="3"/>
  <c r="ALE15" i="3"/>
  <c r="AKO15" i="3"/>
  <c r="AJY15" i="3"/>
  <c r="AJI15" i="3"/>
  <c r="AIS15" i="3"/>
  <c r="AIC15" i="3"/>
  <c r="AHM15" i="3"/>
  <c r="AGW15" i="3"/>
  <c r="AGG15" i="3"/>
  <c r="AFQ15" i="3"/>
  <c r="AFA15" i="3"/>
  <c r="AEK15" i="3"/>
  <c r="ADU15" i="3"/>
  <c r="ADE15" i="3"/>
  <c r="ACO15" i="3"/>
  <c r="ABY15" i="3"/>
  <c r="ABI15" i="3"/>
  <c r="AAS15" i="3"/>
  <c r="AAC15" i="3"/>
  <c r="ZM15" i="3"/>
  <c r="YW15" i="3"/>
  <c r="YG15" i="3"/>
  <c r="XQ15" i="3"/>
  <c r="XA15" i="3"/>
  <c r="WK15" i="3"/>
  <c r="VU15" i="3"/>
  <c r="VE15" i="3"/>
  <c r="UO15" i="3"/>
  <c r="TY15" i="3"/>
  <c r="TI15" i="3"/>
  <c r="SS15" i="3"/>
  <c r="SC15" i="3"/>
  <c r="RM15" i="3"/>
  <c r="QW15" i="3"/>
  <c r="QG15" i="3"/>
  <c r="PQ15" i="3"/>
  <c r="PA15" i="3"/>
  <c r="OK15" i="3"/>
  <c r="NU15" i="3"/>
  <c r="NE15" i="3"/>
  <c r="MO15" i="3"/>
  <c r="LY15" i="3"/>
  <c r="LI15" i="3"/>
  <c r="KS15" i="3"/>
  <c r="KC15" i="3"/>
  <c r="JM15" i="3"/>
  <c r="IW15" i="3"/>
  <c r="IG15" i="3"/>
  <c r="HQ15" i="3"/>
  <c r="HA15" i="3"/>
  <c r="GK15" i="3"/>
  <c r="FU15" i="3"/>
  <c r="FE15" i="3"/>
  <c r="EO15" i="3"/>
  <c r="DY15" i="3"/>
  <c r="DI15" i="3"/>
  <c r="CS15" i="3"/>
  <c r="CC15" i="3"/>
  <c r="BM15" i="3"/>
  <c r="AW15" i="3"/>
  <c r="AG15" i="3"/>
  <c r="Q15" i="3"/>
  <c r="U10" i="5"/>
  <c r="Y10" i="5"/>
  <c r="Y10" i="6"/>
  <c r="AS8" i="4"/>
  <c r="J57" i="4"/>
  <c r="F57" i="4"/>
  <c r="M57" i="4"/>
  <c r="I57" i="4"/>
  <c r="H57" i="4"/>
  <c r="G57" i="4"/>
  <c r="L57" i="4"/>
  <c r="K57" i="4"/>
  <c r="J56" i="6"/>
  <c r="F56" i="6"/>
  <c r="M56" i="6"/>
  <c r="I56" i="6"/>
  <c r="K56" i="6"/>
  <c r="H56" i="6"/>
  <c r="G56" i="6"/>
  <c r="L56" i="6"/>
  <c r="M55" i="6"/>
  <c r="I55" i="6"/>
  <c r="L55" i="6"/>
  <c r="H55" i="6"/>
  <c r="F55" i="6"/>
  <c r="K55" i="6"/>
  <c r="J55" i="6"/>
  <c r="G55" i="6"/>
  <c r="L51" i="4"/>
  <c r="H51" i="4"/>
  <c r="K51" i="4"/>
  <c r="G51" i="4"/>
  <c r="J51" i="4"/>
  <c r="I51" i="4"/>
  <c r="F51" i="4"/>
  <c r="M51" i="4"/>
  <c r="M52" i="5"/>
  <c r="I52" i="5"/>
  <c r="L52" i="5"/>
  <c r="H52" i="5"/>
  <c r="J52" i="5"/>
  <c r="G52" i="5"/>
  <c r="F52" i="5"/>
  <c r="K52" i="5"/>
  <c r="M51" i="6"/>
  <c r="I51" i="6"/>
  <c r="L51" i="6"/>
  <c r="H51" i="6"/>
  <c r="J51" i="6"/>
  <c r="G51" i="6"/>
  <c r="F51" i="6"/>
  <c r="K51" i="6"/>
  <c r="J49" i="5"/>
  <c r="F49" i="5"/>
  <c r="M49" i="5"/>
  <c r="I49" i="5"/>
  <c r="K49" i="5"/>
  <c r="H49" i="5"/>
  <c r="G49" i="5"/>
  <c r="L49" i="5"/>
  <c r="M48" i="5"/>
  <c r="I48" i="5"/>
  <c r="L48" i="5"/>
  <c r="H48" i="5"/>
  <c r="F48" i="5"/>
  <c r="K48" i="5"/>
  <c r="J48" i="5"/>
  <c r="G48" i="5"/>
  <c r="L46" i="6"/>
  <c r="H46" i="6"/>
  <c r="K46" i="6"/>
  <c r="G46" i="6"/>
  <c r="I46" i="6"/>
  <c r="F46" i="6"/>
  <c r="M46" i="6"/>
  <c r="J46" i="6"/>
  <c r="K38" i="4"/>
  <c r="G38" i="4"/>
  <c r="J38" i="4"/>
  <c r="F38" i="4"/>
  <c r="I38" i="4"/>
  <c r="H38" i="4"/>
  <c r="M38" i="4"/>
  <c r="L38" i="4"/>
  <c r="L31" i="4"/>
  <c r="H31" i="4"/>
  <c r="K31" i="4"/>
  <c r="G31" i="4"/>
  <c r="F31" i="4"/>
  <c r="M31" i="4"/>
  <c r="J31" i="4"/>
  <c r="I31" i="4"/>
  <c r="M30" i="6"/>
  <c r="I30" i="6"/>
  <c r="L30" i="6"/>
  <c r="H30" i="6"/>
  <c r="K30" i="6"/>
  <c r="G30" i="6"/>
  <c r="F30" i="6"/>
  <c r="J30" i="6"/>
  <c r="J21" i="4"/>
  <c r="F21" i="4"/>
  <c r="M21" i="4"/>
  <c r="I21" i="4"/>
  <c r="L21" i="4"/>
  <c r="K21" i="4"/>
  <c r="H21" i="4"/>
  <c r="G21" i="4"/>
  <c r="L19" i="5"/>
  <c r="H19" i="5"/>
  <c r="K19" i="5"/>
  <c r="G19" i="5"/>
  <c r="M19" i="5"/>
  <c r="J19" i="5"/>
  <c r="I19" i="5"/>
  <c r="F19" i="5"/>
  <c r="L17" i="6"/>
  <c r="H17" i="6"/>
  <c r="K17" i="6"/>
  <c r="G17" i="6"/>
  <c r="J17" i="6"/>
  <c r="F17" i="6"/>
  <c r="M17" i="6"/>
  <c r="I17" i="6"/>
  <c r="J13" i="4"/>
  <c r="F13" i="4"/>
  <c r="M13" i="4"/>
  <c r="I13" i="4"/>
  <c r="L13" i="4"/>
  <c r="K13" i="4"/>
  <c r="G13" i="4"/>
  <c r="H13" i="4"/>
  <c r="K14" i="5"/>
  <c r="G14" i="5"/>
  <c r="J14" i="5"/>
  <c r="F14" i="5"/>
  <c r="L14" i="5"/>
  <c r="I14" i="5"/>
  <c r="H14" i="5"/>
  <c r="M14" i="5"/>
  <c r="K182" i="5"/>
  <c r="G182" i="5"/>
  <c r="M182" i="5"/>
  <c r="I182" i="5"/>
  <c r="J182" i="5"/>
  <c r="H182" i="5"/>
  <c r="L182" i="5"/>
  <c r="F182" i="5"/>
  <c r="J181" i="5"/>
  <c r="F181" i="5"/>
  <c r="L181" i="5"/>
  <c r="H181" i="5"/>
  <c r="M181" i="5"/>
  <c r="K181" i="5"/>
  <c r="I181" i="5"/>
  <c r="G181" i="5"/>
  <c r="M180" i="6"/>
  <c r="I180" i="6"/>
  <c r="K180" i="6"/>
  <c r="G180" i="6"/>
  <c r="F180" i="6"/>
  <c r="H180" i="6"/>
  <c r="L180" i="6"/>
  <c r="J180" i="6"/>
  <c r="M176" i="4"/>
  <c r="I176" i="4"/>
  <c r="L176" i="4"/>
  <c r="H176" i="4"/>
  <c r="G176" i="4"/>
  <c r="F176" i="4"/>
  <c r="K176" i="4"/>
  <c r="J176" i="4"/>
  <c r="J177" i="5"/>
  <c r="F177" i="5"/>
  <c r="L177" i="5"/>
  <c r="H177" i="5"/>
  <c r="I177" i="5"/>
  <c r="G177" i="5"/>
  <c r="M177" i="5"/>
  <c r="K177" i="5"/>
  <c r="M176" i="6"/>
  <c r="I176" i="6"/>
  <c r="K176" i="6"/>
  <c r="G176" i="6"/>
  <c r="J176" i="6"/>
  <c r="H176" i="6"/>
  <c r="F176" i="6"/>
  <c r="L176" i="6"/>
  <c r="M172" i="4"/>
  <c r="I172" i="4"/>
  <c r="L172" i="4"/>
  <c r="H172" i="4"/>
  <c r="K172" i="4"/>
  <c r="J172" i="4"/>
  <c r="G172" i="4"/>
  <c r="F172" i="4"/>
  <c r="J173" i="5"/>
  <c r="F173" i="5"/>
  <c r="L173" i="5"/>
  <c r="H173" i="5"/>
  <c r="M173" i="5"/>
  <c r="K173" i="5"/>
  <c r="G173" i="5"/>
  <c r="I173" i="5"/>
  <c r="M172" i="6"/>
  <c r="I172" i="6"/>
  <c r="K172" i="6"/>
  <c r="G172" i="6"/>
  <c r="F172" i="6"/>
  <c r="J172" i="6"/>
  <c r="H172" i="6"/>
  <c r="L172" i="6"/>
  <c r="K170" i="5"/>
  <c r="G170" i="5"/>
  <c r="M170" i="5"/>
  <c r="H170" i="5"/>
  <c r="L170" i="5"/>
  <c r="F170" i="5"/>
  <c r="J170" i="5"/>
  <c r="I170" i="5"/>
  <c r="J169" i="5"/>
  <c r="F169" i="5"/>
  <c r="M169" i="5"/>
  <c r="H169" i="5"/>
  <c r="L169" i="5"/>
  <c r="G169" i="5"/>
  <c r="K169" i="5"/>
  <c r="I169" i="5"/>
  <c r="M168" i="6"/>
  <c r="I168" i="6"/>
  <c r="K168" i="6"/>
  <c r="G168" i="6"/>
  <c r="J168" i="6"/>
  <c r="L168" i="6"/>
  <c r="H168" i="6"/>
  <c r="F168" i="6"/>
  <c r="L164" i="4"/>
  <c r="H164" i="4"/>
  <c r="K164" i="4"/>
  <c r="G164" i="4"/>
  <c r="F164" i="4"/>
  <c r="M164" i="4"/>
  <c r="J164" i="4"/>
  <c r="I164" i="4"/>
  <c r="J165" i="5"/>
  <c r="F165" i="5"/>
  <c r="I165" i="5"/>
  <c r="M165" i="5"/>
  <c r="H165" i="5"/>
  <c r="L165" i="5"/>
  <c r="K165" i="5"/>
  <c r="G165" i="5"/>
  <c r="M164" i="6"/>
  <c r="I164" i="6"/>
  <c r="K164" i="6"/>
  <c r="G164" i="6"/>
  <c r="F164" i="6"/>
  <c r="L164" i="6"/>
  <c r="J164" i="6"/>
  <c r="H164" i="6"/>
  <c r="L160" i="4"/>
  <c r="H160" i="4"/>
  <c r="K160" i="4"/>
  <c r="G160" i="4"/>
  <c r="J160" i="4"/>
  <c r="I160" i="4"/>
  <c r="M160" i="4"/>
  <c r="F160" i="4"/>
  <c r="J161" i="5"/>
  <c r="F161" i="5"/>
  <c r="K161" i="5"/>
  <c r="I161" i="5"/>
  <c r="M161" i="5"/>
  <c r="L161" i="5"/>
  <c r="G161" i="5"/>
  <c r="H161" i="5"/>
  <c r="M160" i="6"/>
  <c r="I160" i="6"/>
  <c r="K160" i="6"/>
  <c r="F160" i="6"/>
  <c r="G160" i="6"/>
  <c r="L160" i="6"/>
  <c r="J160" i="6"/>
  <c r="H160" i="6"/>
  <c r="L156" i="4"/>
  <c r="H156" i="4"/>
  <c r="K156" i="4"/>
  <c r="G156" i="4"/>
  <c r="F156" i="4"/>
  <c r="M156" i="4"/>
  <c r="J156" i="4"/>
  <c r="I156" i="4"/>
  <c r="J157" i="5"/>
  <c r="F157" i="5"/>
  <c r="L157" i="5"/>
  <c r="G157" i="5"/>
  <c r="K157" i="5"/>
  <c r="M157" i="5"/>
  <c r="H157" i="5"/>
  <c r="I157" i="5"/>
  <c r="M156" i="6"/>
  <c r="I156" i="6"/>
  <c r="L156" i="6"/>
  <c r="G156" i="6"/>
  <c r="H156" i="6"/>
  <c r="F156" i="6"/>
  <c r="K156" i="6"/>
  <c r="J156" i="6"/>
  <c r="L152" i="4"/>
  <c r="H152" i="4"/>
  <c r="K152" i="4"/>
  <c r="G152" i="4"/>
  <c r="J152" i="4"/>
  <c r="I152" i="4"/>
  <c r="F152" i="4"/>
  <c r="M152" i="4"/>
  <c r="J153" i="5"/>
  <c r="F153" i="5"/>
  <c r="M153" i="5"/>
  <c r="H153" i="5"/>
  <c r="L153" i="5"/>
  <c r="G153" i="5"/>
  <c r="I153" i="5"/>
  <c r="K153" i="5"/>
  <c r="M152" i="6"/>
  <c r="I152" i="6"/>
  <c r="H152" i="6"/>
  <c r="J152" i="6"/>
  <c r="G152" i="6"/>
  <c r="L152" i="6"/>
  <c r="K152" i="6"/>
  <c r="F152" i="6"/>
  <c r="L148" i="4"/>
  <c r="H148" i="4"/>
  <c r="K148" i="4"/>
  <c r="G148" i="4"/>
  <c r="F148" i="4"/>
  <c r="M148" i="4"/>
  <c r="J148" i="4"/>
  <c r="I148" i="4"/>
  <c r="J149" i="5"/>
  <c r="F149" i="5"/>
  <c r="I149" i="5"/>
  <c r="M149" i="5"/>
  <c r="H149" i="5"/>
  <c r="G149" i="5"/>
  <c r="K149" i="5"/>
  <c r="L149" i="5"/>
  <c r="K148" i="6"/>
  <c r="G148" i="6"/>
  <c r="I148" i="6"/>
  <c r="M148" i="6"/>
  <c r="H148" i="6"/>
  <c r="L148" i="6"/>
  <c r="J148" i="6"/>
  <c r="F148" i="6"/>
  <c r="L144" i="4"/>
  <c r="H144" i="4"/>
  <c r="K144" i="4"/>
  <c r="G144" i="4"/>
  <c r="J144" i="4"/>
  <c r="I144" i="4"/>
  <c r="M144" i="4"/>
  <c r="F144" i="4"/>
  <c r="J145" i="5"/>
  <c r="F145" i="5"/>
  <c r="K145" i="5"/>
  <c r="I145" i="5"/>
  <c r="H145" i="5"/>
  <c r="G145" i="5"/>
  <c r="L145" i="5"/>
  <c r="M145" i="5"/>
  <c r="K144" i="6"/>
  <c r="G144" i="6"/>
  <c r="J144" i="6"/>
  <c r="I144" i="6"/>
  <c r="M144" i="6"/>
  <c r="L144" i="6"/>
  <c r="H144" i="6"/>
  <c r="F144" i="6"/>
  <c r="K142" i="5"/>
  <c r="G142" i="5"/>
  <c r="L142" i="5"/>
  <c r="F142" i="5"/>
  <c r="J142" i="5"/>
  <c r="I142" i="5"/>
  <c r="H142" i="5"/>
  <c r="M142" i="5"/>
  <c r="J141" i="5"/>
  <c r="F141" i="5"/>
  <c r="L141" i="5"/>
  <c r="G141" i="5"/>
  <c r="K141" i="5"/>
  <c r="I141" i="5"/>
  <c r="H141" i="5"/>
  <c r="M141" i="5"/>
  <c r="K140" i="6"/>
  <c r="G140" i="6"/>
  <c r="L140" i="6"/>
  <c r="F140" i="6"/>
  <c r="J140" i="6"/>
  <c r="M140" i="6"/>
  <c r="I140" i="6"/>
  <c r="H140" i="6"/>
  <c r="L136" i="4"/>
  <c r="H136" i="4"/>
  <c r="K136" i="4"/>
  <c r="G136" i="4"/>
  <c r="J136" i="4"/>
  <c r="I136" i="4"/>
  <c r="F136" i="4"/>
  <c r="M136" i="4"/>
  <c r="K135" i="4"/>
  <c r="G135" i="4"/>
  <c r="J135" i="4"/>
  <c r="F135" i="4"/>
  <c r="M135" i="4"/>
  <c r="L135" i="4"/>
  <c r="I135" i="4"/>
  <c r="H135" i="4"/>
  <c r="K136" i="6"/>
  <c r="G136" i="6"/>
  <c r="M136" i="6"/>
  <c r="H136" i="6"/>
  <c r="L136" i="6"/>
  <c r="F136" i="6"/>
  <c r="J136" i="6"/>
  <c r="I136" i="6"/>
  <c r="L132" i="4"/>
  <c r="H132" i="4"/>
  <c r="K132" i="4"/>
  <c r="G132" i="4"/>
  <c r="F132" i="4"/>
  <c r="M132" i="4"/>
  <c r="J132" i="4"/>
  <c r="I132" i="4"/>
  <c r="J133" i="5"/>
  <c r="F133" i="5"/>
  <c r="I133" i="5"/>
  <c r="M133" i="5"/>
  <c r="H133" i="5"/>
  <c r="L133" i="5"/>
  <c r="K133" i="5"/>
  <c r="G133" i="5"/>
  <c r="K132" i="6"/>
  <c r="G132" i="6"/>
  <c r="I132" i="6"/>
  <c r="M132" i="6"/>
  <c r="H132" i="6"/>
  <c r="F132" i="6"/>
  <c r="L132" i="6"/>
  <c r="J132" i="6"/>
  <c r="L128" i="4"/>
  <c r="H128" i="4"/>
  <c r="K128" i="4"/>
  <c r="G128" i="4"/>
  <c r="J128" i="4"/>
  <c r="I128" i="4"/>
  <c r="M128" i="4"/>
  <c r="F128" i="4"/>
  <c r="J129" i="5"/>
  <c r="F129" i="5"/>
  <c r="K129" i="5"/>
  <c r="I129" i="5"/>
  <c r="M129" i="5"/>
  <c r="L129" i="5"/>
  <c r="H129" i="5"/>
  <c r="G129" i="5"/>
  <c r="K128" i="6"/>
  <c r="G128" i="6"/>
  <c r="J128" i="6"/>
  <c r="I128" i="6"/>
  <c r="H128" i="6"/>
  <c r="F128" i="6"/>
  <c r="M128" i="6"/>
  <c r="L128" i="6"/>
  <c r="L124" i="4"/>
  <c r="H124" i="4"/>
  <c r="K124" i="4"/>
  <c r="G124" i="4"/>
  <c r="F124" i="4"/>
  <c r="M124" i="4"/>
  <c r="J124" i="4"/>
  <c r="I124" i="4"/>
  <c r="J125" i="5"/>
  <c r="F125" i="5"/>
  <c r="L125" i="5"/>
  <c r="G125" i="5"/>
  <c r="K125" i="5"/>
  <c r="M125" i="5"/>
  <c r="I125" i="5"/>
  <c r="H125" i="5"/>
  <c r="K124" i="6"/>
  <c r="G124" i="6"/>
  <c r="L124" i="6"/>
  <c r="F124" i="6"/>
  <c r="I124" i="6"/>
  <c r="H124" i="6"/>
  <c r="M124" i="6"/>
  <c r="J124" i="6"/>
  <c r="L120" i="4"/>
  <c r="H120" i="4"/>
  <c r="K120" i="4"/>
  <c r="G120" i="4"/>
  <c r="J120" i="4"/>
  <c r="I120" i="4"/>
  <c r="F120" i="4"/>
  <c r="M120" i="4"/>
  <c r="J121" i="5"/>
  <c r="F121" i="5"/>
  <c r="M121" i="5"/>
  <c r="H121" i="5"/>
  <c r="L121" i="5"/>
  <c r="G121" i="5"/>
  <c r="K121" i="5"/>
  <c r="I121" i="5"/>
  <c r="K120" i="6"/>
  <c r="G120" i="6"/>
  <c r="M120" i="6"/>
  <c r="H120" i="6"/>
  <c r="J120" i="6"/>
  <c r="I120" i="6"/>
  <c r="F120" i="6"/>
  <c r="L120" i="6"/>
  <c r="L116" i="4"/>
  <c r="H116" i="4"/>
  <c r="K116" i="4"/>
  <c r="G116" i="4"/>
  <c r="F116" i="4"/>
  <c r="M116" i="4"/>
  <c r="J116" i="4"/>
  <c r="I116" i="4"/>
  <c r="J117" i="5"/>
  <c r="F117" i="5"/>
  <c r="I117" i="5"/>
  <c r="M117" i="5"/>
  <c r="H117" i="5"/>
  <c r="G117" i="5"/>
  <c r="L117" i="5"/>
  <c r="K117" i="5"/>
  <c r="K116" i="6"/>
  <c r="G116" i="6"/>
  <c r="I116" i="6"/>
  <c r="L116" i="6"/>
  <c r="J116" i="6"/>
  <c r="H116" i="6"/>
  <c r="F116" i="6"/>
  <c r="M116" i="6"/>
  <c r="L112" i="4"/>
  <c r="H112" i="4"/>
  <c r="K112" i="4"/>
  <c r="G112" i="4"/>
  <c r="J112" i="4"/>
  <c r="I112" i="4"/>
  <c r="M112" i="4"/>
  <c r="F112" i="4"/>
  <c r="K113" i="5"/>
  <c r="G113" i="5"/>
  <c r="J113" i="5"/>
  <c r="F113" i="5"/>
  <c r="I113" i="5"/>
  <c r="H113" i="5"/>
  <c r="M113" i="5"/>
  <c r="L113" i="5"/>
  <c r="K112" i="6"/>
  <c r="G112" i="6"/>
  <c r="J112" i="6"/>
  <c r="M112" i="6"/>
  <c r="F112" i="6"/>
  <c r="L112" i="6"/>
  <c r="I112" i="6"/>
  <c r="H112" i="6"/>
  <c r="L108" i="4"/>
  <c r="H108" i="4"/>
  <c r="K108" i="4"/>
  <c r="G108" i="4"/>
  <c r="F108" i="4"/>
  <c r="M108" i="4"/>
  <c r="J108" i="4"/>
  <c r="I108" i="4"/>
  <c r="K109" i="5"/>
  <c r="G109" i="5"/>
  <c r="J109" i="5"/>
  <c r="F109" i="5"/>
  <c r="M109" i="5"/>
  <c r="L109" i="5"/>
  <c r="I109" i="5"/>
  <c r="H109" i="5"/>
  <c r="K108" i="6"/>
  <c r="G108" i="6"/>
  <c r="L108" i="6"/>
  <c r="F108" i="6"/>
  <c r="H108" i="6"/>
  <c r="M108" i="6"/>
  <c r="J108" i="6"/>
  <c r="I108" i="6"/>
  <c r="M104" i="4"/>
  <c r="I104" i="4"/>
  <c r="L104" i="4"/>
  <c r="H104" i="4"/>
  <c r="K104" i="4"/>
  <c r="J104" i="4"/>
  <c r="G104" i="4"/>
  <c r="F104" i="4"/>
  <c r="L103" i="4"/>
  <c r="H103" i="4"/>
  <c r="K103" i="4"/>
  <c r="G103" i="4"/>
  <c r="F103" i="4"/>
  <c r="M103" i="4"/>
  <c r="J103" i="4"/>
  <c r="I103" i="4"/>
  <c r="M104" i="6"/>
  <c r="I104" i="6"/>
  <c r="L104" i="6"/>
  <c r="G104" i="6"/>
  <c r="K104" i="6"/>
  <c r="F104" i="6"/>
  <c r="J104" i="6"/>
  <c r="H104" i="6"/>
  <c r="M100" i="4"/>
  <c r="I100" i="4"/>
  <c r="L100" i="4"/>
  <c r="H100" i="4"/>
  <c r="G100" i="4"/>
  <c r="F100" i="4"/>
  <c r="K100" i="4"/>
  <c r="J100" i="4"/>
  <c r="K101" i="5"/>
  <c r="G101" i="5"/>
  <c r="J101" i="5"/>
  <c r="F101" i="5"/>
  <c r="M101" i="5"/>
  <c r="L101" i="5"/>
  <c r="H101" i="5"/>
  <c r="I101" i="5"/>
  <c r="M100" i="6"/>
  <c r="I100" i="6"/>
  <c r="H100" i="6"/>
  <c r="L100" i="6"/>
  <c r="G100" i="6"/>
  <c r="K100" i="6"/>
  <c r="J100" i="6"/>
  <c r="F100" i="6"/>
  <c r="M96" i="4"/>
  <c r="I96" i="4"/>
  <c r="L96" i="4"/>
  <c r="H96" i="4"/>
  <c r="K96" i="4"/>
  <c r="J96" i="4"/>
  <c r="G96" i="4"/>
  <c r="F96" i="4"/>
  <c r="K97" i="5"/>
  <c r="G97" i="5"/>
  <c r="J97" i="5"/>
  <c r="F97" i="5"/>
  <c r="I97" i="5"/>
  <c r="H97" i="5"/>
  <c r="M97" i="5"/>
  <c r="L97" i="5"/>
  <c r="M96" i="6"/>
  <c r="I96" i="6"/>
  <c r="J96" i="6"/>
  <c r="H96" i="6"/>
  <c r="L96" i="6"/>
  <c r="K96" i="6"/>
  <c r="G96" i="6"/>
  <c r="F96" i="6"/>
  <c r="M92" i="4"/>
  <c r="I92" i="4"/>
  <c r="L92" i="4"/>
  <c r="H92" i="4"/>
  <c r="G92" i="4"/>
  <c r="F92" i="4"/>
  <c r="K92" i="4"/>
  <c r="J92" i="4"/>
  <c r="K93" i="5"/>
  <c r="G93" i="5"/>
  <c r="J93" i="5"/>
  <c r="F93" i="5"/>
  <c r="M93" i="5"/>
  <c r="L93" i="5"/>
  <c r="I93" i="5"/>
  <c r="H93" i="5"/>
  <c r="K92" i="6"/>
  <c r="G92" i="6"/>
  <c r="J92" i="6"/>
  <c r="F92" i="6"/>
  <c r="M92" i="6"/>
  <c r="L92" i="6"/>
  <c r="I92" i="6"/>
  <c r="H92" i="6"/>
  <c r="M88" i="4"/>
  <c r="I88" i="4"/>
  <c r="L88" i="4"/>
  <c r="H88" i="4"/>
  <c r="K88" i="4"/>
  <c r="J88" i="4"/>
  <c r="G88" i="4"/>
  <c r="F88" i="4"/>
  <c r="K89" i="5"/>
  <c r="G89" i="5"/>
  <c r="J89" i="5"/>
  <c r="F89" i="5"/>
  <c r="I89" i="5"/>
  <c r="H89" i="5"/>
  <c r="L89" i="5"/>
  <c r="M89" i="5"/>
  <c r="K88" i="6"/>
  <c r="G88" i="6"/>
  <c r="J88" i="6"/>
  <c r="F88" i="6"/>
  <c r="I88" i="6"/>
  <c r="H88" i="6"/>
  <c r="M88" i="6"/>
  <c r="L88" i="6"/>
  <c r="M84" i="4"/>
  <c r="I84" i="4"/>
  <c r="L84" i="4"/>
  <c r="H84" i="4"/>
  <c r="G84" i="4"/>
  <c r="F84" i="4"/>
  <c r="K84" i="4"/>
  <c r="J84" i="4"/>
  <c r="K85" i="5"/>
  <c r="G85" i="5"/>
  <c r="J85" i="5"/>
  <c r="F85" i="5"/>
  <c r="M85" i="5"/>
  <c r="L85" i="5"/>
  <c r="H85" i="5"/>
  <c r="I85" i="5"/>
  <c r="K84" i="6"/>
  <c r="G84" i="6"/>
  <c r="J84" i="6"/>
  <c r="F84" i="6"/>
  <c r="M84" i="6"/>
  <c r="L84" i="6"/>
  <c r="I84" i="6"/>
  <c r="H84" i="6"/>
  <c r="M80" i="4"/>
  <c r="I80" i="4"/>
  <c r="L80" i="4"/>
  <c r="H80" i="4"/>
  <c r="K80" i="4"/>
  <c r="J80" i="4"/>
  <c r="G80" i="4"/>
  <c r="F80" i="4"/>
  <c r="K81" i="5"/>
  <c r="G81" i="5"/>
  <c r="J81" i="5"/>
  <c r="F81" i="5"/>
  <c r="I81" i="5"/>
  <c r="H81" i="5"/>
  <c r="M81" i="5"/>
  <c r="L81" i="5"/>
  <c r="K80" i="6"/>
  <c r="G80" i="6"/>
  <c r="J80" i="6"/>
  <c r="F80" i="6"/>
  <c r="I80" i="6"/>
  <c r="H80" i="6"/>
  <c r="M80" i="6"/>
  <c r="L80" i="6"/>
  <c r="M76" i="4"/>
  <c r="I76" i="4"/>
  <c r="L76" i="4"/>
  <c r="H76" i="4"/>
  <c r="G76" i="4"/>
  <c r="F76" i="4"/>
  <c r="K76" i="4"/>
  <c r="J76" i="4"/>
  <c r="K77" i="5"/>
  <c r="G77" i="5"/>
  <c r="J77" i="5"/>
  <c r="F77" i="5"/>
  <c r="M77" i="5"/>
  <c r="L77" i="5"/>
  <c r="I77" i="5"/>
  <c r="H77" i="5"/>
  <c r="K76" i="6"/>
  <c r="G76" i="6"/>
  <c r="J76" i="6"/>
  <c r="F76" i="6"/>
  <c r="M76" i="6"/>
  <c r="L76" i="6"/>
  <c r="I76" i="6"/>
  <c r="H76" i="6"/>
  <c r="M72" i="4"/>
  <c r="I72" i="4"/>
  <c r="L72" i="4"/>
  <c r="H72" i="4"/>
  <c r="K72" i="4"/>
  <c r="J72" i="4"/>
  <c r="G72" i="4"/>
  <c r="F72" i="4"/>
  <c r="L71" i="4"/>
  <c r="H71" i="4"/>
  <c r="K71" i="4"/>
  <c r="G71" i="4"/>
  <c r="F71" i="4"/>
  <c r="M71" i="4"/>
  <c r="J71" i="4"/>
  <c r="I71" i="4"/>
  <c r="K72" i="6"/>
  <c r="G72" i="6"/>
  <c r="J72" i="6"/>
  <c r="F72" i="6"/>
  <c r="I72" i="6"/>
  <c r="H72" i="6"/>
  <c r="M72" i="6"/>
  <c r="L72" i="6"/>
  <c r="M68" i="4"/>
  <c r="I68" i="4"/>
  <c r="L68" i="4"/>
  <c r="H68" i="4"/>
  <c r="G68" i="4"/>
  <c r="F68" i="4"/>
  <c r="K68" i="4"/>
  <c r="J68" i="4"/>
  <c r="K69" i="5"/>
  <c r="G69" i="5"/>
  <c r="J69" i="5"/>
  <c r="F69" i="5"/>
  <c r="M69" i="5"/>
  <c r="L69" i="5"/>
  <c r="H69" i="5"/>
  <c r="I69" i="5"/>
  <c r="J68" i="6"/>
  <c r="F68" i="6"/>
  <c r="M68" i="6"/>
  <c r="I68" i="6"/>
  <c r="G68" i="6"/>
  <c r="L68" i="6"/>
  <c r="K68" i="6"/>
  <c r="H68" i="6"/>
  <c r="M64" i="4"/>
  <c r="I64" i="4"/>
  <c r="L64" i="4"/>
  <c r="H64" i="4"/>
  <c r="K64" i="4"/>
  <c r="J64" i="4"/>
  <c r="G64" i="4"/>
  <c r="F64" i="4"/>
  <c r="K65" i="5"/>
  <c r="G65" i="5"/>
  <c r="J65" i="5"/>
  <c r="F65" i="5"/>
  <c r="I65" i="5"/>
  <c r="H65" i="5"/>
  <c r="M65" i="5"/>
  <c r="L65" i="5"/>
  <c r="J64" i="5"/>
  <c r="F64" i="5"/>
  <c r="M64" i="5"/>
  <c r="I64" i="5"/>
  <c r="L64" i="5"/>
  <c r="K64" i="5"/>
  <c r="H64" i="5"/>
  <c r="G64" i="5"/>
  <c r="M60" i="4"/>
  <c r="I60" i="4"/>
  <c r="L60" i="4"/>
  <c r="H60" i="4"/>
  <c r="G60" i="4"/>
  <c r="F60" i="4"/>
  <c r="K60" i="4"/>
  <c r="J60" i="4"/>
  <c r="K61" i="5"/>
  <c r="G61" i="5"/>
  <c r="J61" i="5"/>
  <c r="F61" i="5"/>
  <c r="M61" i="5"/>
  <c r="L61" i="5"/>
  <c r="I61" i="5"/>
  <c r="H61" i="5"/>
  <c r="J60" i="6"/>
  <c r="F60" i="6"/>
  <c r="M60" i="6"/>
  <c r="I60" i="6"/>
  <c r="G60" i="6"/>
  <c r="L60" i="6"/>
  <c r="K60" i="6"/>
  <c r="H60" i="6"/>
  <c r="L55" i="4"/>
  <c r="H55" i="4"/>
  <c r="K55" i="4"/>
  <c r="G55" i="4"/>
  <c r="F55" i="4"/>
  <c r="M55" i="4"/>
  <c r="J55" i="4"/>
  <c r="I55" i="4"/>
  <c r="L47" i="5"/>
  <c r="H47" i="5"/>
  <c r="K47" i="5"/>
  <c r="G47" i="5"/>
  <c r="I47" i="5"/>
  <c r="F47" i="5"/>
  <c r="M47" i="5"/>
  <c r="J47" i="5"/>
  <c r="K45" i="6"/>
  <c r="G45" i="6"/>
  <c r="J45" i="6"/>
  <c r="F45" i="6"/>
  <c r="L45" i="6"/>
  <c r="I45" i="6"/>
  <c r="H45" i="6"/>
  <c r="M45" i="6"/>
  <c r="J41" i="4"/>
  <c r="F41" i="4"/>
  <c r="M41" i="4"/>
  <c r="I41" i="4"/>
  <c r="H41" i="4"/>
  <c r="G41" i="4"/>
  <c r="L41" i="4"/>
  <c r="K41" i="4"/>
  <c r="K42" i="5"/>
  <c r="G42" i="5"/>
  <c r="J42" i="5"/>
  <c r="F42" i="5"/>
  <c r="H42" i="5"/>
  <c r="M42" i="5"/>
  <c r="L42" i="5"/>
  <c r="I42" i="5"/>
  <c r="M39" i="6"/>
  <c r="I39" i="6"/>
  <c r="L39" i="6"/>
  <c r="H39" i="6"/>
  <c r="F39" i="6"/>
  <c r="K39" i="6"/>
  <c r="J39" i="6"/>
  <c r="G39" i="6"/>
  <c r="L35" i="4"/>
  <c r="H35" i="4"/>
  <c r="K35" i="4"/>
  <c r="G35" i="4"/>
  <c r="J35" i="4"/>
  <c r="I35" i="4"/>
  <c r="F35" i="4"/>
  <c r="M35" i="4"/>
  <c r="M36" i="5"/>
  <c r="I36" i="5"/>
  <c r="L36" i="5"/>
  <c r="H36" i="5"/>
  <c r="J36" i="5"/>
  <c r="G36" i="5"/>
  <c r="F36" i="5"/>
  <c r="K36" i="5"/>
  <c r="M35" i="6"/>
  <c r="I35" i="6"/>
  <c r="L35" i="6"/>
  <c r="H35" i="6"/>
  <c r="J35" i="6"/>
  <c r="G35" i="6"/>
  <c r="F35" i="6"/>
  <c r="K35" i="6"/>
  <c r="K30" i="4"/>
  <c r="G30" i="4"/>
  <c r="J30" i="4"/>
  <c r="F30" i="4"/>
  <c r="I30" i="4"/>
  <c r="H30" i="4"/>
  <c r="M30" i="4"/>
  <c r="L30" i="4"/>
  <c r="L31" i="5"/>
  <c r="H31" i="5"/>
  <c r="K31" i="5"/>
  <c r="G31" i="5"/>
  <c r="I31" i="5"/>
  <c r="F31" i="5"/>
  <c r="M31" i="5"/>
  <c r="J31" i="5"/>
  <c r="L29" i="6"/>
  <c r="H29" i="6"/>
  <c r="K29" i="6"/>
  <c r="G29" i="6"/>
  <c r="J29" i="6"/>
  <c r="F29" i="6"/>
  <c r="M29" i="6"/>
  <c r="I29" i="6"/>
  <c r="J25" i="4"/>
  <c r="F25" i="4"/>
  <c r="M25" i="4"/>
  <c r="I25" i="4"/>
  <c r="H25" i="4"/>
  <c r="G25" i="4"/>
  <c r="L25" i="4"/>
  <c r="K25" i="4"/>
  <c r="L23" i="4"/>
  <c r="H23" i="4"/>
  <c r="K23" i="4"/>
  <c r="G23" i="4"/>
  <c r="F23" i="4"/>
  <c r="M23" i="4"/>
  <c r="J23" i="4"/>
  <c r="I23" i="4"/>
  <c r="K24" i="6"/>
  <c r="G24" i="6"/>
  <c r="J24" i="6"/>
  <c r="F24" i="6"/>
  <c r="M24" i="6"/>
  <c r="I24" i="6"/>
  <c r="H24" i="6"/>
  <c r="L24" i="6"/>
  <c r="L19" i="4"/>
  <c r="H19" i="4"/>
  <c r="K19" i="4"/>
  <c r="G19" i="4"/>
  <c r="J19" i="4"/>
  <c r="I19" i="4"/>
  <c r="M19" i="4"/>
  <c r="F19" i="4"/>
  <c r="M20" i="5"/>
  <c r="I20" i="5"/>
  <c r="L20" i="5"/>
  <c r="H20" i="5"/>
  <c r="J20" i="5"/>
  <c r="G20" i="5"/>
  <c r="F20" i="5"/>
  <c r="K20" i="5"/>
  <c r="M18" i="6"/>
  <c r="I18" i="6"/>
  <c r="L18" i="6"/>
  <c r="H18" i="6"/>
  <c r="K18" i="6"/>
  <c r="G18" i="6"/>
  <c r="J18" i="6"/>
  <c r="F18" i="6"/>
  <c r="ALO37" i="3"/>
  <c r="ALK37" i="3"/>
  <c r="ALG37" i="3"/>
  <c r="ALC37" i="3"/>
  <c r="AKY37" i="3"/>
  <c r="AKU37" i="3"/>
  <c r="AKQ37" i="3"/>
  <c r="AKM37" i="3"/>
  <c r="AKI37" i="3"/>
  <c r="AKE37" i="3"/>
  <c r="AKA37" i="3"/>
  <c r="AJW37" i="3"/>
  <c r="AJS37" i="3"/>
  <c r="AJO37" i="3"/>
  <c r="AJK37" i="3"/>
  <c r="AJG37" i="3"/>
  <c r="AJC37" i="3"/>
  <c r="AIY37" i="3"/>
  <c r="AIU37" i="3"/>
  <c r="AIQ37" i="3"/>
  <c r="AIM37" i="3"/>
  <c r="AII37" i="3"/>
  <c r="AIE37" i="3"/>
  <c r="AIA37" i="3"/>
  <c r="AHW37" i="3"/>
  <c r="AHS37" i="3"/>
  <c r="AHO37" i="3"/>
  <c r="AHK37" i="3"/>
  <c r="AHG37" i="3"/>
  <c r="AHC37" i="3"/>
  <c r="AGY37" i="3"/>
  <c r="AGU37" i="3"/>
  <c r="AGQ37" i="3"/>
  <c r="AGM37" i="3"/>
  <c r="AGI37" i="3"/>
  <c r="AGE37" i="3"/>
  <c r="AGA37" i="3"/>
  <c r="AFW37" i="3"/>
  <c r="AFS37" i="3"/>
  <c r="AFO37" i="3"/>
  <c r="AFK37" i="3"/>
  <c r="AFG37" i="3"/>
  <c r="AFC37" i="3"/>
  <c r="AEY37" i="3"/>
  <c r="AEU37" i="3"/>
  <c r="AEQ37" i="3"/>
  <c r="AEM37" i="3"/>
  <c r="AEI37" i="3"/>
  <c r="AEE37" i="3"/>
  <c r="AEA37" i="3"/>
  <c r="ADW37" i="3"/>
  <c r="ADS37" i="3"/>
  <c r="ADO37" i="3"/>
  <c r="ADK37" i="3"/>
  <c r="ADG37" i="3"/>
  <c r="ADC37" i="3"/>
  <c r="ACY37" i="3"/>
  <c r="ACU37" i="3"/>
  <c r="ACQ37" i="3"/>
  <c r="ACM37" i="3"/>
  <c r="ACI37" i="3"/>
  <c r="ACE37" i="3"/>
  <c r="ACA37" i="3"/>
  <c r="ABW37" i="3"/>
  <c r="ABS37" i="3"/>
  <c r="ABO37" i="3"/>
  <c r="ABK37" i="3"/>
  <c r="ABG37" i="3"/>
  <c r="ABC37" i="3"/>
  <c r="AAY37" i="3"/>
  <c r="AAU37" i="3"/>
  <c r="AAQ37" i="3"/>
  <c r="AAM37" i="3"/>
  <c r="AAI37" i="3"/>
  <c r="AAE37" i="3"/>
  <c r="AAA37" i="3"/>
  <c r="ZW37" i="3"/>
  <c r="ZS37" i="3"/>
  <c r="ZO37" i="3"/>
  <c r="ZK37" i="3"/>
  <c r="ZG37" i="3"/>
  <c r="ZC37" i="3"/>
  <c r="YY37" i="3"/>
  <c r="YU37" i="3"/>
  <c r="YQ37" i="3"/>
  <c r="YM37" i="3"/>
  <c r="YI37" i="3"/>
  <c r="YE37" i="3"/>
  <c r="YA37" i="3"/>
  <c r="XW37" i="3"/>
  <c r="XS37" i="3"/>
  <c r="XO37" i="3"/>
  <c r="XK37" i="3"/>
  <c r="XG37" i="3"/>
  <c r="XC37" i="3"/>
  <c r="WY37" i="3"/>
  <c r="WU37" i="3"/>
  <c r="WQ37" i="3"/>
  <c r="WM37" i="3"/>
  <c r="WI37" i="3"/>
  <c r="WE37" i="3"/>
  <c r="WA37" i="3"/>
  <c r="VW37" i="3"/>
  <c r="VS37" i="3"/>
  <c r="VO37" i="3"/>
  <c r="VK37" i="3"/>
  <c r="VG37" i="3"/>
  <c r="VC37" i="3"/>
  <c r="UY37" i="3"/>
  <c r="UU37" i="3"/>
  <c r="UQ37" i="3"/>
  <c r="UM37" i="3"/>
  <c r="UI37" i="3"/>
  <c r="UE37" i="3"/>
  <c r="UA37" i="3"/>
  <c r="TW37" i="3"/>
  <c r="TS37" i="3"/>
  <c r="TO37" i="3"/>
  <c r="TK37" i="3"/>
  <c r="TG37" i="3"/>
  <c r="TC37" i="3"/>
  <c r="SY37" i="3"/>
  <c r="SU37" i="3"/>
  <c r="SQ37" i="3"/>
  <c r="SM37" i="3"/>
  <c r="SI37" i="3"/>
  <c r="SE37" i="3"/>
  <c r="SA37" i="3"/>
  <c r="RW37" i="3"/>
  <c r="RS37" i="3"/>
  <c r="RO37" i="3"/>
  <c r="RK37" i="3"/>
  <c r="RG37" i="3"/>
  <c r="RC37" i="3"/>
  <c r="QY37" i="3"/>
  <c r="QU37" i="3"/>
  <c r="QQ37" i="3"/>
  <c r="QM37" i="3"/>
  <c r="QI37" i="3"/>
  <c r="QE37" i="3"/>
  <c r="QA37" i="3"/>
  <c r="PW37" i="3"/>
  <c r="PS37" i="3"/>
  <c r="PO37" i="3"/>
  <c r="PK37" i="3"/>
  <c r="PG37" i="3"/>
  <c r="PC37" i="3"/>
  <c r="OY37" i="3"/>
  <c r="OU37" i="3"/>
  <c r="OQ37" i="3"/>
  <c r="OM37" i="3"/>
  <c r="OI37" i="3"/>
  <c r="OE37" i="3"/>
  <c r="OA37" i="3"/>
  <c r="NW37" i="3"/>
  <c r="NS37" i="3"/>
  <c r="NO37" i="3"/>
  <c r="NK37" i="3"/>
  <c r="NG37" i="3"/>
  <c r="NC37" i="3"/>
  <c r="MY37" i="3"/>
  <c r="MU37" i="3"/>
  <c r="MQ37" i="3"/>
  <c r="MM37" i="3"/>
  <c r="MI37" i="3"/>
  <c r="ME37" i="3"/>
  <c r="MA37" i="3"/>
  <c r="LW37" i="3"/>
  <c r="LS37" i="3"/>
  <c r="LO37" i="3"/>
  <c r="LK37" i="3"/>
  <c r="LG37" i="3"/>
  <c r="LC37" i="3"/>
  <c r="KY37" i="3"/>
  <c r="KU37" i="3"/>
  <c r="KQ37" i="3"/>
  <c r="KM37" i="3"/>
  <c r="KI37" i="3"/>
  <c r="KE37" i="3"/>
  <c r="KA37" i="3"/>
  <c r="JW37" i="3"/>
  <c r="ALN37" i="3"/>
  <c r="ALI37" i="3"/>
  <c r="ALD37" i="3"/>
  <c r="AKX37" i="3"/>
  <c r="AKS37" i="3"/>
  <c r="AKN37" i="3"/>
  <c r="AKH37" i="3"/>
  <c r="AKC37" i="3"/>
  <c r="AJX37" i="3"/>
  <c r="AJR37" i="3"/>
  <c r="AJM37" i="3"/>
  <c r="AJH37" i="3"/>
  <c r="AJB37" i="3"/>
  <c r="AIW37" i="3"/>
  <c r="AIR37" i="3"/>
  <c r="AIL37" i="3"/>
  <c r="AIG37" i="3"/>
  <c r="AIB37" i="3"/>
  <c r="AHV37" i="3"/>
  <c r="AHQ37" i="3"/>
  <c r="AHL37" i="3"/>
  <c r="AHF37" i="3"/>
  <c r="AHA37" i="3"/>
  <c r="AGV37" i="3"/>
  <c r="AGP37" i="3"/>
  <c r="AGK37" i="3"/>
  <c r="AGF37" i="3"/>
  <c r="AFZ37" i="3"/>
  <c r="AFU37" i="3"/>
  <c r="AFP37" i="3"/>
  <c r="AFJ37" i="3"/>
  <c r="AFE37" i="3"/>
  <c r="AEZ37" i="3"/>
  <c r="AET37" i="3"/>
  <c r="AEO37" i="3"/>
  <c r="AEJ37" i="3"/>
  <c r="AED37" i="3"/>
  <c r="ADY37" i="3"/>
  <c r="ADT37" i="3"/>
  <c r="ADN37" i="3"/>
  <c r="ADI37" i="3"/>
  <c r="ADD37" i="3"/>
  <c r="ACX37" i="3"/>
  <c r="ACS37" i="3"/>
  <c r="ACN37" i="3"/>
  <c r="ACH37" i="3"/>
  <c r="ACC37" i="3"/>
  <c r="ABX37" i="3"/>
  <c r="ABR37" i="3"/>
  <c r="ABM37" i="3"/>
  <c r="ABH37" i="3"/>
  <c r="ABB37" i="3"/>
  <c r="AAW37" i="3"/>
  <c r="AAR37" i="3"/>
  <c r="AAL37" i="3"/>
  <c r="AAG37" i="3"/>
  <c r="AAB37" i="3"/>
  <c r="ZV37" i="3"/>
  <c r="ZQ37" i="3"/>
  <c r="ZL37" i="3"/>
  <c r="ZF37" i="3"/>
  <c r="ZA37" i="3"/>
  <c r="YV37" i="3"/>
  <c r="YP37" i="3"/>
  <c r="YK37" i="3"/>
  <c r="YF37" i="3"/>
  <c r="XZ37" i="3"/>
  <c r="XU37" i="3"/>
  <c r="XP37" i="3"/>
  <c r="XJ37" i="3"/>
  <c r="XE37" i="3"/>
  <c r="WZ37" i="3"/>
  <c r="WT37" i="3"/>
  <c r="WO37" i="3"/>
  <c r="WJ37" i="3"/>
  <c r="WD37" i="3"/>
  <c r="VY37" i="3"/>
  <c r="VT37" i="3"/>
  <c r="VN37" i="3"/>
  <c r="VI37" i="3"/>
  <c r="VD37" i="3"/>
  <c r="UX37" i="3"/>
  <c r="US37" i="3"/>
  <c r="UN37" i="3"/>
  <c r="UH37" i="3"/>
  <c r="UC37" i="3"/>
  <c r="TX37" i="3"/>
  <c r="TR37" i="3"/>
  <c r="TM37" i="3"/>
  <c r="TH37" i="3"/>
  <c r="TB37" i="3"/>
  <c r="SW37" i="3"/>
  <c r="SR37" i="3"/>
  <c r="SL37" i="3"/>
  <c r="SG37" i="3"/>
  <c r="SB37" i="3"/>
  <c r="RV37" i="3"/>
  <c r="RQ37" i="3"/>
  <c r="RL37" i="3"/>
  <c r="RF37" i="3"/>
  <c r="RA37" i="3"/>
  <c r="QV37" i="3"/>
  <c r="QP37" i="3"/>
  <c r="QK37" i="3"/>
  <c r="QF37" i="3"/>
  <c r="PZ37" i="3"/>
  <c r="PU37" i="3"/>
  <c r="PP37" i="3"/>
  <c r="PJ37" i="3"/>
  <c r="PE37" i="3"/>
  <c r="OZ37" i="3"/>
  <c r="OT37" i="3"/>
  <c r="OO37" i="3"/>
  <c r="OJ37" i="3"/>
  <c r="OD37" i="3"/>
  <c r="NY37" i="3"/>
  <c r="NT37" i="3"/>
  <c r="NN37" i="3"/>
  <c r="NI37" i="3"/>
  <c r="ND37" i="3"/>
  <c r="MX37" i="3"/>
  <c r="MS37" i="3"/>
  <c r="MN37" i="3"/>
  <c r="MH37" i="3"/>
  <c r="MC37" i="3"/>
  <c r="LX37" i="3"/>
  <c r="LR37" i="3"/>
  <c r="LM37" i="3"/>
  <c r="LH37" i="3"/>
  <c r="LB37" i="3"/>
  <c r="KW37" i="3"/>
  <c r="KR37" i="3"/>
  <c r="KL37" i="3"/>
  <c r="KG37" i="3"/>
  <c r="KB37" i="3"/>
  <c r="JV37" i="3"/>
  <c r="JR37" i="3"/>
  <c r="JN37" i="3"/>
  <c r="JJ37" i="3"/>
  <c r="JF37" i="3"/>
  <c r="JB37" i="3"/>
  <c r="IX37" i="3"/>
  <c r="IT37" i="3"/>
  <c r="IP37" i="3"/>
  <c r="IL37" i="3"/>
  <c r="IH37" i="3"/>
  <c r="ID37" i="3"/>
  <c r="ALM37" i="3"/>
  <c r="ALH37" i="3"/>
  <c r="ALB37" i="3"/>
  <c r="AKW37" i="3"/>
  <c r="AKR37" i="3"/>
  <c r="AKL37" i="3"/>
  <c r="AKG37" i="3"/>
  <c r="AKB37" i="3"/>
  <c r="AJV37" i="3"/>
  <c r="AJQ37" i="3"/>
  <c r="AJL37" i="3"/>
  <c r="AJF37" i="3"/>
  <c r="AJA37" i="3"/>
  <c r="AIV37" i="3"/>
  <c r="AIP37" i="3"/>
  <c r="AIK37" i="3"/>
  <c r="AIF37" i="3"/>
  <c r="AHZ37" i="3"/>
  <c r="AHU37" i="3"/>
  <c r="AHP37" i="3"/>
  <c r="AHJ37" i="3"/>
  <c r="AHE37" i="3"/>
  <c r="AGZ37" i="3"/>
  <c r="AGT37" i="3"/>
  <c r="AGO37" i="3"/>
  <c r="AGJ37" i="3"/>
  <c r="AGD37" i="3"/>
  <c r="AFY37" i="3"/>
  <c r="AFT37" i="3"/>
  <c r="AFN37" i="3"/>
  <c r="AFI37" i="3"/>
  <c r="AFD37" i="3"/>
  <c r="AEX37" i="3"/>
  <c r="AES37" i="3"/>
  <c r="AEN37" i="3"/>
  <c r="AEH37" i="3"/>
  <c r="AEC37" i="3"/>
  <c r="ADX37" i="3"/>
  <c r="ADR37" i="3"/>
  <c r="ADM37" i="3"/>
  <c r="ADH37" i="3"/>
  <c r="ADB37" i="3"/>
  <c r="ACW37" i="3"/>
  <c r="ACR37" i="3"/>
  <c r="ACL37" i="3"/>
  <c r="ACG37" i="3"/>
  <c r="ACB37" i="3"/>
  <c r="ABV37" i="3"/>
  <c r="ABQ37" i="3"/>
  <c r="ABL37" i="3"/>
  <c r="ABF37" i="3"/>
  <c r="ABA37" i="3"/>
  <c r="AAV37" i="3"/>
  <c r="AAP37" i="3"/>
  <c r="AAK37" i="3"/>
  <c r="AAF37" i="3"/>
  <c r="ZZ37" i="3"/>
  <c r="ZU37" i="3"/>
  <c r="ZP37" i="3"/>
  <c r="ZJ37" i="3"/>
  <c r="ZE37" i="3"/>
  <c r="YZ37" i="3"/>
  <c r="YT37" i="3"/>
  <c r="YO37" i="3"/>
  <c r="YJ37" i="3"/>
  <c r="YD37" i="3"/>
  <c r="XY37" i="3"/>
  <c r="XT37" i="3"/>
  <c r="XN37" i="3"/>
  <c r="XI37" i="3"/>
  <c r="XD37" i="3"/>
  <c r="WX37" i="3"/>
  <c r="WS37" i="3"/>
  <c r="WN37" i="3"/>
  <c r="WH37" i="3"/>
  <c r="WC37" i="3"/>
  <c r="VX37" i="3"/>
  <c r="VR37" i="3"/>
  <c r="VM37" i="3"/>
  <c r="VH37" i="3"/>
  <c r="VB37" i="3"/>
  <c r="UW37" i="3"/>
  <c r="UR37" i="3"/>
  <c r="UL37" i="3"/>
  <c r="UG37" i="3"/>
  <c r="UB37" i="3"/>
  <c r="TV37" i="3"/>
  <c r="TQ37" i="3"/>
  <c r="TL37" i="3"/>
  <c r="TF37" i="3"/>
  <c r="TA37" i="3"/>
  <c r="SV37" i="3"/>
  <c r="SP37" i="3"/>
  <c r="SK37" i="3"/>
  <c r="SF37" i="3"/>
  <c r="RZ37" i="3"/>
  <c r="RU37" i="3"/>
  <c r="RP37" i="3"/>
  <c r="RJ37" i="3"/>
  <c r="RE37" i="3"/>
  <c r="QZ37" i="3"/>
  <c r="QT37" i="3"/>
  <c r="QO37" i="3"/>
  <c r="QJ37" i="3"/>
  <c r="QD37" i="3"/>
  <c r="PY37" i="3"/>
  <c r="PT37" i="3"/>
  <c r="PN37" i="3"/>
  <c r="PI37" i="3"/>
  <c r="ALQ37" i="3"/>
  <c r="ALL37" i="3"/>
  <c r="ALF37" i="3"/>
  <c r="ALA37" i="3"/>
  <c r="AKV37" i="3"/>
  <c r="AKP37" i="3"/>
  <c r="AKK37" i="3"/>
  <c r="AKF37" i="3"/>
  <c r="AJZ37" i="3"/>
  <c r="AJU37" i="3"/>
  <c r="AJP37" i="3"/>
  <c r="AJJ37" i="3"/>
  <c r="AJE37" i="3"/>
  <c r="AIZ37" i="3"/>
  <c r="AIT37" i="3"/>
  <c r="AIO37" i="3"/>
  <c r="AIJ37" i="3"/>
  <c r="AID37" i="3"/>
  <c r="AHY37" i="3"/>
  <c r="AHT37" i="3"/>
  <c r="AHN37" i="3"/>
  <c r="AHI37" i="3"/>
  <c r="AHD37" i="3"/>
  <c r="AGX37" i="3"/>
  <c r="AGS37" i="3"/>
  <c r="AGN37" i="3"/>
  <c r="AGH37" i="3"/>
  <c r="AGC37" i="3"/>
  <c r="AFX37" i="3"/>
  <c r="AFR37" i="3"/>
  <c r="AFM37" i="3"/>
  <c r="AFH37" i="3"/>
  <c r="AFB37" i="3"/>
  <c r="AEW37" i="3"/>
  <c r="AER37" i="3"/>
  <c r="AEL37" i="3"/>
  <c r="AEG37" i="3"/>
  <c r="AEB37" i="3"/>
  <c r="ADV37" i="3"/>
  <c r="ADQ37" i="3"/>
  <c r="ADL37" i="3"/>
  <c r="ADF37" i="3"/>
  <c r="ADA37" i="3"/>
  <c r="ACV37" i="3"/>
  <c r="ACP37" i="3"/>
  <c r="ACK37" i="3"/>
  <c r="ACF37" i="3"/>
  <c r="ABZ37" i="3"/>
  <c r="ABU37" i="3"/>
  <c r="ABP37" i="3"/>
  <c r="ABJ37" i="3"/>
  <c r="ABE37" i="3"/>
  <c r="AAZ37" i="3"/>
  <c r="AAT37" i="3"/>
  <c r="AAO37" i="3"/>
  <c r="AAJ37" i="3"/>
  <c r="AAD37" i="3"/>
  <c r="ZY37" i="3"/>
  <c r="ZT37" i="3"/>
  <c r="ZN37" i="3"/>
  <c r="ZI37" i="3"/>
  <c r="ZD37" i="3"/>
  <c r="YX37" i="3"/>
  <c r="YS37" i="3"/>
  <c r="YN37" i="3"/>
  <c r="YH37" i="3"/>
  <c r="YC37" i="3"/>
  <c r="XX37" i="3"/>
  <c r="XR37" i="3"/>
  <c r="XM37" i="3"/>
  <c r="XH37" i="3"/>
  <c r="XB37" i="3"/>
  <c r="WW37" i="3"/>
  <c r="WR37" i="3"/>
  <c r="WL37" i="3"/>
  <c r="WG37" i="3"/>
  <c r="WB37" i="3"/>
  <c r="VV37" i="3"/>
  <c r="VQ37" i="3"/>
  <c r="VL37" i="3"/>
  <c r="VF37" i="3"/>
  <c r="VA37" i="3"/>
  <c r="UV37" i="3"/>
  <c r="UP37" i="3"/>
  <c r="UK37" i="3"/>
  <c r="UF37" i="3"/>
  <c r="TZ37" i="3"/>
  <c r="TU37" i="3"/>
  <c r="TP37" i="3"/>
  <c r="TJ37" i="3"/>
  <c r="TE37" i="3"/>
  <c r="SZ37" i="3"/>
  <c r="ST37" i="3"/>
  <c r="SO37" i="3"/>
  <c r="SJ37" i="3"/>
  <c r="SD37" i="3"/>
  <c r="RY37" i="3"/>
  <c r="RT37" i="3"/>
  <c r="RN37" i="3"/>
  <c r="RI37" i="3"/>
  <c r="RD37" i="3"/>
  <c r="QX37" i="3"/>
  <c r="QS37" i="3"/>
  <c r="QN37" i="3"/>
  <c r="QH37" i="3"/>
  <c r="QC37" i="3"/>
  <c r="PX37" i="3"/>
  <c r="PR37" i="3"/>
  <c r="PM37" i="3"/>
  <c r="PH37" i="3"/>
  <c r="PB37" i="3"/>
  <c r="OW37" i="3"/>
  <c r="OR37" i="3"/>
  <c r="OL37" i="3"/>
  <c r="OG37" i="3"/>
  <c r="OB37" i="3"/>
  <c r="NV37" i="3"/>
  <c r="NQ37" i="3"/>
  <c r="NL37" i="3"/>
  <c r="NF37" i="3"/>
  <c r="NA37" i="3"/>
  <c r="MV37" i="3"/>
  <c r="MP37" i="3"/>
  <c r="MK37" i="3"/>
  <c r="MF37" i="3"/>
  <c r="LZ37" i="3"/>
  <c r="LU37" i="3"/>
  <c r="LP37" i="3"/>
  <c r="LJ37" i="3"/>
  <c r="LE37" i="3"/>
  <c r="KZ37" i="3"/>
  <c r="KT37" i="3"/>
  <c r="KO37" i="3"/>
  <c r="KJ37" i="3"/>
  <c r="KD37" i="3"/>
  <c r="JY37" i="3"/>
  <c r="JT37" i="3"/>
  <c r="JP37" i="3"/>
  <c r="JL37" i="3"/>
  <c r="JH37" i="3"/>
  <c r="JD37" i="3"/>
  <c r="IZ37" i="3"/>
  <c r="IV37" i="3"/>
  <c r="ALP37" i="3"/>
  <c r="ALJ37" i="3"/>
  <c r="ALE37" i="3"/>
  <c r="AKZ37" i="3"/>
  <c r="AKT37" i="3"/>
  <c r="AKO37" i="3"/>
  <c r="AKJ37" i="3"/>
  <c r="AKD37" i="3"/>
  <c r="AJY37" i="3"/>
  <c r="AJT37" i="3"/>
  <c r="AJN37" i="3"/>
  <c r="AJI37" i="3"/>
  <c r="AJD37" i="3"/>
  <c r="AIX37" i="3"/>
  <c r="AIS37" i="3"/>
  <c r="AIN37" i="3"/>
  <c r="AIH37" i="3"/>
  <c r="AIC37" i="3"/>
  <c r="AHX37" i="3"/>
  <c r="AHR37" i="3"/>
  <c r="AHM37" i="3"/>
  <c r="AHH37" i="3"/>
  <c r="AHB37" i="3"/>
  <c r="AGW37" i="3"/>
  <c r="AGR37" i="3"/>
  <c r="AGL37" i="3"/>
  <c r="AGG37" i="3"/>
  <c r="AGB37" i="3"/>
  <c r="AFV37" i="3"/>
  <c r="AFQ37" i="3"/>
  <c r="AFL37" i="3"/>
  <c r="AFF37" i="3"/>
  <c r="AFA37" i="3"/>
  <c r="AEV37" i="3"/>
  <c r="AEP37" i="3"/>
  <c r="AEK37" i="3"/>
  <c r="AEF37" i="3"/>
  <c r="ADZ37" i="3"/>
  <c r="ADU37" i="3"/>
  <c r="ADP37" i="3"/>
  <c r="ADJ37" i="3"/>
  <c r="ADE37" i="3"/>
  <c r="ACZ37" i="3"/>
  <c r="ACT37" i="3"/>
  <c r="ACO37" i="3"/>
  <c r="ACJ37" i="3"/>
  <c r="ACD37" i="3"/>
  <c r="ABY37" i="3"/>
  <c r="ABT37" i="3"/>
  <c r="ABN37" i="3"/>
  <c r="ABI37" i="3"/>
  <c r="ABD37" i="3"/>
  <c r="AAX37" i="3"/>
  <c r="AAS37" i="3"/>
  <c r="AAN37" i="3"/>
  <c r="AAH37" i="3"/>
  <c r="AAC37" i="3"/>
  <c r="ZX37" i="3"/>
  <c r="ZR37" i="3"/>
  <c r="ZM37" i="3"/>
  <c r="ZH37" i="3"/>
  <c r="ZB37" i="3"/>
  <c r="YW37" i="3"/>
  <c r="YR37" i="3"/>
  <c r="YL37" i="3"/>
  <c r="YG37" i="3"/>
  <c r="YB37" i="3"/>
  <c r="XV37" i="3"/>
  <c r="XQ37" i="3"/>
  <c r="XL37" i="3"/>
  <c r="XF37" i="3"/>
  <c r="XA37" i="3"/>
  <c r="WV37" i="3"/>
  <c r="WP37" i="3"/>
  <c r="WK37" i="3"/>
  <c r="WF37" i="3"/>
  <c r="VZ37" i="3"/>
  <c r="VU37" i="3"/>
  <c r="VP37" i="3"/>
  <c r="VJ37" i="3"/>
  <c r="VE37" i="3"/>
  <c r="UZ37" i="3"/>
  <c r="UT37" i="3"/>
  <c r="UO37" i="3"/>
  <c r="UJ37" i="3"/>
  <c r="UD37" i="3"/>
  <c r="TY37" i="3"/>
  <c r="TT37" i="3"/>
  <c r="TN37" i="3"/>
  <c r="TI37" i="3"/>
  <c r="TD37" i="3"/>
  <c r="SX37" i="3"/>
  <c r="SS37" i="3"/>
  <c r="SN37" i="3"/>
  <c r="SH37" i="3"/>
  <c r="SC37" i="3"/>
  <c r="RX37" i="3"/>
  <c r="RR37" i="3"/>
  <c r="RM37" i="3"/>
  <c r="RH37" i="3"/>
  <c r="RB37" i="3"/>
  <c r="QW37" i="3"/>
  <c r="QR37" i="3"/>
  <c r="QL37" i="3"/>
  <c r="QG37" i="3"/>
  <c r="QB37" i="3"/>
  <c r="PV37" i="3"/>
  <c r="PQ37" i="3"/>
  <c r="PL37" i="3"/>
  <c r="PF37" i="3"/>
  <c r="PA37" i="3"/>
  <c r="OV37" i="3"/>
  <c r="OP37" i="3"/>
  <c r="OK37" i="3"/>
  <c r="OF37" i="3"/>
  <c r="NZ37" i="3"/>
  <c r="NU37" i="3"/>
  <c r="NP37" i="3"/>
  <c r="NJ37" i="3"/>
  <c r="NE37" i="3"/>
  <c r="MZ37" i="3"/>
  <c r="MT37" i="3"/>
  <c r="MO37" i="3"/>
  <c r="MJ37" i="3"/>
  <c r="MD37" i="3"/>
  <c r="LY37" i="3"/>
  <c r="LT37" i="3"/>
  <c r="LN37" i="3"/>
  <c r="LI37" i="3"/>
  <c r="LD37" i="3"/>
  <c r="KX37" i="3"/>
  <c r="KS37" i="3"/>
  <c r="KN37" i="3"/>
  <c r="KH37" i="3"/>
  <c r="KC37" i="3"/>
  <c r="JX37" i="3"/>
  <c r="JS37" i="3"/>
  <c r="JO37" i="3"/>
  <c r="JK37" i="3"/>
  <c r="JG37" i="3"/>
  <c r="JC37" i="3"/>
  <c r="IY37" i="3"/>
  <c r="IU37" i="3"/>
  <c r="IQ37" i="3"/>
  <c r="IM37" i="3"/>
  <c r="II37" i="3"/>
  <c r="IE37" i="3"/>
  <c r="IA37" i="3"/>
  <c r="HW37" i="3"/>
  <c r="HS37" i="3"/>
  <c r="HO37" i="3"/>
  <c r="HK37" i="3"/>
  <c r="HG37" i="3"/>
  <c r="HC37" i="3"/>
  <c r="OS37" i="3"/>
  <c r="NX37" i="3"/>
  <c r="NB37" i="3"/>
  <c r="MG37" i="3"/>
  <c r="LL37" i="3"/>
  <c r="KP37" i="3"/>
  <c r="JU37" i="3"/>
  <c r="JE37" i="3"/>
  <c r="IR37" i="3"/>
  <c r="IJ37" i="3"/>
  <c r="IB37" i="3"/>
  <c r="HV37" i="3"/>
  <c r="HQ37" i="3"/>
  <c r="HL37" i="3"/>
  <c r="HF37" i="3"/>
  <c r="HA37" i="3"/>
  <c r="GW37" i="3"/>
  <c r="GS37" i="3"/>
  <c r="GO37" i="3"/>
  <c r="GK37" i="3"/>
  <c r="GG37" i="3"/>
  <c r="GC37" i="3"/>
  <c r="FY37" i="3"/>
  <c r="FU37" i="3"/>
  <c r="FQ37" i="3"/>
  <c r="FM37" i="3"/>
  <c r="FI37" i="3"/>
  <c r="FE37" i="3"/>
  <c r="FA37" i="3"/>
  <c r="EW37" i="3"/>
  <c r="ES37" i="3"/>
  <c r="EO37" i="3"/>
  <c r="EK37" i="3"/>
  <c r="EG37" i="3"/>
  <c r="EC37" i="3"/>
  <c r="DY37" i="3"/>
  <c r="DU37" i="3"/>
  <c r="DQ37" i="3"/>
  <c r="DM37" i="3"/>
  <c r="DI37" i="3"/>
  <c r="DE37" i="3"/>
  <c r="DA37" i="3"/>
  <c r="CW37" i="3"/>
  <c r="CS37" i="3"/>
  <c r="CO37" i="3"/>
  <c r="CK37" i="3"/>
  <c r="CG37" i="3"/>
  <c r="CC37" i="3"/>
  <c r="BY37" i="3"/>
  <c r="BU37" i="3"/>
  <c r="BQ37" i="3"/>
  <c r="BM37" i="3"/>
  <c r="BI37" i="3"/>
  <c r="BE37" i="3"/>
  <c r="BA37" i="3"/>
  <c r="AW37" i="3"/>
  <c r="AS37" i="3"/>
  <c r="AO37" i="3"/>
  <c r="AK37" i="3"/>
  <c r="AG37" i="3"/>
  <c r="AC37" i="3"/>
  <c r="Y37" i="3"/>
  <c r="U37" i="3"/>
  <c r="Q37" i="3"/>
  <c r="M37" i="3"/>
  <c r="I37" i="3"/>
  <c r="F37" i="3"/>
  <c r="ON37" i="3"/>
  <c r="NR37" i="3"/>
  <c r="MW37" i="3"/>
  <c r="MB37" i="3"/>
  <c r="LF37" i="3"/>
  <c r="KK37" i="3"/>
  <c r="JQ37" i="3"/>
  <c r="JA37" i="3"/>
  <c r="IO37" i="3"/>
  <c r="IG37" i="3"/>
  <c r="HZ37" i="3"/>
  <c r="HU37" i="3"/>
  <c r="HP37" i="3"/>
  <c r="HJ37" i="3"/>
  <c r="HE37" i="3"/>
  <c r="GZ37" i="3"/>
  <c r="GV37" i="3"/>
  <c r="GR37" i="3"/>
  <c r="GN37" i="3"/>
  <c r="GJ37" i="3"/>
  <c r="GF37" i="3"/>
  <c r="GB37" i="3"/>
  <c r="FX37" i="3"/>
  <c r="FT37" i="3"/>
  <c r="FP37" i="3"/>
  <c r="FL37" i="3"/>
  <c r="FH37" i="3"/>
  <c r="FD37" i="3"/>
  <c r="EZ37" i="3"/>
  <c r="EV37" i="3"/>
  <c r="ER37" i="3"/>
  <c r="EN37" i="3"/>
  <c r="EJ37" i="3"/>
  <c r="EF37" i="3"/>
  <c r="EB37" i="3"/>
  <c r="DX37" i="3"/>
  <c r="DT37" i="3"/>
  <c r="DP37" i="3"/>
  <c r="DL37" i="3"/>
  <c r="DH37" i="3"/>
  <c r="DD37" i="3"/>
  <c r="CZ37" i="3"/>
  <c r="CV37" i="3"/>
  <c r="CR37" i="3"/>
  <c r="CN37" i="3"/>
  <c r="CJ37" i="3"/>
  <c r="CF37" i="3"/>
  <c r="CB37" i="3"/>
  <c r="BX37" i="3"/>
  <c r="BT37" i="3"/>
  <c r="BP37" i="3"/>
  <c r="BL37" i="3"/>
  <c r="BH37" i="3"/>
  <c r="BD37" i="3"/>
  <c r="AZ37" i="3"/>
  <c r="AV37" i="3"/>
  <c r="AR37" i="3"/>
  <c r="AN37" i="3"/>
  <c r="AJ37" i="3"/>
  <c r="AF37" i="3"/>
  <c r="AB37" i="3"/>
  <c r="X37" i="3"/>
  <c r="T37" i="3"/>
  <c r="P37" i="3"/>
  <c r="L37" i="3"/>
  <c r="H37" i="3"/>
  <c r="PD37" i="3"/>
  <c r="OH37" i="3"/>
  <c r="NM37" i="3"/>
  <c r="MR37" i="3"/>
  <c r="LV37" i="3"/>
  <c r="LA37" i="3"/>
  <c r="KF37" i="3"/>
  <c r="JM37" i="3"/>
  <c r="IW37" i="3"/>
  <c r="IN37" i="3"/>
  <c r="IF37" i="3"/>
  <c r="HY37" i="3"/>
  <c r="HT37" i="3"/>
  <c r="HN37" i="3"/>
  <c r="HI37" i="3"/>
  <c r="HD37" i="3"/>
  <c r="GY37" i="3"/>
  <c r="GU37" i="3"/>
  <c r="GQ37" i="3"/>
  <c r="GM37" i="3"/>
  <c r="GI37" i="3"/>
  <c r="GE37" i="3"/>
  <c r="GA37" i="3"/>
  <c r="FW37" i="3"/>
  <c r="FS37" i="3"/>
  <c r="FO37" i="3"/>
  <c r="FK37" i="3"/>
  <c r="FG37" i="3"/>
  <c r="FC37" i="3"/>
  <c r="EY37" i="3"/>
  <c r="EU37" i="3"/>
  <c r="EQ37" i="3"/>
  <c r="EM37" i="3"/>
  <c r="EI37" i="3"/>
  <c r="EE37" i="3"/>
  <c r="EA37" i="3"/>
  <c r="DW37" i="3"/>
  <c r="DS37" i="3"/>
  <c r="DO37" i="3"/>
  <c r="DK37" i="3"/>
  <c r="DG37" i="3"/>
  <c r="DC37" i="3"/>
  <c r="CY37" i="3"/>
  <c r="CU37" i="3"/>
  <c r="CQ37" i="3"/>
  <c r="CM37" i="3"/>
  <c r="CI37" i="3"/>
  <c r="CE37" i="3"/>
  <c r="CA37" i="3"/>
  <c r="BW37" i="3"/>
  <c r="BS37" i="3"/>
  <c r="BO37" i="3"/>
  <c r="BK37" i="3"/>
  <c r="BG37" i="3"/>
  <c r="BC37" i="3"/>
  <c r="AY37" i="3"/>
  <c r="AU37" i="3"/>
  <c r="AQ37" i="3"/>
  <c r="AM37" i="3"/>
  <c r="AI37" i="3"/>
  <c r="AE37" i="3"/>
  <c r="AA37" i="3"/>
  <c r="W37" i="3"/>
  <c r="S37" i="3"/>
  <c r="O37" i="3"/>
  <c r="K37" i="3"/>
  <c r="G37" i="3"/>
  <c r="OX37" i="3"/>
  <c r="OC37" i="3"/>
  <c r="NH37" i="3"/>
  <c r="ML37" i="3"/>
  <c r="LQ37" i="3"/>
  <c r="KV37" i="3"/>
  <c r="JZ37" i="3"/>
  <c r="JI37" i="3"/>
  <c r="IS37" i="3"/>
  <c r="IK37" i="3"/>
  <c r="IC37" i="3"/>
  <c r="HX37" i="3"/>
  <c r="HR37" i="3"/>
  <c r="HM37" i="3"/>
  <c r="HH37" i="3"/>
  <c r="HB37" i="3"/>
  <c r="GX37" i="3"/>
  <c r="GT37" i="3"/>
  <c r="GP37" i="3"/>
  <c r="GL37" i="3"/>
  <c r="GH37" i="3"/>
  <c r="GD37" i="3"/>
  <c r="FZ37" i="3"/>
  <c r="FV37" i="3"/>
  <c r="FR37" i="3"/>
  <c r="FN37" i="3"/>
  <c r="FJ37" i="3"/>
  <c r="FF37" i="3"/>
  <c r="FB37" i="3"/>
  <c r="EX37" i="3"/>
  <c r="ET37" i="3"/>
  <c r="EP37" i="3"/>
  <c r="EL37" i="3"/>
  <c r="EH37" i="3"/>
  <c r="ED37" i="3"/>
  <c r="DZ37" i="3"/>
  <c r="DV37" i="3"/>
  <c r="DR37" i="3"/>
  <c r="DN37" i="3"/>
  <c r="DJ37" i="3"/>
  <c r="DF37" i="3"/>
  <c r="DB37" i="3"/>
  <c r="CX37" i="3"/>
  <c r="CT37" i="3"/>
  <c r="CP37" i="3"/>
  <c r="CL37" i="3"/>
  <c r="CH37" i="3"/>
  <c r="CD37" i="3"/>
  <c r="BZ37" i="3"/>
  <c r="BV37" i="3"/>
  <c r="BR37" i="3"/>
  <c r="BN37" i="3"/>
  <c r="BJ37" i="3"/>
  <c r="BF37" i="3"/>
  <c r="BB37" i="3"/>
  <c r="AX37" i="3"/>
  <c r="AT37" i="3"/>
  <c r="AP37" i="3"/>
  <c r="AL37" i="3"/>
  <c r="AH37" i="3"/>
  <c r="AD37" i="3"/>
  <c r="Z37" i="3"/>
  <c r="V37" i="3"/>
  <c r="R37" i="3"/>
  <c r="N37" i="3"/>
  <c r="J37" i="3"/>
  <c r="K12" i="6"/>
  <c r="G12" i="6"/>
  <c r="J12" i="6"/>
  <c r="F12" i="6"/>
  <c r="M12" i="6"/>
  <c r="I12" i="6"/>
  <c r="L12" i="6"/>
  <c r="H12" i="6"/>
  <c r="E4" i="4"/>
  <c r="E7" i="4"/>
  <c r="E3" i="4"/>
  <c r="E6" i="4"/>
  <c r="E5" i="4"/>
  <c r="E2" i="4"/>
  <c r="AG10" i="6"/>
  <c r="AK10" i="6"/>
  <c r="AK10" i="5"/>
  <c r="U8" i="4"/>
  <c r="AO10" i="6"/>
  <c r="AO8" i="4"/>
  <c r="ALN5" i="3"/>
  <c r="ALJ5" i="3"/>
  <c r="ALF5" i="3"/>
  <c r="ALB5" i="3"/>
  <c r="AKX5" i="3"/>
  <c r="AKT5" i="3"/>
  <c r="AKP5" i="3"/>
  <c r="AKL5" i="3"/>
  <c r="AKH5" i="3"/>
  <c r="AKD5" i="3"/>
  <c r="AJZ5" i="3"/>
  <c r="AJV5" i="3"/>
  <c r="AJR5" i="3"/>
  <c r="AJN5" i="3"/>
  <c r="AJJ5" i="3"/>
  <c r="AJF5" i="3"/>
  <c r="AJB5" i="3"/>
  <c r="AIX5" i="3"/>
  <c r="AIT5" i="3"/>
  <c r="AIP5" i="3"/>
  <c r="AIL5" i="3"/>
  <c r="AIH5" i="3"/>
  <c r="AID5" i="3"/>
  <c r="AHZ5" i="3"/>
  <c r="AHV5" i="3"/>
  <c r="AHR5" i="3"/>
  <c r="AHN5" i="3"/>
  <c r="AHJ5" i="3"/>
  <c r="AHF5" i="3"/>
  <c r="AHB5" i="3"/>
  <c r="AGX5" i="3"/>
  <c r="AGT5" i="3"/>
  <c r="AGP5" i="3"/>
  <c r="AGL5" i="3"/>
  <c r="AGH5" i="3"/>
  <c r="AGD5" i="3"/>
  <c r="AFZ5" i="3"/>
  <c r="AFV5" i="3"/>
  <c r="AFR5" i="3"/>
  <c r="AFN5" i="3"/>
  <c r="AFJ5" i="3"/>
  <c r="AFF5" i="3"/>
  <c r="AFB5" i="3"/>
  <c r="AEX5" i="3"/>
  <c r="AET5" i="3"/>
  <c r="AEP5" i="3"/>
  <c r="AEL5" i="3"/>
  <c r="AEH5" i="3"/>
  <c r="AED5" i="3"/>
  <c r="ADZ5" i="3"/>
  <c r="ADV5" i="3"/>
  <c r="ADR5" i="3"/>
  <c r="ADN5" i="3"/>
  <c r="ADJ5" i="3"/>
  <c r="ADF5" i="3"/>
  <c r="ADB5" i="3"/>
  <c r="ACX5" i="3"/>
  <c r="ACT5" i="3"/>
  <c r="ACP5" i="3"/>
  <c r="ACL5" i="3"/>
  <c r="ACH5" i="3"/>
  <c r="ACD5" i="3"/>
  <c r="ABZ5" i="3"/>
  <c r="ABV5" i="3"/>
  <c r="ABR5" i="3"/>
  <c r="ABN5" i="3"/>
  <c r="ABJ5" i="3"/>
  <c r="ABF5" i="3"/>
  <c r="ABB5" i="3"/>
  <c r="AAX5" i="3"/>
  <c r="AAT5" i="3"/>
  <c r="AAP5" i="3"/>
  <c r="AAL5" i="3"/>
  <c r="AAH5" i="3"/>
  <c r="AAD5" i="3"/>
  <c r="ZZ5" i="3"/>
  <c r="ZV5" i="3"/>
  <c r="ZR5" i="3"/>
  <c r="ZN5" i="3"/>
  <c r="ZJ5" i="3"/>
  <c r="ZF5" i="3"/>
  <c r="ZB5" i="3"/>
  <c r="YX5" i="3"/>
  <c r="YT5" i="3"/>
  <c r="YP5" i="3"/>
  <c r="YL5" i="3"/>
  <c r="YH5" i="3"/>
  <c r="YD5" i="3"/>
  <c r="XZ5" i="3"/>
  <c r="XV5" i="3"/>
  <c r="XR5" i="3"/>
  <c r="XN5" i="3"/>
  <c r="XJ5" i="3"/>
  <c r="XF5" i="3"/>
  <c r="XB5" i="3"/>
  <c r="WX5" i="3"/>
  <c r="WT5" i="3"/>
  <c r="WP5" i="3"/>
  <c r="WL5" i="3"/>
  <c r="WH5" i="3"/>
  <c r="WD5" i="3"/>
  <c r="VZ5" i="3"/>
  <c r="VV5" i="3"/>
  <c r="VR5" i="3"/>
  <c r="VN5" i="3"/>
  <c r="VJ5" i="3"/>
  <c r="VF5" i="3"/>
  <c r="VB5" i="3"/>
  <c r="UX5" i="3"/>
  <c r="UT5" i="3"/>
  <c r="UP5" i="3"/>
  <c r="UL5" i="3"/>
  <c r="UH5" i="3"/>
  <c r="UD5" i="3"/>
  <c r="TZ5" i="3"/>
  <c r="TV5" i="3"/>
  <c r="TR5" i="3"/>
  <c r="TN5" i="3"/>
  <c r="TJ5" i="3"/>
  <c r="TF5" i="3"/>
  <c r="TB5" i="3"/>
  <c r="SX5" i="3"/>
  <c r="ST5" i="3"/>
  <c r="SP5" i="3"/>
  <c r="SL5" i="3"/>
  <c r="SH5" i="3"/>
  <c r="SD5" i="3"/>
  <c r="RZ5" i="3"/>
  <c r="RV5" i="3"/>
  <c r="RR5" i="3"/>
  <c r="RN5" i="3"/>
  <c r="RJ5" i="3"/>
  <c r="RF5" i="3"/>
  <c r="RB5" i="3"/>
  <c r="QX5" i="3"/>
  <c r="QT5" i="3"/>
  <c r="QP5" i="3"/>
  <c r="QL5" i="3"/>
  <c r="QH5" i="3"/>
  <c r="QD5" i="3"/>
  <c r="PZ5" i="3"/>
  <c r="PV5" i="3"/>
  <c r="PR5" i="3"/>
  <c r="PN5" i="3"/>
  <c r="PJ5" i="3"/>
  <c r="PF5" i="3"/>
  <c r="PB5" i="3"/>
  <c r="OX5" i="3"/>
  <c r="OT5" i="3"/>
  <c r="OP5" i="3"/>
  <c r="OL5" i="3"/>
  <c r="OH5" i="3"/>
  <c r="OD5" i="3"/>
  <c r="NZ5" i="3"/>
  <c r="NV5" i="3"/>
  <c r="NR5" i="3"/>
  <c r="NN5" i="3"/>
  <c r="NJ5" i="3"/>
  <c r="NF5" i="3"/>
  <c r="NB5" i="3"/>
  <c r="MX5" i="3"/>
  <c r="MT5" i="3"/>
  <c r="MP5" i="3"/>
  <c r="ML5" i="3"/>
  <c r="MH5" i="3"/>
  <c r="MD5" i="3"/>
  <c r="LZ5" i="3"/>
  <c r="LV5" i="3"/>
  <c r="LR5" i="3"/>
  <c r="LN5" i="3"/>
  <c r="LJ5" i="3"/>
  <c r="LF5" i="3"/>
  <c r="LB5" i="3"/>
  <c r="KX5" i="3"/>
  <c r="KT5" i="3"/>
  <c r="KP5" i="3"/>
  <c r="KL5" i="3"/>
  <c r="KH5" i="3"/>
  <c r="KD5" i="3"/>
  <c r="JZ5" i="3"/>
  <c r="JV5" i="3"/>
  <c r="JR5" i="3"/>
  <c r="JN5" i="3"/>
  <c r="JJ5" i="3"/>
  <c r="JF5" i="3"/>
  <c r="JB5" i="3"/>
  <c r="IX5" i="3"/>
  <c r="IT5" i="3"/>
  <c r="IP5" i="3"/>
  <c r="IL5" i="3"/>
  <c r="IH5" i="3"/>
  <c r="ID5" i="3"/>
  <c r="HZ5" i="3"/>
  <c r="HV5" i="3"/>
  <c r="HR5" i="3"/>
  <c r="HN5" i="3"/>
  <c r="HJ5" i="3"/>
  <c r="HF5" i="3"/>
  <c r="HB5" i="3"/>
  <c r="GX5" i="3"/>
  <c r="GT5" i="3"/>
  <c r="GP5" i="3"/>
  <c r="GL5" i="3"/>
  <c r="GH5" i="3"/>
  <c r="GD5" i="3"/>
  <c r="FZ5" i="3"/>
  <c r="FV5" i="3"/>
  <c r="FR5" i="3"/>
  <c r="FN5" i="3"/>
  <c r="FJ5" i="3"/>
  <c r="FF5" i="3"/>
  <c r="FB5" i="3"/>
  <c r="EX5" i="3"/>
  <c r="ET5" i="3"/>
  <c r="EP5" i="3"/>
  <c r="EL5" i="3"/>
  <c r="EH5" i="3"/>
  <c r="ED5" i="3"/>
  <c r="DZ5" i="3"/>
  <c r="DV5" i="3"/>
  <c r="DR5" i="3"/>
  <c r="DN5" i="3"/>
  <c r="DJ5" i="3"/>
  <c r="DF5" i="3"/>
  <c r="DB5" i="3"/>
  <c r="CX5" i="3"/>
  <c r="CT5" i="3"/>
  <c r="CP5" i="3"/>
  <c r="CL5" i="3"/>
  <c r="CH5" i="3"/>
  <c r="CD5" i="3"/>
  <c r="BZ5" i="3"/>
  <c r="BV5" i="3"/>
  <c r="BR5" i="3"/>
  <c r="BN5" i="3"/>
  <c r="BJ5" i="3"/>
  <c r="BF5" i="3"/>
  <c r="BB5" i="3"/>
  <c r="AX5" i="3"/>
  <c r="AT5" i="3"/>
  <c r="AP5" i="3"/>
  <c r="AL5" i="3"/>
  <c r="AH5" i="3"/>
  <c r="AD5" i="3"/>
  <c r="Z5" i="3"/>
  <c r="V5" i="3"/>
  <c r="R5" i="3"/>
  <c r="N5" i="3"/>
  <c r="J5" i="3"/>
  <c r="ALQ5" i="3"/>
  <c r="ALM5" i="3"/>
  <c r="ALI5" i="3"/>
  <c r="ALE5" i="3"/>
  <c r="ALA5" i="3"/>
  <c r="AKW5" i="3"/>
  <c r="AKS5" i="3"/>
  <c r="AKO5" i="3"/>
  <c r="AKK5" i="3"/>
  <c r="AKG5" i="3"/>
  <c r="AKC5" i="3"/>
  <c r="AJY5" i="3"/>
  <c r="AJU5" i="3"/>
  <c r="AJQ5" i="3"/>
  <c r="AJM5" i="3"/>
  <c r="AJI5" i="3"/>
  <c r="AJE5" i="3"/>
  <c r="AJA5" i="3"/>
  <c r="AIW5" i="3"/>
  <c r="AIS5" i="3"/>
  <c r="AIO5" i="3"/>
  <c r="AIK5" i="3"/>
  <c r="AIG5" i="3"/>
  <c r="AIC5" i="3"/>
  <c r="AHY5" i="3"/>
  <c r="AHU5" i="3"/>
  <c r="AHQ5" i="3"/>
  <c r="AHM5" i="3"/>
  <c r="AHI5" i="3"/>
  <c r="AHE5" i="3"/>
  <c r="AHA5" i="3"/>
  <c r="AGW5" i="3"/>
  <c r="AGS5" i="3"/>
  <c r="AGO5" i="3"/>
  <c r="AGK5" i="3"/>
  <c r="AGG5" i="3"/>
  <c r="AGC5" i="3"/>
  <c r="AFY5" i="3"/>
  <c r="AFU5" i="3"/>
  <c r="AFQ5" i="3"/>
  <c r="AFM5" i="3"/>
  <c r="AFI5" i="3"/>
  <c r="AFE5" i="3"/>
  <c r="AFA5" i="3"/>
  <c r="AEW5" i="3"/>
  <c r="AES5" i="3"/>
  <c r="AEO5" i="3"/>
  <c r="AEK5" i="3"/>
  <c r="AEG5" i="3"/>
  <c r="AEC5" i="3"/>
  <c r="ADY5" i="3"/>
  <c r="ADU5" i="3"/>
  <c r="ADQ5" i="3"/>
  <c r="ADM5" i="3"/>
  <c r="ADI5" i="3"/>
  <c r="ADE5" i="3"/>
  <c r="ADA5" i="3"/>
  <c r="ACW5" i="3"/>
  <c r="ACS5" i="3"/>
  <c r="ACO5" i="3"/>
  <c r="ACK5" i="3"/>
  <c r="ACG5" i="3"/>
  <c r="ACC5" i="3"/>
  <c r="ABY5" i="3"/>
  <c r="ABU5" i="3"/>
  <c r="ABQ5" i="3"/>
  <c r="ABM5" i="3"/>
  <c r="ABI5" i="3"/>
  <c r="ABE5" i="3"/>
  <c r="ABA5" i="3"/>
  <c r="AAW5" i="3"/>
  <c r="AAS5" i="3"/>
  <c r="AAO5" i="3"/>
  <c r="AAK5" i="3"/>
  <c r="AAG5" i="3"/>
  <c r="AAC5" i="3"/>
  <c r="ZY5" i="3"/>
  <c r="ZU5" i="3"/>
  <c r="ZQ5" i="3"/>
  <c r="ZM5" i="3"/>
  <c r="ZI5" i="3"/>
  <c r="ZE5" i="3"/>
  <c r="ZA5" i="3"/>
  <c r="YW5" i="3"/>
  <c r="YS5" i="3"/>
  <c r="YO5" i="3"/>
  <c r="YK5" i="3"/>
  <c r="YG5" i="3"/>
  <c r="YC5" i="3"/>
  <c r="XY5" i="3"/>
  <c r="XU5" i="3"/>
  <c r="XQ5" i="3"/>
  <c r="XM5" i="3"/>
  <c r="XI5" i="3"/>
  <c r="XE5" i="3"/>
  <c r="XA5" i="3"/>
  <c r="WW5" i="3"/>
  <c r="WS5" i="3"/>
  <c r="WO5" i="3"/>
  <c r="WK5" i="3"/>
  <c r="WG5" i="3"/>
  <c r="WC5" i="3"/>
  <c r="VY5" i="3"/>
  <c r="VU5" i="3"/>
  <c r="VQ5" i="3"/>
  <c r="VM5" i="3"/>
  <c r="VI5" i="3"/>
  <c r="VE5" i="3"/>
  <c r="VA5" i="3"/>
  <c r="UW5" i="3"/>
  <c r="US5" i="3"/>
  <c r="UO5" i="3"/>
  <c r="UK5" i="3"/>
  <c r="UG5" i="3"/>
  <c r="UC5" i="3"/>
  <c r="TY5" i="3"/>
  <c r="TU5" i="3"/>
  <c r="TQ5" i="3"/>
  <c r="TM5" i="3"/>
  <c r="TI5" i="3"/>
  <c r="TE5" i="3"/>
  <c r="TA5" i="3"/>
  <c r="SW5" i="3"/>
  <c r="SS5" i="3"/>
  <c r="SO5" i="3"/>
  <c r="SK5" i="3"/>
  <c r="SG5" i="3"/>
  <c r="SC5" i="3"/>
  <c r="RY5" i="3"/>
  <c r="RU5" i="3"/>
  <c r="RQ5" i="3"/>
  <c r="RM5" i="3"/>
  <c r="RI5" i="3"/>
  <c r="RE5" i="3"/>
  <c r="RA5" i="3"/>
  <c r="QW5" i="3"/>
  <c r="QS5" i="3"/>
  <c r="QO5" i="3"/>
  <c r="QK5" i="3"/>
  <c r="QG5" i="3"/>
  <c r="QC5" i="3"/>
  <c r="PY5" i="3"/>
  <c r="PU5" i="3"/>
  <c r="PQ5" i="3"/>
  <c r="PM5" i="3"/>
  <c r="PI5" i="3"/>
  <c r="PE5" i="3"/>
  <c r="PA5" i="3"/>
  <c r="OW5" i="3"/>
  <c r="OS5" i="3"/>
  <c r="OO5" i="3"/>
  <c r="OK5" i="3"/>
  <c r="OG5" i="3"/>
  <c r="OC5" i="3"/>
  <c r="NY5" i="3"/>
  <c r="NU5" i="3"/>
  <c r="NQ5" i="3"/>
  <c r="NM5" i="3"/>
  <c r="NI5" i="3"/>
  <c r="NE5" i="3"/>
  <c r="NA5" i="3"/>
  <c r="MW5" i="3"/>
  <c r="MS5" i="3"/>
  <c r="MO5" i="3"/>
  <c r="MK5" i="3"/>
  <c r="MG5" i="3"/>
  <c r="MC5" i="3"/>
  <c r="LY5" i="3"/>
  <c r="LU5" i="3"/>
  <c r="LQ5" i="3"/>
  <c r="LM5" i="3"/>
  <c r="LI5" i="3"/>
  <c r="LE5" i="3"/>
  <c r="LA5" i="3"/>
  <c r="KW5" i="3"/>
  <c r="KS5" i="3"/>
  <c r="KO5" i="3"/>
  <c r="KK5" i="3"/>
  <c r="KG5" i="3"/>
  <c r="KC5" i="3"/>
  <c r="JY5" i="3"/>
  <c r="JU5" i="3"/>
  <c r="JQ5" i="3"/>
  <c r="JM5" i="3"/>
  <c r="JI5" i="3"/>
  <c r="JE5" i="3"/>
  <c r="JA5" i="3"/>
  <c r="IW5" i="3"/>
  <c r="IS5" i="3"/>
  <c r="IO5" i="3"/>
  <c r="IK5" i="3"/>
  <c r="IG5" i="3"/>
  <c r="IC5" i="3"/>
  <c r="HY5" i="3"/>
  <c r="HU5" i="3"/>
  <c r="HQ5" i="3"/>
  <c r="HM5" i="3"/>
  <c r="HI5" i="3"/>
  <c r="HE5" i="3"/>
  <c r="HA5" i="3"/>
  <c r="GW5" i="3"/>
  <c r="GS5" i="3"/>
  <c r="GO5" i="3"/>
  <c r="GK5" i="3"/>
  <c r="GG5" i="3"/>
  <c r="GC5" i="3"/>
  <c r="FY5" i="3"/>
  <c r="FU5" i="3"/>
  <c r="FQ5" i="3"/>
  <c r="FM5" i="3"/>
  <c r="FI5" i="3"/>
  <c r="FE5" i="3"/>
  <c r="FA5" i="3"/>
  <c r="EW5" i="3"/>
  <c r="ES5" i="3"/>
  <c r="EO5" i="3"/>
  <c r="EK5" i="3"/>
  <c r="EG5" i="3"/>
  <c r="EC5" i="3"/>
  <c r="DY5" i="3"/>
  <c r="DU5" i="3"/>
  <c r="DQ5" i="3"/>
  <c r="DM5" i="3"/>
  <c r="DI5" i="3"/>
  <c r="DE5" i="3"/>
  <c r="DA5" i="3"/>
  <c r="CW5" i="3"/>
  <c r="CS5" i="3"/>
  <c r="CO5" i="3"/>
  <c r="CK5" i="3"/>
  <c r="CG5" i="3"/>
  <c r="CC5" i="3"/>
  <c r="BY5" i="3"/>
  <c r="BU5" i="3"/>
  <c r="BQ5" i="3"/>
  <c r="BM5" i="3"/>
  <c r="BI5" i="3"/>
  <c r="BE5" i="3"/>
  <c r="BA5" i="3"/>
  <c r="AW5" i="3"/>
  <c r="AS5" i="3"/>
  <c r="AO5" i="3"/>
  <c r="AK5" i="3"/>
  <c r="AG5" i="3"/>
  <c r="AC5" i="3"/>
  <c r="Y5" i="3"/>
  <c r="U5" i="3"/>
  <c r="Q5" i="3"/>
  <c r="M5" i="3"/>
  <c r="I5" i="3"/>
  <c r="F5" i="3"/>
  <c r="ALP5" i="3"/>
  <c r="ALL5" i="3"/>
  <c r="ALH5" i="3"/>
  <c r="ALD5" i="3"/>
  <c r="AKZ5" i="3"/>
  <c r="AKV5" i="3"/>
  <c r="AKR5" i="3"/>
  <c r="AKN5" i="3"/>
  <c r="AKJ5" i="3"/>
  <c r="AKF5" i="3"/>
  <c r="AKB5" i="3"/>
  <c r="AJX5" i="3"/>
  <c r="AJT5" i="3"/>
  <c r="AJP5" i="3"/>
  <c r="AJL5" i="3"/>
  <c r="AJH5" i="3"/>
  <c r="AJD5" i="3"/>
  <c r="AIZ5" i="3"/>
  <c r="AIV5" i="3"/>
  <c r="AIR5" i="3"/>
  <c r="AIN5" i="3"/>
  <c r="AIJ5" i="3"/>
  <c r="AIF5" i="3"/>
  <c r="AIB5" i="3"/>
  <c r="AHX5" i="3"/>
  <c r="AHT5" i="3"/>
  <c r="AHP5" i="3"/>
  <c r="AHL5" i="3"/>
  <c r="AHH5" i="3"/>
  <c r="AHD5" i="3"/>
  <c r="AGZ5" i="3"/>
  <c r="AGV5" i="3"/>
  <c r="AGR5" i="3"/>
  <c r="AGN5" i="3"/>
  <c r="AGJ5" i="3"/>
  <c r="AGF5" i="3"/>
  <c r="AGB5" i="3"/>
  <c r="AFX5" i="3"/>
  <c r="AFT5" i="3"/>
  <c r="AFP5" i="3"/>
  <c r="AFL5" i="3"/>
  <c r="AFH5" i="3"/>
  <c r="AFD5" i="3"/>
  <c r="AEZ5" i="3"/>
  <c r="AEV5" i="3"/>
  <c r="AER5" i="3"/>
  <c r="AEN5" i="3"/>
  <c r="AEJ5" i="3"/>
  <c r="AEF5" i="3"/>
  <c r="AEB5" i="3"/>
  <c r="ADX5" i="3"/>
  <c r="ADT5" i="3"/>
  <c r="ADP5" i="3"/>
  <c r="ADL5" i="3"/>
  <c r="ADH5" i="3"/>
  <c r="ADD5" i="3"/>
  <c r="ACZ5" i="3"/>
  <c r="ACV5" i="3"/>
  <c r="ACR5" i="3"/>
  <c r="ACN5" i="3"/>
  <c r="ACJ5" i="3"/>
  <c r="ACF5" i="3"/>
  <c r="ACB5" i="3"/>
  <c r="ABX5" i="3"/>
  <c r="ABT5" i="3"/>
  <c r="ABP5" i="3"/>
  <c r="ABL5" i="3"/>
  <c r="ABH5" i="3"/>
  <c r="ABD5" i="3"/>
  <c r="AAZ5" i="3"/>
  <c r="AAV5" i="3"/>
  <c r="AAR5" i="3"/>
  <c r="AAN5" i="3"/>
  <c r="AAJ5" i="3"/>
  <c r="AAF5" i="3"/>
  <c r="AAB5" i="3"/>
  <c r="ZX5" i="3"/>
  <c r="ZT5" i="3"/>
  <c r="ZP5" i="3"/>
  <c r="ZL5" i="3"/>
  <c r="ZH5" i="3"/>
  <c r="ZD5" i="3"/>
  <c r="YZ5" i="3"/>
  <c r="YV5" i="3"/>
  <c r="YR5" i="3"/>
  <c r="YN5" i="3"/>
  <c r="YJ5" i="3"/>
  <c r="YF5" i="3"/>
  <c r="YB5" i="3"/>
  <c r="XX5" i="3"/>
  <c r="XT5" i="3"/>
  <c r="XP5" i="3"/>
  <c r="XL5" i="3"/>
  <c r="XH5" i="3"/>
  <c r="XD5" i="3"/>
  <c r="WZ5" i="3"/>
  <c r="WV5" i="3"/>
  <c r="WR5" i="3"/>
  <c r="WN5" i="3"/>
  <c r="WJ5" i="3"/>
  <c r="WF5" i="3"/>
  <c r="WB5" i="3"/>
  <c r="VX5" i="3"/>
  <c r="VT5" i="3"/>
  <c r="VP5" i="3"/>
  <c r="VL5" i="3"/>
  <c r="VH5" i="3"/>
  <c r="VD5" i="3"/>
  <c r="UZ5" i="3"/>
  <c r="UV5" i="3"/>
  <c r="UR5" i="3"/>
  <c r="UN5" i="3"/>
  <c r="UJ5" i="3"/>
  <c r="UF5" i="3"/>
  <c r="UB5" i="3"/>
  <c r="TX5" i="3"/>
  <c r="TT5" i="3"/>
  <c r="TP5" i="3"/>
  <c r="TL5" i="3"/>
  <c r="TH5" i="3"/>
  <c r="TD5" i="3"/>
  <c r="SZ5" i="3"/>
  <c r="SV5" i="3"/>
  <c r="SR5" i="3"/>
  <c r="SN5" i="3"/>
  <c r="SJ5" i="3"/>
  <c r="SF5" i="3"/>
  <c r="SB5" i="3"/>
  <c r="RX5" i="3"/>
  <c r="RT5" i="3"/>
  <c r="RP5" i="3"/>
  <c r="RL5" i="3"/>
  <c r="RH5" i="3"/>
  <c r="RD5" i="3"/>
  <c r="QZ5" i="3"/>
  <c r="QV5" i="3"/>
  <c r="QR5" i="3"/>
  <c r="QN5" i="3"/>
  <c r="QJ5" i="3"/>
  <c r="QF5" i="3"/>
  <c r="QB5" i="3"/>
  <c r="PX5" i="3"/>
  <c r="PT5" i="3"/>
  <c r="PP5" i="3"/>
  <c r="PL5" i="3"/>
  <c r="PH5" i="3"/>
  <c r="PD5" i="3"/>
  <c r="OZ5" i="3"/>
  <c r="OV5" i="3"/>
  <c r="OR5" i="3"/>
  <c r="ON5" i="3"/>
  <c r="OJ5" i="3"/>
  <c r="OF5" i="3"/>
  <c r="OB5" i="3"/>
  <c r="NX5" i="3"/>
  <c r="NT5" i="3"/>
  <c r="NP5" i="3"/>
  <c r="NL5" i="3"/>
  <c r="NH5" i="3"/>
  <c r="ND5" i="3"/>
  <c r="MZ5" i="3"/>
  <c r="MV5" i="3"/>
  <c r="MR5" i="3"/>
  <c r="MN5" i="3"/>
  <c r="MJ5" i="3"/>
  <c r="MF5" i="3"/>
  <c r="MB5" i="3"/>
  <c r="LX5" i="3"/>
  <c r="LT5" i="3"/>
  <c r="LP5" i="3"/>
  <c r="LL5" i="3"/>
  <c r="LH5" i="3"/>
  <c r="LD5" i="3"/>
  <c r="KZ5" i="3"/>
  <c r="KV5" i="3"/>
  <c r="KR5" i="3"/>
  <c r="KN5" i="3"/>
  <c r="KJ5" i="3"/>
  <c r="KF5" i="3"/>
  <c r="KB5" i="3"/>
  <c r="JX5" i="3"/>
  <c r="JT5" i="3"/>
  <c r="JP5" i="3"/>
  <c r="JL5" i="3"/>
  <c r="JH5" i="3"/>
  <c r="JD5" i="3"/>
  <c r="IZ5" i="3"/>
  <c r="IV5" i="3"/>
  <c r="IR5" i="3"/>
  <c r="IN5" i="3"/>
  <c r="IJ5" i="3"/>
  <c r="IF5" i="3"/>
  <c r="IB5" i="3"/>
  <c r="HX5" i="3"/>
  <c r="HT5" i="3"/>
  <c r="HP5" i="3"/>
  <c r="HL5" i="3"/>
  <c r="HH5" i="3"/>
  <c r="HD5" i="3"/>
  <c r="GZ5" i="3"/>
  <c r="GV5" i="3"/>
  <c r="GR5" i="3"/>
  <c r="GN5" i="3"/>
  <c r="GJ5" i="3"/>
  <c r="GF5" i="3"/>
  <c r="GB5" i="3"/>
  <c r="FX5" i="3"/>
  <c r="FT5" i="3"/>
  <c r="FP5" i="3"/>
  <c r="FL5" i="3"/>
  <c r="FH5" i="3"/>
  <c r="FD5" i="3"/>
  <c r="EZ5" i="3"/>
  <c r="EV5" i="3"/>
  <c r="ER5" i="3"/>
  <c r="EN5" i="3"/>
  <c r="EJ5" i="3"/>
  <c r="EF5" i="3"/>
  <c r="EB5" i="3"/>
  <c r="DX5" i="3"/>
  <c r="DT5" i="3"/>
  <c r="DP5" i="3"/>
  <c r="DL5" i="3"/>
  <c r="DH5" i="3"/>
  <c r="DD5" i="3"/>
  <c r="CZ5" i="3"/>
  <c r="CV5" i="3"/>
  <c r="CR5" i="3"/>
  <c r="CN5" i="3"/>
  <c r="CJ5" i="3"/>
  <c r="CF5" i="3"/>
  <c r="CB5" i="3"/>
  <c r="BX5" i="3"/>
  <c r="BT5" i="3"/>
  <c r="BP5" i="3"/>
  <c r="BL5" i="3"/>
  <c r="BH5" i="3"/>
  <c r="BD5" i="3"/>
  <c r="AZ5" i="3"/>
  <c r="AV5" i="3"/>
  <c r="AR5" i="3"/>
  <c r="AN5" i="3"/>
  <c r="AJ5" i="3"/>
  <c r="AF5" i="3"/>
  <c r="AB5" i="3"/>
  <c r="X5" i="3"/>
  <c r="T5" i="3"/>
  <c r="P5" i="3"/>
  <c r="L5" i="3"/>
  <c r="H5" i="3"/>
  <c r="ALC5" i="3"/>
  <c r="AKM5" i="3"/>
  <c r="AJW5" i="3"/>
  <c r="AJG5" i="3"/>
  <c r="AIQ5" i="3"/>
  <c r="AIA5" i="3"/>
  <c r="AHK5" i="3"/>
  <c r="AGU5" i="3"/>
  <c r="AGE5" i="3"/>
  <c r="AFO5" i="3"/>
  <c r="AEY5" i="3"/>
  <c r="AEI5" i="3"/>
  <c r="ADS5" i="3"/>
  <c r="ADC5" i="3"/>
  <c r="ACM5" i="3"/>
  <c r="ABW5" i="3"/>
  <c r="ABG5" i="3"/>
  <c r="AAQ5" i="3"/>
  <c r="AAA5" i="3"/>
  <c r="ZK5" i="3"/>
  <c r="YU5" i="3"/>
  <c r="YE5" i="3"/>
  <c r="XO5" i="3"/>
  <c r="WY5" i="3"/>
  <c r="WI5" i="3"/>
  <c r="VS5" i="3"/>
  <c r="VC5" i="3"/>
  <c r="UM5" i="3"/>
  <c r="TW5" i="3"/>
  <c r="TG5" i="3"/>
  <c r="SQ5" i="3"/>
  <c r="SA5" i="3"/>
  <c r="RK5" i="3"/>
  <c r="QU5" i="3"/>
  <c r="QE5" i="3"/>
  <c r="PO5" i="3"/>
  <c r="OY5" i="3"/>
  <c r="OI5" i="3"/>
  <c r="NS5" i="3"/>
  <c r="NC5" i="3"/>
  <c r="MM5" i="3"/>
  <c r="LW5" i="3"/>
  <c r="LG5" i="3"/>
  <c r="KQ5" i="3"/>
  <c r="KA5" i="3"/>
  <c r="JK5" i="3"/>
  <c r="IU5" i="3"/>
  <c r="IE5" i="3"/>
  <c r="HO5" i="3"/>
  <c r="GY5" i="3"/>
  <c r="GI5" i="3"/>
  <c r="FS5" i="3"/>
  <c r="FC5" i="3"/>
  <c r="EM5" i="3"/>
  <c r="DW5" i="3"/>
  <c r="DG5" i="3"/>
  <c r="CQ5" i="3"/>
  <c r="CA5" i="3"/>
  <c r="BK5" i="3"/>
  <c r="AU5" i="3"/>
  <c r="AE5" i="3"/>
  <c r="O5" i="3"/>
  <c r="ALO5" i="3"/>
  <c r="AKY5" i="3"/>
  <c r="AKI5" i="3"/>
  <c r="AJS5" i="3"/>
  <c r="AJC5" i="3"/>
  <c r="AIM5" i="3"/>
  <c r="AHW5" i="3"/>
  <c r="AHG5" i="3"/>
  <c r="AGQ5" i="3"/>
  <c r="AGA5" i="3"/>
  <c r="AFK5" i="3"/>
  <c r="AEU5" i="3"/>
  <c r="AEE5" i="3"/>
  <c r="ADO5" i="3"/>
  <c r="ACY5" i="3"/>
  <c r="ACI5" i="3"/>
  <c r="ABS5" i="3"/>
  <c r="ABC5" i="3"/>
  <c r="AAM5" i="3"/>
  <c r="ZW5" i="3"/>
  <c r="ZG5" i="3"/>
  <c r="YQ5" i="3"/>
  <c r="YA5" i="3"/>
  <c r="XK5" i="3"/>
  <c r="WU5" i="3"/>
  <c r="WE5" i="3"/>
  <c r="VO5" i="3"/>
  <c r="UY5" i="3"/>
  <c r="UI5" i="3"/>
  <c r="TS5" i="3"/>
  <c r="TC5" i="3"/>
  <c r="SM5" i="3"/>
  <c r="RW5" i="3"/>
  <c r="RG5" i="3"/>
  <c r="QQ5" i="3"/>
  <c r="QA5" i="3"/>
  <c r="PK5" i="3"/>
  <c r="OU5" i="3"/>
  <c r="OE5" i="3"/>
  <c r="NO5" i="3"/>
  <c r="MY5" i="3"/>
  <c r="MI5" i="3"/>
  <c r="LS5" i="3"/>
  <c r="LC5" i="3"/>
  <c r="KM5" i="3"/>
  <c r="JW5" i="3"/>
  <c r="JG5" i="3"/>
  <c r="IQ5" i="3"/>
  <c r="IA5" i="3"/>
  <c r="HK5" i="3"/>
  <c r="GU5" i="3"/>
  <c r="GE5" i="3"/>
  <c r="FO5" i="3"/>
  <c r="EY5" i="3"/>
  <c r="EI5" i="3"/>
  <c r="DS5" i="3"/>
  <c r="DC5" i="3"/>
  <c r="CM5" i="3"/>
  <c r="BW5" i="3"/>
  <c r="BG5" i="3"/>
  <c r="AQ5" i="3"/>
  <c r="AA5" i="3"/>
  <c r="K5" i="3"/>
  <c r="ALK5" i="3"/>
  <c r="AKU5" i="3"/>
  <c r="AKE5" i="3"/>
  <c r="AJO5" i="3"/>
  <c r="AIY5" i="3"/>
  <c r="AII5" i="3"/>
  <c r="AHS5" i="3"/>
  <c r="AHC5" i="3"/>
  <c r="AGM5" i="3"/>
  <c r="AFW5" i="3"/>
  <c r="AFG5" i="3"/>
  <c r="AEQ5" i="3"/>
  <c r="AEA5" i="3"/>
  <c r="ADK5" i="3"/>
  <c r="ACU5" i="3"/>
  <c r="ACE5" i="3"/>
  <c r="ABO5" i="3"/>
  <c r="AAY5" i="3"/>
  <c r="AAI5" i="3"/>
  <c r="ZS5" i="3"/>
  <c r="ZC5" i="3"/>
  <c r="YM5" i="3"/>
  <c r="XW5" i="3"/>
  <c r="XG5" i="3"/>
  <c r="WQ5" i="3"/>
  <c r="WA5" i="3"/>
  <c r="VK5" i="3"/>
  <c r="UU5" i="3"/>
  <c r="UE5" i="3"/>
  <c r="TO5" i="3"/>
  <c r="SY5" i="3"/>
  <c r="SI5" i="3"/>
  <c r="RS5" i="3"/>
  <c r="RC5" i="3"/>
  <c r="QM5" i="3"/>
  <c r="PW5" i="3"/>
  <c r="PG5" i="3"/>
  <c r="OQ5" i="3"/>
  <c r="OA5" i="3"/>
  <c r="NK5" i="3"/>
  <c r="MU5" i="3"/>
  <c r="ME5" i="3"/>
  <c r="LO5" i="3"/>
  <c r="KY5" i="3"/>
  <c r="KI5" i="3"/>
  <c r="JS5" i="3"/>
  <c r="JC5" i="3"/>
  <c r="IM5" i="3"/>
  <c r="HW5" i="3"/>
  <c r="HG5" i="3"/>
  <c r="GQ5" i="3"/>
  <c r="GA5" i="3"/>
  <c r="FK5" i="3"/>
  <c r="EU5" i="3"/>
  <c r="EE5" i="3"/>
  <c r="DO5" i="3"/>
  <c r="CY5" i="3"/>
  <c r="CI5" i="3"/>
  <c r="BS5" i="3"/>
  <c r="BC5" i="3"/>
  <c r="AM5" i="3"/>
  <c r="W5" i="3"/>
  <c r="G5" i="3"/>
  <c r="ALG5" i="3"/>
  <c r="AKQ5" i="3"/>
  <c r="AKA5" i="3"/>
  <c r="AJK5" i="3"/>
  <c r="AIU5" i="3"/>
  <c r="AIE5" i="3"/>
  <c r="AHO5" i="3"/>
  <c r="AGY5" i="3"/>
  <c r="AGI5" i="3"/>
  <c r="AFS5" i="3"/>
  <c r="AFC5" i="3"/>
  <c r="AEM5" i="3"/>
  <c r="ADW5" i="3"/>
  <c r="ADG5" i="3"/>
  <c r="ACQ5" i="3"/>
  <c r="ACA5" i="3"/>
  <c r="ABK5" i="3"/>
  <c r="AAU5" i="3"/>
  <c r="AAE5" i="3"/>
  <c r="ZO5" i="3"/>
  <c r="YY5" i="3"/>
  <c r="YI5" i="3"/>
  <c r="XS5" i="3"/>
  <c r="XC5" i="3"/>
  <c r="WM5" i="3"/>
  <c r="VW5" i="3"/>
  <c r="VG5" i="3"/>
  <c r="UQ5" i="3"/>
  <c r="UA5" i="3"/>
  <c r="TK5" i="3"/>
  <c r="SU5" i="3"/>
  <c r="SE5" i="3"/>
  <c r="RO5" i="3"/>
  <c r="QY5" i="3"/>
  <c r="QI5" i="3"/>
  <c r="PS5" i="3"/>
  <c r="PC5" i="3"/>
  <c r="OM5" i="3"/>
  <c r="NW5" i="3"/>
  <c r="NG5" i="3"/>
  <c r="MQ5" i="3"/>
  <c r="MA5" i="3"/>
  <c r="LK5" i="3"/>
  <c r="KU5" i="3"/>
  <c r="KE5" i="3"/>
  <c r="JO5" i="3"/>
  <c r="IY5" i="3"/>
  <c r="II5" i="3"/>
  <c r="HS5" i="3"/>
  <c r="HC5" i="3"/>
  <c r="GM5" i="3"/>
  <c r="FW5" i="3"/>
  <c r="FG5" i="3"/>
  <c r="EQ5" i="3"/>
  <c r="EA5" i="3"/>
  <c r="DK5" i="3"/>
  <c r="CU5" i="3"/>
  <c r="CE5" i="3"/>
  <c r="BO5" i="3"/>
  <c r="AY5" i="3"/>
  <c r="AI5" i="3"/>
  <c r="S5" i="3"/>
  <c r="M59" i="5"/>
  <c r="I59" i="5"/>
  <c r="L59" i="5"/>
  <c r="H59" i="5"/>
  <c r="K59" i="5"/>
  <c r="J59" i="5"/>
  <c r="F59" i="5"/>
  <c r="G59" i="5"/>
  <c r="J56" i="5"/>
  <c r="F56" i="5"/>
  <c r="M56" i="5"/>
  <c r="I56" i="5"/>
  <c r="L56" i="5"/>
  <c r="K56" i="5"/>
  <c r="G56" i="5"/>
  <c r="H56" i="5"/>
  <c r="M52" i="4"/>
  <c r="I52" i="4"/>
  <c r="L52" i="4"/>
  <c r="H52" i="4"/>
  <c r="G52" i="4"/>
  <c r="F52" i="4"/>
  <c r="K52" i="4"/>
  <c r="J52" i="4"/>
  <c r="K53" i="5"/>
  <c r="G53" i="5"/>
  <c r="J53" i="5"/>
  <c r="M53" i="5"/>
  <c r="F53" i="5"/>
  <c r="L53" i="5"/>
  <c r="H53" i="5"/>
  <c r="I53" i="5"/>
  <c r="J52" i="6"/>
  <c r="F52" i="6"/>
  <c r="M52" i="6"/>
  <c r="I52" i="6"/>
  <c r="G52" i="6"/>
  <c r="L52" i="6"/>
  <c r="K52" i="6"/>
  <c r="H52" i="6"/>
  <c r="K50" i="5"/>
  <c r="G50" i="5"/>
  <c r="J50" i="5"/>
  <c r="F50" i="5"/>
  <c r="H50" i="5"/>
  <c r="M50" i="5"/>
  <c r="L50" i="5"/>
  <c r="I50" i="5"/>
  <c r="L47" i="4"/>
  <c r="H47" i="4"/>
  <c r="K47" i="4"/>
  <c r="G47" i="4"/>
  <c r="F47" i="4"/>
  <c r="M47" i="4"/>
  <c r="J47" i="4"/>
  <c r="I47" i="4"/>
  <c r="J48" i="6"/>
  <c r="F48" i="6"/>
  <c r="M48" i="6"/>
  <c r="I48" i="6"/>
  <c r="K48" i="6"/>
  <c r="H48" i="6"/>
  <c r="G48" i="6"/>
  <c r="L48" i="6"/>
  <c r="J41" i="5"/>
  <c r="F41" i="5"/>
  <c r="M41" i="5"/>
  <c r="I41" i="5"/>
  <c r="K41" i="5"/>
  <c r="H41" i="5"/>
  <c r="L41" i="5"/>
  <c r="G41" i="5"/>
  <c r="M40" i="5"/>
  <c r="I40" i="5"/>
  <c r="L40" i="5"/>
  <c r="H40" i="5"/>
  <c r="F40" i="5"/>
  <c r="K40" i="5"/>
  <c r="J40" i="5"/>
  <c r="G40" i="5"/>
  <c r="K33" i="6"/>
  <c r="G33" i="6"/>
  <c r="J33" i="6"/>
  <c r="F33" i="6"/>
  <c r="H33" i="6"/>
  <c r="M33" i="6"/>
  <c r="L33" i="6"/>
  <c r="I33" i="6"/>
  <c r="M24" i="4"/>
  <c r="I24" i="4"/>
  <c r="L24" i="4"/>
  <c r="H24" i="4"/>
  <c r="K24" i="4"/>
  <c r="J24" i="4"/>
  <c r="G24" i="4"/>
  <c r="F24" i="4"/>
  <c r="L23" i="5"/>
  <c r="H23" i="5"/>
  <c r="K23" i="5"/>
  <c r="G23" i="5"/>
  <c r="I23" i="5"/>
  <c r="F23" i="5"/>
  <c r="M23" i="5"/>
  <c r="J23" i="5"/>
  <c r="J19" i="6"/>
  <c r="F19" i="6"/>
  <c r="M19" i="6"/>
  <c r="I19" i="6"/>
  <c r="L19" i="6"/>
  <c r="H19" i="6"/>
  <c r="K19" i="6"/>
  <c r="G19" i="6"/>
  <c r="K14" i="4"/>
  <c r="G14" i="4"/>
  <c r="J14" i="4"/>
  <c r="F14" i="4"/>
  <c r="I14" i="4"/>
  <c r="H14" i="4"/>
  <c r="L14" i="4"/>
  <c r="M14" i="4"/>
  <c r="L15" i="5"/>
  <c r="H15" i="5"/>
  <c r="K15" i="5"/>
  <c r="G15" i="5"/>
  <c r="I15" i="5"/>
  <c r="F15" i="5"/>
  <c r="M15" i="5"/>
  <c r="J15" i="5"/>
  <c r="M14" i="6"/>
  <c r="I14" i="6"/>
  <c r="L14" i="6"/>
  <c r="H14" i="6"/>
  <c r="K14" i="6"/>
  <c r="G14" i="6"/>
  <c r="F14" i="6"/>
  <c r="J14" i="6"/>
  <c r="M180" i="4"/>
  <c r="I180" i="4"/>
  <c r="L180" i="4"/>
  <c r="H180" i="4"/>
  <c r="K180" i="4"/>
  <c r="J180" i="4"/>
  <c r="G180" i="4"/>
  <c r="F180" i="4"/>
  <c r="J181" i="6"/>
  <c r="F181" i="6"/>
  <c r="L181" i="6"/>
  <c r="H181" i="6"/>
  <c r="K181" i="6"/>
  <c r="G181" i="6"/>
  <c r="M181" i="6"/>
  <c r="I181" i="6"/>
  <c r="J177" i="4"/>
  <c r="F177" i="4"/>
  <c r="M177" i="4"/>
  <c r="I177" i="4"/>
  <c r="L177" i="4"/>
  <c r="K177" i="4"/>
  <c r="H177" i="4"/>
  <c r="G177" i="4"/>
  <c r="K178" i="5"/>
  <c r="G178" i="5"/>
  <c r="M178" i="5"/>
  <c r="I178" i="5"/>
  <c r="F178" i="5"/>
  <c r="L178" i="5"/>
  <c r="J178" i="5"/>
  <c r="H178" i="5"/>
  <c r="J177" i="6"/>
  <c r="F177" i="6"/>
  <c r="L177" i="6"/>
  <c r="H177" i="6"/>
  <c r="G177" i="6"/>
  <c r="I177" i="6"/>
  <c r="M177" i="6"/>
  <c r="K177" i="6"/>
  <c r="J173" i="4"/>
  <c r="F173" i="4"/>
  <c r="M173" i="4"/>
  <c r="I173" i="4"/>
  <c r="H173" i="4"/>
  <c r="G173" i="4"/>
  <c r="L173" i="4"/>
  <c r="K173" i="4"/>
  <c r="K174" i="5"/>
  <c r="G174" i="5"/>
  <c r="M174" i="5"/>
  <c r="I174" i="5"/>
  <c r="J174" i="5"/>
  <c r="H174" i="5"/>
  <c r="F174" i="5"/>
  <c r="L174" i="5"/>
  <c r="J173" i="6"/>
  <c r="F173" i="6"/>
  <c r="L173" i="6"/>
  <c r="H173" i="6"/>
  <c r="K173" i="6"/>
  <c r="I173" i="6"/>
  <c r="G173" i="6"/>
  <c r="M173" i="6"/>
  <c r="J169" i="4"/>
  <c r="F169" i="4"/>
  <c r="M169" i="4"/>
  <c r="I169" i="4"/>
  <c r="L169" i="4"/>
  <c r="K169" i="4"/>
  <c r="H169" i="4"/>
  <c r="G169" i="4"/>
  <c r="M168" i="4"/>
  <c r="I168" i="4"/>
  <c r="L168" i="4"/>
  <c r="H168" i="4"/>
  <c r="G168" i="4"/>
  <c r="F168" i="4"/>
  <c r="K168" i="4"/>
  <c r="J168" i="4"/>
  <c r="J169" i="6"/>
  <c r="F169" i="6"/>
  <c r="L169" i="6"/>
  <c r="H169" i="6"/>
  <c r="G169" i="6"/>
  <c r="K169" i="6"/>
  <c r="I169" i="6"/>
  <c r="M169" i="6"/>
  <c r="M165" i="4"/>
  <c r="I165" i="4"/>
  <c r="L165" i="4"/>
  <c r="H165" i="4"/>
  <c r="K165" i="4"/>
  <c r="J165" i="4"/>
  <c r="G165" i="4"/>
  <c r="F165" i="4"/>
  <c r="K166" i="5"/>
  <c r="G166" i="5"/>
  <c r="I166" i="5"/>
  <c r="M166" i="5"/>
  <c r="H166" i="5"/>
  <c r="L166" i="5"/>
  <c r="J166" i="5"/>
  <c r="F166" i="5"/>
  <c r="J165" i="6"/>
  <c r="F165" i="6"/>
  <c r="L165" i="6"/>
  <c r="H165" i="6"/>
  <c r="K165" i="6"/>
  <c r="M165" i="6"/>
  <c r="I165" i="6"/>
  <c r="G165" i="6"/>
  <c r="M161" i="4"/>
  <c r="I161" i="4"/>
  <c r="L161" i="4"/>
  <c r="H161" i="4"/>
  <c r="G161" i="4"/>
  <c r="F161" i="4"/>
  <c r="K161" i="4"/>
  <c r="J161" i="4"/>
  <c r="K162" i="5"/>
  <c r="G162" i="5"/>
  <c r="J162" i="5"/>
  <c r="I162" i="5"/>
  <c r="M162" i="5"/>
  <c r="L162" i="5"/>
  <c r="H162" i="5"/>
  <c r="F162" i="5"/>
  <c r="J161" i="6"/>
  <c r="F161" i="6"/>
  <c r="L161" i="6"/>
  <c r="H161" i="6"/>
  <c r="G161" i="6"/>
  <c r="M161" i="6"/>
  <c r="K161" i="6"/>
  <c r="I161" i="6"/>
  <c r="M157" i="4"/>
  <c r="I157" i="4"/>
  <c r="L157" i="4"/>
  <c r="H157" i="4"/>
  <c r="K157" i="4"/>
  <c r="J157" i="4"/>
  <c r="G157" i="4"/>
  <c r="F157" i="4"/>
  <c r="K158" i="5"/>
  <c r="G158" i="5"/>
  <c r="L158" i="5"/>
  <c r="F158" i="5"/>
  <c r="J158" i="5"/>
  <c r="M158" i="5"/>
  <c r="I158" i="5"/>
  <c r="H158" i="5"/>
  <c r="J157" i="6"/>
  <c r="F157" i="6"/>
  <c r="L157" i="6"/>
  <c r="G157" i="6"/>
  <c r="K157" i="6"/>
  <c r="I157" i="6"/>
  <c r="M157" i="6"/>
  <c r="H157" i="6"/>
  <c r="M153" i="4"/>
  <c r="I153" i="4"/>
  <c r="L153" i="4"/>
  <c r="H153" i="4"/>
  <c r="G153" i="4"/>
  <c r="F153" i="4"/>
  <c r="K153" i="4"/>
  <c r="J153" i="4"/>
  <c r="K154" i="5"/>
  <c r="G154" i="5"/>
  <c r="M154" i="5"/>
  <c r="H154" i="5"/>
  <c r="L154" i="5"/>
  <c r="F154" i="5"/>
  <c r="J154" i="5"/>
  <c r="I154" i="5"/>
  <c r="J153" i="6"/>
  <c r="F153" i="6"/>
  <c r="M153" i="6"/>
  <c r="H153" i="6"/>
  <c r="L153" i="6"/>
  <c r="K153" i="6"/>
  <c r="I153" i="6"/>
  <c r="G153" i="6"/>
  <c r="M149" i="4"/>
  <c r="I149" i="4"/>
  <c r="L149" i="4"/>
  <c r="H149" i="4"/>
  <c r="K149" i="4"/>
  <c r="J149" i="4"/>
  <c r="G149" i="4"/>
  <c r="F149" i="4"/>
  <c r="K150" i="5"/>
  <c r="G150" i="5"/>
  <c r="I150" i="5"/>
  <c r="M150" i="5"/>
  <c r="H150" i="5"/>
  <c r="F150" i="5"/>
  <c r="L150" i="5"/>
  <c r="J150" i="5"/>
  <c r="L149" i="6"/>
  <c r="H149" i="6"/>
  <c r="I149" i="6"/>
  <c r="M149" i="6"/>
  <c r="G149" i="6"/>
  <c r="K149" i="6"/>
  <c r="J149" i="6"/>
  <c r="F149" i="6"/>
  <c r="M145" i="4"/>
  <c r="I145" i="4"/>
  <c r="L145" i="4"/>
  <c r="H145" i="4"/>
  <c r="G145" i="4"/>
  <c r="F145" i="4"/>
  <c r="K145" i="4"/>
  <c r="J145" i="4"/>
  <c r="K146" i="5"/>
  <c r="G146" i="5"/>
  <c r="J146" i="5"/>
  <c r="I146" i="5"/>
  <c r="H146" i="5"/>
  <c r="F146" i="5"/>
  <c r="M146" i="5"/>
  <c r="L146" i="5"/>
  <c r="L145" i="6"/>
  <c r="H145" i="6"/>
  <c r="J145" i="6"/>
  <c r="I145" i="6"/>
  <c r="M145" i="6"/>
  <c r="K145" i="6"/>
  <c r="G145" i="6"/>
  <c r="F145" i="6"/>
  <c r="M141" i="4"/>
  <c r="I141" i="4"/>
  <c r="L141" i="4"/>
  <c r="H141" i="4"/>
  <c r="K141" i="4"/>
  <c r="J141" i="4"/>
  <c r="G141" i="4"/>
  <c r="F141" i="4"/>
  <c r="L140" i="4"/>
  <c r="H140" i="4"/>
  <c r="K140" i="4"/>
  <c r="G140" i="4"/>
  <c r="F140" i="4"/>
  <c r="M140" i="4"/>
  <c r="J140" i="4"/>
  <c r="I140" i="4"/>
  <c r="L141" i="6"/>
  <c r="H141" i="6"/>
  <c r="K141" i="6"/>
  <c r="F141" i="6"/>
  <c r="J141" i="6"/>
  <c r="M141" i="6"/>
  <c r="I141" i="6"/>
  <c r="G141" i="6"/>
  <c r="M137" i="4"/>
  <c r="I137" i="4"/>
  <c r="L137" i="4"/>
  <c r="H137" i="4"/>
  <c r="G137" i="4"/>
  <c r="F137" i="4"/>
  <c r="K137" i="4"/>
  <c r="J137" i="4"/>
  <c r="K138" i="5"/>
  <c r="G138" i="5"/>
  <c r="M138" i="5"/>
  <c r="H138" i="5"/>
  <c r="L138" i="5"/>
  <c r="F138" i="5"/>
  <c r="J138" i="5"/>
  <c r="I138" i="5"/>
  <c r="L137" i="6"/>
  <c r="H137" i="6"/>
  <c r="M137" i="6"/>
  <c r="G137" i="6"/>
  <c r="K137" i="6"/>
  <c r="F137" i="6"/>
  <c r="J137" i="6"/>
  <c r="I137" i="6"/>
  <c r="M133" i="4"/>
  <c r="I133" i="4"/>
  <c r="L133" i="4"/>
  <c r="H133" i="4"/>
  <c r="K133" i="4"/>
  <c r="J133" i="4"/>
  <c r="G133" i="4"/>
  <c r="F133" i="4"/>
  <c r="K134" i="5"/>
  <c r="G134" i="5"/>
  <c r="I134" i="5"/>
  <c r="M134" i="5"/>
  <c r="H134" i="5"/>
  <c r="L134" i="5"/>
  <c r="J134" i="5"/>
  <c r="F134" i="5"/>
  <c r="L133" i="6"/>
  <c r="H133" i="6"/>
  <c r="I133" i="6"/>
  <c r="M133" i="6"/>
  <c r="G133" i="6"/>
  <c r="F133" i="6"/>
  <c r="K133" i="6"/>
  <c r="J133" i="6"/>
  <c r="M129" i="4"/>
  <c r="I129" i="4"/>
  <c r="L129" i="4"/>
  <c r="H129" i="4"/>
  <c r="G129" i="4"/>
  <c r="F129" i="4"/>
  <c r="K129" i="4"/>
  <c r="J129" i="4"/>
  <c r="K130" i="5"/>
  <c r="G130" i="5"/>
  <c r="J130" i="5"/>
  <c r="I130" i="5"/>
  <c r="M130" i="5"/>
  <c r="L130" i="5"/>
  <c r="F130" i="5"/>
  <c r="H130" i="5"/>
  <c r="L129" i="6"/>
  <c r="H129" i="6"/>
  <c r="J129" i="6"/>
  <c r="I129" i="6"/>
  <c r="G129" i="6"/>
  <c r="F129" i="6"/>
  <c r="M129" i="6"/>
  <c r="K129" i="6"/>
  <c r="M125" i="4"/>
  <c r="I125" i="4"/>
  <c r="L125" i="4"/>
  <c r="H125" i="4"/>
  <c r="K125" i="4"/>
  <c r="J125" i="4"/>
  <c r="G125" i="4"/>
  <c r="F125" i="4"/>
  <c r="K126" i="5"/>
  <c r="G126" i="5"/>
  <c r="L126" i="5"/>
  <c r="F126" i="5"/>
  <c r="J126" i="5"/>
  <c r="M126" i="5"/>
  <c r="H126" i="5"/>
  <c r="I126" i="5"/>
  <c r="L125" i="6"/>
  <c r="H125" i="6"/>
  <c r="K125" i="6"/>
  <c r="F125" i="6"/>
  <c r="M125" i="6"/>
  <c r="J125" i="6"/>
  <c r="I125" i="6"/>
  <c r="G125" i="6"/>
  <c r="M121" i="4"/>
  <c r="I121" i="4"/>
  <c r="L121" i="4"/>
  <c r="H121" i="4"/>
  <c r="G121" i="4"/>
  <c r="F121" i="4"/>
  <c r="K121" i="4"/>
  <c r="J121" i="4"/>
  <c r="K122" i="5"/>
  <c r="G122" i="5"/>
  <c r="M122" i="5"/>
  <c r="H122" i="5"/>
  <c r="L122" i="5"/>
  <c r="F122" i="5"/>
  <c r="I122" i="5"/>
  <c r="J122" i="5"/>
  <c r="L121" i="6"/>
  <c r="H121" i="6"/>
  <c r="M121" i="6"/>
  <c r="G121" i="6"/>
  <c r="F121" i="6"/>
  <c r="K121" i="6"/>
  <c r="J121" i="6"/>
  <c r="I121" i="6"/>
  <c r="M117" i="4"/>
  <c r="I117" i="4"/>
  <c r="L117" i="4"/>
  <c r="H117" i="4"/>
  <c r="K117" i="4"/>
  <c r="J117" i="4"/>
  <c r="G117" i="4"/>
  <c r="F117" i="4"/>
  <c r="K118" i="5"/>
  <c r="G118" i="5"/>
  <c r="I118" i="5"/>
  <c r="M118" i="5"/>
  <c r="H118" i="5"/>
  <c r="F118" i="5"/>
  <c r="J118" i="5"/>
  <c r="L118" i="5"/>
  <c r="L117" i="6"/>
  <c r="H117" i="6"/>
  <c r="I117" i="6"/>
  <c r="G117" i="6"/>
  <c r="M117" i="6"/>
  <c r="F117" i="6"/>
  <c r="K117" i="6"/>
  <c r="J117" i="6"/>
  <c r="M113" i="4"/>
  <c r="I113" i="4"/>
  <c r="L113" i="4"/>
  <c r="H113" i="4"/>
  <c r="G113" i="4"/>
  <c r="F113" i="4"/>
  <c r="K113" i="4"/>
  <c r="J113" i="4"/>
  <c r="K114" i="5"/>
  <c r="G114" i="5"/>
  <c r="J114" i="5"/>
  <c r="I114" i="5"/>
  <c r="H114" i="5"/>
  <c r="F114" i="5"/>
  <c r="L114" i="5"/>
  <c r="M114" i="5"/>
  <c r="L113" i="6"/>
  <c r="H113" i="6"/>
  <c r="J113" i="6"/>
  <c r="I113" i="6"/>
  <c r="G113" i="6"/>
  <c r="M113" i="6"/>
  <c r="K113" i="6"/>
  <c r="F113" i="6"/>
  <c r="M109" i="4"/>
  <c r="I109" i="4"/>
  <c r="L109" i="4"/>
  <c r="H109" i="4"/>
  <c r="K109" i="4"/>
  <c r="J109" i="4"/>
  <c r="G109" i="4"/>
  <c r="F109" i="4"/>
  <c r="L110" i="5"/>
  <c r="H110" i="5"/>
  <c r="K110" i="5"/>
  <c r="G110" i="5"/>
  <c r="J110" i="5"/>
  <c r="I110" i="5"/>
  <c r="M110" i="5"/>
  <c r="F110" i="5"/>
  <c r="L109" i="6"/>
  <c r="H109" i="6"/>
  <c r="K109" i="6"/>
  <c r="F109" i="6"/>
  <c r="J109" i="6"/>
  <c r="I109" i="6"/>
  <c r="M109" i="6"/>
  <c r="G109" i="6"/>
  <c r="M105" i="4"/>
  <c r="I105" i="4"/>
  <c r="L105" i="4"/>
  <c r="H105" i="4"/>
  <c r="G105" i="4"/>
  <c r="F105" i="4"/>
  <c r="K105" i="4"/>
  <c r="J105" i="4"/>
  <c r="L106" i="5"/>
  <c r="H106" i="5"/>
  <c r="K106" i="5"/>
  <c r="G106" i="5"/>
  <c r="F106" i="5"/>
  <c r="M106" i="5"/>
  <c r="J106" i="5"/>
  <c r="I106" i="5"/>
  <c r="J105" i="6"/>
  <c r="F105" i="6"/>
  <c r="L105" i="6"/>
  <c r="G105" i="6"/>
  <c r="K105" i="6"/>
  <c r="I105" i="6"/>
  <c r="H105" i="6"/>
  <c r="M105" i="6"/>
  <c r="J101" i="4"/>
  <c r="F101" i="4"/>
  <c r="M101" i="4"/>
  <c r="I101" i="4"/>
  <c r="L101" i="4"/>
  <c r="K101" i="4"/>
  <c r="H101" i="4"/>
  <c r="G101" i="4"/>
  <c r="L102" i="5"/>
  <c r="H102" i="5"/>
  <c r="K102" i="5"/>
  <c r="G102" i="5"/>
  <c r="J102" i="5"/>
  <c r="I102" i="5"/>
  <c r="M102" i="5"/>
  <c r="F102" i="5"/>
  <c r="J101" i="6"/>
  <c r="F101" i="6"/>
  <c r="M101" i="6"/>
  <c r="H101" i="6"/>
  <c r="L101" i="6"/>
  <c r="G101" i="6"/>
  <c r="K101" i="6"/>
  <c r="I101" i="6"/>
  <c r="J97" i="4"/>
  <c r="F97" i="4"/>
  <c r="M97" i="4"/>
  <c r="I97" i="4"/>
  <c r="H97" i="4"/>
  <c r="G97" i="4"/>
  <c r="L97" i="4"/>
  <c r="K97" i="4"/>
  <c r="L98" i="5"/>
  <c r="H98" i="5"/>
  <c r="K98" i="5"/>
  <c r="G98" i="5"/>
  <c r="F98" i="5"/>
  <c r="M98" i="5"/>
  <c r="I98" i="5"/>
  <c r="J98" i="5"/>
  <c r="J97" i="6"/>
  <c r="F97" i="6"/>
  <c r="I97" i="6"/>
  <c r="M97" i="6"/>
  <c r="H97" i="6"/>
  <c r="L97" i="6"/>
  <c r="K97" i="6"/>
  <c r="G97" i="6"/>
  <c r="J93" i="4"/>
  <c r="F93" i="4"/>
  <c r="M93" i="4"/>
  <c r="I93" i="4"/>
  <c r="L93" i="4"/>
  <c r="K93" i="4"/>
  <c r="H93" i="4"/>
  <c r="G93" i="4"/>
  <c r="L94" i="5"/>
  <c r="H94" i="5"/>
  <c r="K94" i="5"/>
  <c r="G94" i="5"/>
  <c r="J94" i="5"/>
  <c r="I94" i="5"/>
  <c r="M94" i="5"/>
  <c r="F94" i="5"/>
  <c r="L93" i="6"/>
  <c r="H93" i="6"/>
  <c r="K93" i="6"/>
  <c r="G93" i="6"/>
  <c r="J93" i="6"/>
  <c r="I93" i="6"/>
  <c r="F93" i="6"/>
  <c r="M93" i="6"/>
  <c r="J89" i="4"/>
  <c r="F89" i="4"/>
  <c r="M89" i="4"/>
  <c r="I89" i="4"/>
  <c r="H89" i="4"/>
  <c r="G89" i="4"/>
  <c r="L89" i="4"/>
  <c r="K89" i="4"/>
  <c r="L90" i="5"/>
  <c r="H90" i="5"/>
  <c r="K90" i="5"/>
  <c r="G90" i="5"/>
  <c r="F90" i="5"/>
  <c r="M90" i="5"/>
  <c r="J90" i="5"/>
  <c r="I90" i="5"/>
  <c r="L89" i="6"/>
  <c r="H89" i="6"/>
  <c r="K89" i="6"/>
  <c r="G89" i="6"/>
  <c r="F89" i="6"/>
  <c r="M89" i="6"/>
  <c r="J89" i="6"/>
  <c r="I89" i="6"/>
  <c r="J85" i="4"/>
  <c r="F85" i="4"/>
  <c r="M85" i="4"/>
  <c r="I85" i="4"/>
  <c r="L85" i="4"/>
  <c r="K85" i="4"/>
  <c r="H85" i="4"/>
  <c r="G85" i="4"/>
  <c r="L86" i="5"/>
  <c r="H86" i="5"/>
  <c r="K86" i="5"/>
  <c r="G86" i="5"/>
  <c r="J86" i="5"/>
  <c r="I86" i="5"/>
  <c r="M86" i="5"/>
  <c r="F86" i="5"/>
  <c r="L85" i="6"/>
  <c r="H85" i="6"/>
  <c r="K85" i="6"/>
  <c r="G85" i="6"/>
  <c r="J85" i="6"/>
  <c r="I85" i="6"/>
  <c r="F85" i="6"/>
  <c r="M85" i="6"/>
  <c r="J81" i="4"/>
  <c r="F81" i="4"/>
  <c r="M81" i="4"/>
  <c r="I81" i="4"/>
  <c r="H81" i="4"/>
  <c r="G81" i="4"/>
  <c r="L81" i="4"/>
  <c r="K81" i="4"/>
  <c r="L82" i="5"/>
  <c r="H82" i="5"/>
  <c r="K82" i="5"/>
  <c r="G82" i="5"/>
  <c r="F82" i="5"/>
  <c r="M82" i="5"/>
  <c r="I82" i="5"/>
  <c r="J82" i="5"/>
  <c r="L81" i="6"/>
  <c r="H81" i="6"/>
  <c r="K81" i="6"/>
  <c r="G81" i="6"/>
  <c r="F81" i="6"/>
  <c r="M81" i="6"/>
  <c r="J81" i="6"/>
  <c r="I81" i="6"/>
  <c r="J77" i="4"/>
  <c r="F77" i="4"/>
  <c r="M77" i="4"/>
  <c r="I77" i="4"/>
  <c r="L77" i="4"/>
  <c r="K77" i="4"/>
  <c r="H77" i="4"/>
  <c r="G77" i="4"/>
  <c r="L78" i="5"/>
  <c r="H78" i="5"/>
  <c r="K78" i="5"/>
  <c r="G78" i="5"/>
  <c r="J78" i="5"/>
  <c r="I78" i="5"/>
  <c r="M78" i="5"/>
  <c r="F78" i="5"/>
  <c r="L77" i="6"/>
  <c r="H77" i="6"/>
  <c r="K77" i="6"/>
  <c r="G77" i="6"/>
  <c r="J77" i="6"/>
  <c r="I77" i="6"/>
  <c r="F77" i="6"/>
  <c r="M77" i="6"/>
  <c r="J73" i="4"/>
  <c r="F73" i="4"/>
  <c r="M73" i="4"/>
  <c r="I73" i="4"/>
  <c r="H73" i="4"/>
  <c r="G73" i="4"/>
  <c r="L73" i="4"/>
  <c r="K73" i="4"/>
  <c r="L74" i="5"/>
  <c r="H74" i="5"/>
  <c r="K74" i="5"/>
  <c r="G74" i="5"/>
  <c r="F74" i="5"/>
  <c r="M74" i="5"/>
  <c r="J74" i="5"/>
  <c r="I74" i="5"/>
  <c r="L73" i="6"/>
  <c r="H73" i="6"/>
  <c r="K73" i="6"/>
  <c r="G73" i="6"/>
  <c r="F73" i="6"/>
  <c r="M73" i="6"/>
  <c r="J73" i="6"/>
  <c r="I73" i="6"/>
  <c r="J69" i="4"/>
  <c r="F69" i="4"/>
  <c r="M69" i="4"/>
  <c r="I69" i="4"/>
  <c r="L69" i="4"/>
  <c r="K69" i="4"/>
  <c r="H69" i="4"/>
  <c r="G69" i="4"/>
  <c r="L70" i="5"/>
  <c r="H70" i="5"/>
  <c r="K70" i="5"/>
  <c r="G70" i="5"/>
  <c r="J70" i="5"/>
  <c r="I70" i="5"/>
  <c r="M70" i="5"/>
  <c r="F70" i="5"/>
  <c r="L69" i="6"/>
  <c r="K69" i="6"/>
  <c r="G69" i="6"/>
  <c r="J69" i="6"/>
  <c r="F69" i="6"/>
  <c r="M69" i="6"/>
  <c r="I69" i="6"/>
  <c r="H69" i="6"/>
  <c r="J65" i="4"/>
  <c r="F65" i="4"/>
  <c r="M65" i="4"/>
  <c r="I65" i="4"/>
  <c r="H65" i="4"/>
  <c r="G65" i="4"/>
  <c r="L65" i="4"/>
  <c r="K65" i="4"/>
  <c r="L66" i="5"/>
  <c r="H66" i="5"/>
  <c r="K66" i="5"/>
  <c r="G66" i="5"/>
  <c r="F66" i="5"/>
  <c r="M66" i="5"/>
  <c r="I66" i="5"/>
  <c r="J66" i="5"/>
  <c r="K65" i="6"/>
  <c r="G65" i="6"/>
  <c r="J65" i="6"/>
  <c r="F65" i="6"/>
  <c r="H65" i="6"/>
  <c r="M65" i="6"/>
  <c r="L65" i="6"/>
  <c r="I65" i="6"/>
  <c r="J61" i="4"/>
  <c r="F61" i="4"/>
  <c r="M61" i="4"/>
  <c r="I61" i="4"/>
  <c r="L61" i="4"/>
  <c r="K61" i="4"/>
  <c r="H61" i="4"/>
  <c r="G61" i="4"/>
  <c r="L62" i="5"/>
  <c r="H62" i="5"/>
  <c r="K62" i="5"/>
  <c r="G62" i="5"/>
  <c r="J62" i="5"/>
  <c r="I62" i="5"/>
  <c r="M62" i="5"/>
  <c r="F62" i="5"/>
  <c r="K61" i="6"/>
  <c r="G61" i="6"/>
  <c r="J61" i="6"/>
  <c r="F61" i="6"/>
  <c r="L61" i="6"/>
  <c r="I61" i="6"/>
  <c r="H61" i="6"/>
  <c r="M61" i="6"/>
  <c r="M56" i="4"/>
  <c r="I56" i="4"/>
  <c r="L56" i="4"/>
  <c r="H56" i="4"/>
  <c r="K56" i="4"/>
  <c r="J56" i="4"/>
  <c r="G56" i="4"/>
  <c r="F56" i="4"/>
  <c r="K57" i="5"/>
  <c r="G57" i="5"/>
  <c r="J57" i="5"/>
  <c r="F57" i="5"/>
  <c r="I57" i="5"/>
  <c r="H57" i="5"/>
  <c r="L57" i="5"/>
  <c r="M57" i="5"/>
  <c r="M47" i="6"/>
  <c r="I47" i="6"/>
  <c r="L47" i="6"/>
  <c r="H47" i="6"/>
  <c r="F47" i="6"/>
  <c r="K47" i="6"/>
  <c r="J47" i="6"/>
  <c r="G47" i="6"/>
  <c r="K42" i="4"/>
  <c r="G42" i="4"/>
  <c r="J42" i="4"/>
  <c r="F42" i="4"/>
  <c r="M42" i="4"/>
  <c r="L42" i="4"/>
  <c r="I42" i="4"/>
  <c r="H42" i="4"/>
  <c r="L43" i="5"/>
  <c r="H43" i="5"/>
  <c r="K43" i="5"/>
  <c r="G43" i="5"/>
  <c r="M43" i="5"/>
  <c r="J43" i="5"/>
  <c r="I43" i="5"/>
  <c r="F43" i="5"/>
  <c r="L42" i="6"/>
  <c r="H42" i="6"/>
  <c r="K42" i="6"/>
  <c r="G42" i="6"/>
  <c r="M42" i="6"/>
  <c r="J42" i="6"/>
  <c r="I42" i="6"/>
  <c r="F42" i="6"/>
  <c r="M36" i="4"/>
  <c r="I36" i="4"/>
  <c r="L36" i="4"/>
  <c r="H36" i="4"/>
  <c r="G36" i="4"/>
  <c r="F36" i="4"/>
  <c r="K36" i="4"/>
  <c r="J36" i="4"/>
  <c r="J37" i="5"/>
  <c r="F37" i="5"/>
  <c r="M37" i="5"/>
  <c r="I37" i="5"/>
  <c r="G37" i="5"/>
  <c r="L37" i="5"/>
  <c r="K37" i="5"/>
  <c r="H37" i="5"/>
  <c r="J36" i="6"/>
  <c r="F36" i="6"/>
  <c r="M36" i="6"/>
  <c r="I36" i="6"/>
  <c r="G36" i="6"/>
  <c r="L36" i="6"/>
  <c r="K36" i="6"/>
  <c r="H36" i="6"/>
  <c r="K34" i="5"/>
  <c r="G34" i="5"/>
  <c r="J34" i="5"/>
  <c r="F34" i="5"/>
  <c r="H34" i="5"/>
  <c r="M34" i="5"/>
  <c r="L34" i="5"/>
  <c r="I34" i="5"/>
  <c r="J32" i="6"/>
  <c r="F32" i="6"/>
  <c r="M32" i="6"/>
  <c r="I32" i="6"/>
  <c r="K32" i="6"/>
  <c r="H32" i="6"/>
  <c r="G32" i="6"/>
  <c r="L32" i="6"/>
  <c r="J31" i="6"/>
  <c r="F31" i="6"/>
  <c r="M31" i="6"/>
  <c r="I31" i="6"/>
  <c r="L31" i="6"/>
  <c r="H31" i="6"/>
  <c r="K31" i="6"/>
  <c r="G31" i="6"/>
  <c r="K26" i="4"/>
  <c r="G26" i="4"/>
  <c r="J26" i="4"/>
  <c r="F26" i="4"/>
  <c r="M26" i="4"/>
  <c r="L26" i="4"/>
  <c r="I26" i="4"/>
  <c r="H26" i="4"/>
  <c r="L27" i="5"/>
  <c r="H27" i="5"/>
  <c r="K27" i="5"/>
  <c r="G27" i="5"/>
  <c r="M27" i="5"/>
  <c r="J27" i="5"/>
  <c r="I27" i="5"/>
  <c r="F27" i="5"/>
  <c r="L25" i="6"/>
  <c r="H25" i="6"/>
  <c r="K25" i="6"/>
  <c r="G25" i="6"/>
  <c r="J25" i="6"/>
  <c r="F25" i="6"/>
  <c r="M25" i="6"/>
  <c r="I25" i="6"/>
  <c r="M20" i="4"/>
  <c r="I20" i="4"/>
  <c r="L20" i="4"/>
  <c r="H20" i="4"/>
  <c r="G20" i="4"/>
  <c r="F20" i="4"/>
  <c r="J20" i="4"/>
  <c r="K20" i="4"/>
  <c r="J21" i="5"/>
  <c r="F21" i="5"/>
  <c r="M21" i="5"/>
  <c r="I21" i="5"/>
  <c r="G21" i="5"/>
  <c r="L21" i="5"/>
  <c r="K21" i="5"/>
  <c r="H21" i="5"/>
  <c r="K20" i="6"/>
  <c r="G20" i="6"/>
  <c r="J20" i="6"/>
  <c r="F20" i="6"/>
  <c r="M20" i="6"/>
  <c r="I20" i="6"/>
  <c r="L20" i="6"/>
  <c r="H20" i="6"/>
  <c r="L11" i="4"/>
  <c r="H11" i="4"/>
  <c r="K11" i="4"/>
  <c r="G11" i="4"/>
  <c r="J11" i="4"/>
  <c r="I11" i="4"/>
  <c r="M11" i="4"/>
  <c r="F11" i="4"/>
  <c r="E7" i="5"/>
  <c r="E3" i="5"/>
  <c r="E6" i="5"/>
  <c r="E2" i="5"/>
  <c r="E5" i="5"/>
  <c r="E4" i="5"/>
  <c r="E8" i="5"/>
  <c r="E9" i="5"/>
  <c r="M12" i="5"/>
  <c r="I12" i="5"/>
  <c r="L12" i="5"/>
  <c r="H12" i="5"/>
  <c r="J12" i="5"/>
  <c r="G12" i="5"/>
  <c r="K12" i="5"/>
  <c r="F12" i="5"/>
  <c r="K54" i="4"/>
  <c r="G54" i="4"/>
  <c r="J54" i="4"/>
  <c r="F54" i="4"/>
  <c r="I54" i="4"/>
  <c r="H54" i="4"/>
  <c r="M54" i="4"/>
  <c r="L54" i="4"/>
  <c r="AS10" i="6"/>
  <c r="AK8" i="4"/>
  <c r="Q10" i="5"/>
  <c r="AG8" i="4"/>
  <c r="Q8" i="4"/>
  <c r="AS10" i="5"/>
  <c r="AC10" i="5"/>
  <c r="M59" i="6"/>
  <c r="I59" i="6"/>
  <c r="L59" i="6"/>
  <c r="H59" i="6"/>
  <c r="J59" i="6"/>
  <c r="G59" i="6"/>
  <c r="F59" i="6"/>
  <c r="K59" i="6"/>
  <c r="J53" i="4"/>
  <c r="F53" i="4"/>
  <c r="M53" i="4"/>
  <c r="I53" i="4"/>
  <c r="L53" i="4"/>
  <c r="K53" i="4"/>
  <c r="H53" i="4"/>
  <c r="G53" i="4"/>
  <c r="L54" i="5"/>
  <c r="H54" i="5"/>
  <c r="K54" i="5"/>
  <c r="G54" i="5"/>
  <c r="J54" i="5"/>
  <c r="I54" i="5"/>
  <c r="M54" i="5"/>
  <c r="F54" i="5"/>
  <c r="K53" i="6"/>
  <c r="G53" i="6"/>
  <c r="J53" i="6"/>
  <c r="F53" i="6"/>
  <c r="L53" i="6"/>
  <c r="I53" i="6"/>
  <c r="H53" i="6"/>
  <c r="M53" i="6"/>
  <c r="J49" i="4"/>
  <c r="F49" i="4"/>
  <c r="M49" i="4"/>
  <c r="I49" i="4"/>
  <c r="H49" i="4"/>
  <c r="G49" i="4"/>
  <c r="L49" i="4"/>
  <c r="K49" i="4"/>
  <c r="M48" i="4"/>
  <c r="I48" i="4"/>
  <c r="L48" i="4"/>
  <c r="H48" i="4"/>
  <c r="K48" i="4"/>
  <c r="J48" i="4"/>
  <c r="G48" i="4"/>
  <c r="F48" i="4"/>
  <c r="K49" i="6"/>
  <c r="G49" i="6"/>
  <c r="J49" i="6"/>
  <c r="F49" i="6"/>
  <c r="H49" i="6"/>
  <c r="M49" i="6"/>
  <c r="L49" i="6"/>
  <c r="I49" i="6"/>
  <c r="M44" i="4"/>
  <c r="I44" i="4"/>
  <c r="L44" i="4"/>
  <c r="H44" i="4"/>
  <c r="G44" i="4"/>
  <c r="F44" i="4"/>
  <c r="K44" i="4"/>
  <c r="J44" i="4"/>
  <c r="L39" i="4"/>
  <c r="H39" i="4"/>
  <c r="K39" i="4"/>
  <c r="G39" i="4"/>
  <c r="F39" i="4"/>
  <c r="M39" i="4"/>
  <c r="J39" i="4"/>
  <c r="I39" i="4"/>
  <c r="J40" i="6"/>
  <c r="F40" i="6"/>
  <c r="M40" i="6"/>
  <c r="I40" i="6"/>
  <c r="K40" i="6"/>
  <c r="H40" i="6"/>
  <c r="G40" i="6"/>
  <c r="L40" i="6"/>
  <c r="M28" i="4"/>
  <c r="I28" i="4"/>
  <c r="L28" i="4"/>
  <c r="H28" i="4"/>
  <c r="G28" i="4"/>
  <c r="F28" i="4"/>
  <c r="K28" i="4"/>
  <c r="J28" i="4"/>
  <c r="K26" i="5"/>
  <c r="G26" i="5"/>
  <c r="J26" i="5"/>
  <c r="F26" i="5"/>
  <c r="H26" i="5"/>
  <c r="M26" i="5"/>
  <c r="L26" i="5"/>
  <c r="I26" i="5"/>
  <c r="J23" i="6"/>
  <c r="F23" i="6"/>
  <c r="M23" i="6"/>
  <c r="I23" i="6"/>
  <c r="L23" i="6"/>
  <c r="H23" i="6"/>
  <c r="K23" i="6"/>
  <c r="G23" i="6"/>
  <c r="J17" i="5"/>
  <c r="F17" i="5"/>
  <c r="M17" i="5"/>
  <c r="I17" i="5"/>
  <c r="K17" i="5"/>
  <c r="H17" i="5"/>
  <c r="G17" i="5"/>
  <c r="L17" i="5"/>
  <c r="M16" i="5"/>
  <c r="I16" i="5"/>
  <c r="L16" i="5"/>
  <c r="H16" i="5"/>
  <c r="F16" i="5"/>
  <c r="K16" i="5"/>
  <c r="J16" i="5"/>
  <c r="G16" i="5"/>
  <c r="J15" i="6"/>
  <c r="F15" i="6"/>
  <c r="M15" i="6"/>
  <c r="I15" i="6"/>
  <c r="L15" i="6"/>
  <c r="H15" i="6"/>
  <c r="K15" i="6"/>
  <c r="G15" i="6"/>
  <c r="K182" i="6"/>
  <c r="G182" i="6"/>
  <c r="M182" i="6"/>
  <c r="I182" i="6"/>
  <c r="H182" i="6"/>
  <c r="F182" i="6"/>
  <c r="L182" i="6"/>
  <c r="J182" i="6"/>
  <c r="K178" i="4"/>
  <c r="G178" i="4"/>
  <c r="J178" i="4"/>
  <c r="F178" i="4"/>
  <c r="I178" i="4"/>
  <c r="H178" i="4"/>
  <c r="M178" i="4"/>
  <c r="L178" i="4"/>
  <c r="L179" i="5"/>
  <c r="H179" i="5"/>
  <c r="J179" i="5"/>
  <c r="F179" i="5"/>
  <c r="K179" i="5"/>
  <c r="I179" i="5"/>
  <c r="M179" i="5"/>
  <c r="G179" i="5"/>
  <c r="K178" i="6"/>
  <c r="G178" i="6"/>
  <c r="M178" i="6"/>
  <c r="I178" i="6"/>
  <c r="L178" i="6"/>
  <c r="H178" i="6"/>
  <c r="F178" i="6"/>
  <c r="J178" i="6"/>
  <c r="K174" i="4"/>
  <c r="G174" i="4"/>
  <c r="J174" i="4"/>
  <c r="F174" i="4"/>
  <c r="M174" i="4"/>
  <c r="L174" i="4"/>
  <c r="I174" i="4"/>
  <c r="H174" i="4"/>
  <c r="L175" i="5"/>
  <c r="H175" i="5"/>
  <c r="J175" i="5"/>
  <c r="F175" i="5"/>
  <c r="G175" i="5"/>
  <c r="M175" i="5"/>
  <c r="K175" i="5"/>
  <c r="I175" i="5"/>
  <c r="K174" i="6"/>
  <c r="G174" i="6"/>
  <c r="M174" i="6"/>
  <c r="I174" i="6"/>
  <c r="H174" i="6"/>
  <c r="J174" i="6"/>
  <c r="F174" i="6"/>
  <c r="L174" i="6"/>
  <c r="K170" i="4"/>
  <c r="G170" i="4"/>
  <c r="J170" i="4"/>
  <c r="F170" i="4"/>
  <c r="I170" i="4"/>
  <c r="H170" i="4"/>
  <c r="M170" i="4"/>
  <c r="L170" i="4"/>
  <c r="L171" i="5"/>
  <c r="H171" i="5"/>
  <c r="M171" i="5"/>
  <c r="G171" i="5"/>
  <c r="K171" i="5"/>
  <c r="F171" i="5"/>
  <c r="J171" i="5"/>
  <c r="I171" i="5"/>
  <c r="K170" i="6"/>
  <c r="G170" i="6"/>
  <c r="M170" i="6"/>
  <c r="I170" i="6"/>
  <c r="L170" i="6"/>
  <c r="J170" i="6"/>
  <c r="H170" i="6"/>
  <c r="F170" i="6"/>
  <c r="J166" i="4"/>
  <c r="F166" i="4"/>
  <c r="M166" i="4"/>
  <c r="I166" i="4"/>
  <c r="H166" i="4"/>
  <c r="G166" i="4"/>
  <c r="L166" i="4"/>
  <c r="K166" i="4"/>
  <c r="L167" i="5"/>
  <c r="H167" i="5"/>
  <c r="I167" i="5"/>
  <c r="M167" i="5"/>
  <c r="G167" i="5"/>
  <c r="K167" i="5"/>
  <c r="J167" i="5"/>
  <c r="F167" i="5"/>
  <c r="K166" i="6"/>
  <c r="G166" i="6"/>
  <c r="M166" i="6"/>
  <c r="I166" i="6"/>
  <c r="H166" i="6"/>
  <c r="L166" i="6"/>
  <c r="J166" i="6"/>
  <c r="F166" i="6"/>
  <c r="J162" i="4"/>
  <c r="F162" i="4"/>
  <c r="M162" i="4"/>
  <c r="I162" i="4"/>
  <c r="L162" i="4"/>
  <c r="K162" i="4"/>
  <c r="H162" i="4"/>
  <c r="G162" i="4"/>
  <c r="L163" i="5"/>
  <c r="H163" i="5"/>
  <c r="J163" i="5"/>
  <c r="I163" i="5"/>
  <c r="M163" i="5"/>
  <c r="K163" i="5"/>
  <c r="F163" i="5"/>
  <c r="G163" i="5"/>
  <c r="K162" i="6"/>
  <c r="G162" i="6"/>
  <c r="M162" i="6"/>
  <c r="I162" i="6"/>
  <c r="L162" i="6"/>
  <c r="J162" i="6"/>
  <c r="H162" i="6"/>
  <c r="F162" i="6"/>
  <c r="J158" i="4"/>
  <c r="F158" i="4"/>
  <c r="M158" i="4"/>
  <c r="I158" i="4"/>
  <c r="H158" i="4"/>
  <c r="G158" i="4"/>
  <c r="L158" i="4"/>
  <c r="K158" i="4"/>
  <c r="L159" i="5"/>
  <c r="H159" i="5"/>
  <c r="K159" i="5"/>
  <c r="F159" i="5"/>
  <c r="J159" i="5"/>
  <c r="M159" i="5"/>
  <c r="G159" i="5"/>
  <c r="I159" i="5"/>
  <c r="K158" i="6"/>
  <c r="G158" i="6"/>
  <c r="L158" i="6"/>
  <c r="F158" i="6"/>
  <c r="H158" i="6"/>
  <c r="M158" i="6"/>
  <c r="J158" i="6"/>
  <c r="I158" i="6"/>
  <c r="J154" i="4"/>
  <c r="F154" i="4"/>
  <c r="M154" i="4"/>
  <c r="I154" i="4"/>
  <c r="L154" i="4"/>
  <c r="K154" i="4"/>
  <c r="H154" i="4"/>
  <c r="G154" i="4"/>
  <c r="L155" i="5"/>
  <c r="H155" i="5"/>
  <c r="M155" i="5"/>
  <c r="G155" i="5"/>
  <c r="K155" i="5"/>
  <c r="F155" i="5"/>
  <c r="I155" i="5"/>
  <c r="J155" i="5"/>
  <c r="K154" i="6"/>
  <c r="G154" i="6"/>
  <c r="M154" i="6"/>
  <c r="H154" i="6"/>
  <c r="I154" i="6"/>
  <c r="F154" i="6"/>
  <c r="L154" i="6"/>
  <c r="J154" i="6"/>
  <c r="J150" i="4"/>
  <c r="F150" i="4"/>
  <c r="M150" i="4"/>
  <c r="I150" i="4"/>
  <c r="H150" i="4"/>
  <c r="G150" i="4"/>
  <c r="L150" i="4"/>
  <c r="K150" i="4"/>
  <c r="L151" i="5"/>
  <c r="H151" i="5"/>
  <c r="I151" i="5"/>
  <c r="M151" i="5"/>
  <c r="G151" i="5"/>
  <c r="F151" i="5"/>
  <c r="J151" i="5"/>
  <c r="K151" i="5"/>
  <c r="M150" i="6"/>
  <c r="I150" i="6"/>
  <c r="H150" i="6"/>
  <c r="L150" i="6"/>
  <c r="G150" i="6"/>
  <c r="K150" i="6"/>
  <c r="J150" i="6"/>
  <c r="F150" i="6"/>
  <c r="J146" i="4"/>
  <c r="F146" i="4"/>
  <c r="M146" i="4"/>
  <c r="I146" i="4"/>
  <c r="L146" i="4"/>
  <c r="K146" i="4"/>
  <c r="H146" i="4"/>
  <c r="G146" i="4"/>
  <c r="L147" i="5"/>
  <c r="H147" i="5"/>
  <c r="J147" i="5"/>
  <c r="I147" i="5"/>
  <c r="G147" i="5"/>
  <c r="F147" i="5"/>
  <c r="K147" i="5"/>
  <c r="M147" i="5"/>
  <c r="M146" i="6"/>
  <c r="I146" i="6"/>
  <c r="J146" i="6"/>
  <c r="H146" i="6"/>
  <c r="L146" i="6"/>
  <c r="K146" i="6"/>
  <c r="G146" i="6"/>
  <c r="F146" i="6"/>
  <c r="J142" i="4"/>
  <c r="F142" i="4"/>
  <c r="M142" i="4"/>
  <c r="I142" i="4"/>
  <c r="H142" i="4"/>
  <c r="G142" i="4"/>
  <c r="L142" i="4"/>
  <c r="K142" i="4"/>
  <c r="L143" i="5"/>
  <c r="H143" i="5"/>
  <c r="K143" i="5"/>
  <c r="F143" i="5"/>
  <c r="J143" i="5"/>
  <c r="I143" i="5"/>
  <c r="G143" i="5"/>
  <c r="M143" i="5"/>
  <c r="M142" i="6"/>
  <c r="I142" i="6"/>
  <c r="K142" i="6"/>
  <c r="F142" i="6"/>
  <c r="J142" i="6"/>
  <c r="L142" i="6"/>
  <c r="H142" i="6"/>
  <c r="G142" i="6"/>
  <c r="M140" i="5"/>
  <c r="I140" i="5"/>
  <c r="L140" i="5"/>
  <c r="G140" i="5"/>
  <c r="K140" i="5"/>
  <c r="F140" i="5"/>
  <c r="J140" i="5"/>
  <c r="H140" i="5"/>
  <c r="L139" i="5"/>
  <c r="H139" i="5"/>
  <c r="M139" i="5"/>
  <c r="G139" i="5"/>
  <c r="K139" i="5"/>
  <c r="F139" i="5"/>
  <c r="J139" i="5"/>
  <c r="I139" i="5"/>
  <c r="M138" i="6"/>
  <c r="I138" i="6"/>
  <c r="L138" i="6"/>
  <c r="G138" i="6"/>
  <c r="K138" i="6"/>
  <c r="F138" i="6"/>
  <c r="J138" i="6"/>
  <c r="H138" i="6"/>
  <c r="J134" i="4"/>
  <c r="F134" i="4"/>
  <c r="M134" i="4"/>
  <c r="I134" i="4"/>
  <c r="H134" i="4"/>
  <c r="G134" i="4"/>
  <c r="L134" i="4"/>
  <c r="K134" i="4"/>
  <c r="L135" i="5"/>
  <c r="H135" i="5"/>
  <c r="I135" i="5"/>
  <c r="M135" i="5"/>
  <c r="G135" i="5"/>
  <c r="K135" i="5"/>
  <c r="J135" i="5"/>
  <c r="F135" i="5"/>
  <c r="M134" i="6"/>
  <c r="I134" i="6"/>
  <c r="H134" i="6"/>
  <c r="L134" i="6"/>
  <c r="G134" i="6"/>
  <c r="F134" i="6"/>
  <c r="K134" i="6"/>
  <c r="J134" i="6"/>
  <c r="J130" i="4"/>
  <c r="F130" i="4"/>
  <c r="M130" i="4"/>
  <c r="I130" i="4"/>
  <c r="L130" i="4"/>
  <c r="K130" i="4"/>
  <c r="H130" i="4"/>
  <c r="G130" i="4"/>
  <c r="L131" i="5"/>
  <c r="H131" i="5"/>
  <c r="J131" i="5"/>
  <c r="I131" i="5"/>
  <c r="M131" i="5"/>
  <c r="K131" i="5"/>
  <c r="G131" i="5"/>
  <c r="F131" i="5"/>
  <c r="M130" i="6"/>
  <c r="I130" i="6"/>
  <c r="J130" i="6"/>
  <c r="H130" i="6"/>
  <c r="G130" i="6"/>
  <c r="F130" i="6"/>
  <c r="L130" i="6"/>
  <c r="K130" i="6"/>
  <c r="J126" i="4"/>
  <c r="F126" i="4"/>
  <c r="M126" i="4"/>
  <c r="I126" i="4"/>
  <c r="H126" i="4"/>
  <c r="G126" i="4"/>
  <c r="L126" i="4"/>
  <c r="K126" i="4"/>
  <c r="L127" i="5"/>
  <c r="H127" i="5"/>
  <c r="K127" i="5"/>
  <c r="F127" i="5"/>
  <c r="J127" i="5"/>
  <c r="M127" i="5"/>
  <c r="I127" i="5"/>
  <c r="G127" i="5"/>
  <c r="M126" i="6"/>
  <c r="I126" i="6"/>
  <c r="K126" i="6"/>
  <c r="F126" i="6"/>
  <c r="H126" i="6"/>
  <c r="G126" i="6"/>
  <c r="L126" i="6"/>
  <c r="J126" i="6"/>
  <c r="J122" i="4"/>
  <c r="F122" i="4"/>
  <c r="M122" i="4"/>
  <c r="I122" i="4"/>
  <c r="L122" i="4"/>
  <c r="K122" i="4"/>
  <c r="H122" i="4"/>
  <c r="G122" i="4"/>
  <c r="L123" i="5"/>
  <c r="H123" i="5"/>
  <c r="M123" i="5"/>
  <c r="G123" i="5"/>
  <c r="K123" i="5"/>
  <c r="F123" i="5"/>
  <c r="J123" i="5"/>
  <c r="I123" i="5"/>
  <c r="M122" i="6"/>
  <c r="I122" i="6"/>
  <c r="L122" i="6"/>
  <c r="G122" i="6"/>
  <c r="J122" i="6"/>
  <c r="H122" i="6"/>
  <c r="K122" i="6"/>
  <c r="F122" i="6"/>
  <c r="J118" i="4"/>
  <c r="F118" i="4"/>
  <c r="M118" i="4"/>
  <c r="I118" i="4"/>
  <c r="H118" i="4"/>
  <c r="G118" i="4"/>
  <c r="L118" i="4"/>
  <c r="K118" i="4"/>
  <c r="L119" i="5"/>
  <c r="H119" i="5"/>
  <c r="I119" i="5"/>
  <c r="M119" i="5"/>
  <c r="G119" i="5"/>
  <c r="F119" i="5"/>
  <c r="K119" i="5"/>
  <c r="J119" i="5"/>
  <c r="M118" i="6"/>
  <c r="I118" i="6"/>
  <c r="H118" i="6"/>
  <c r="K118" i="6"/>
  <c r="J118" i="6"/>
  <c r="L118" i="6"/>
  <c r="G118" i="6"/>
  <c r="F118" i="6"/>
  <c r="J114" i="4"/>
  <c r="F114" i="4"/>
  <c r="M114" i="4"/>
  <c r="I114" i="4"/>
  <c r="L114" i="4"/>
  <c r="K114" i="4"/>
  <c r="H114" i="4"/>
  <c r="G114" i="4"/>
  <c r="L115" i="5"/>
  <c r="H115" i="5"/>
  <c r="J115" i="5"/>
  <c r="I115" i="5"/>
  <c r="G115" i="5"/>
  <c r="F115" i="5"/>
  <c r="M115" i="5"/>
  <c r="K115" i="5"/>
  <c r="M114" i="6"/>
  <c r="I114" i="6"/>
  <c r="J114" i="6"/>
  <c r="L114" i="6"/>
  <c r="F114" i="6"/>
  <c r="K114" i="6"/>
  <c r="H114" i="6"/>
  <c r="G114" i="6"/>
  <c r="J110" i="4"/>
  <c r="F110" i="4"/>
  <c r="M110" i="4"/>
  <c r="I110" i="4"/>
  <c r="H110" i="4"/>
  <c r="G110" i="4"/>
  <c r="L110" i="4"/>
  <c r="K110" i="4"/>
  <c r="M111" i="5"/>
  <c r="I111" i="5"/>
  <c r="L111" i="5"/>
  <c r="H111" i="5"/>
  <c r="G111" i="5"/>
  <c r="F111" i="5"/>
  <c r="J111" i="5"/>
  <c r="K111" i="5"/>
  <c r="M110" i="6"/>
  <c r="I110" i="6"/>
  <c r="K110" i="6"/>
  <c r="F110" i="6"/>
  <c r="G110" i="6"/>
  <c r="L110" i="6"/>
  <c r="J110" i="6"/>
  <c r="H110" i="6"/>
  <c r="J106" i="4"/>
  <c r="F106" i="4"/>
  <c r="M106" i="4"/>
  <c r="I106" i="4"/>
  <c r="L106" i="4"/>
  <c r="K106" i="4"/>
  <c r="H106" i="4"/>
  <c r="G106" i="4"/>
  <c r="M107" i="5"/>
  <c r="I107" i="5"/>
  <c r="L107" i="5"/>
  <c r="H107" i="5"/>
  <c r="K107" i="5"/>
  <c r="J107" i="5"/>
  <c r="F107" i="5"/>
  <c r="G107" i="5"/>
  <c r="K106" i="6"/>
  <c r="G106" i="6"/>
  <c r="L106" i="6"/>
  <c r="F106" i="6"/>
  <c r="J106" i="6"/>
  <c r="I106" i="6"/>
  <c r="H106" i="6"/>
  <c r="M106" i="6"/>
  <c r="K102" i="4"/>
  <c r="G102" i="4"/>
  <c r="J102" i="4"/>
  <c r="F102" i="4"/>
  <c r="I102" i="4"/>
  <c r="H102" i="4"/>
  <c r="M102" i="4"/>
  <c r="L102" i="4"/>
  <c r="M103" i="5"/>
  <c r="I103" i="5"/>
  <c r="L103" i="5"/>
  <c r="H103" i="5"/>
  <c r="G103" i="5"/>
  <c r="F103" i="5"/>
  <c r="K103" i="5"/>
  <c r="J103" i="5"/>
  <c r="K102" i="6"/>
  <c r="G102" i="6"/>
  <c r="M102" i="6"/>
  <c r="H102" i="6"/>
  <c r="L102" i="6"/>
  <c r="F102" i="6"/>
  <c r="J102" i="6"/>
  <c r="I102" i="6"/>
  <c r="K98" i="4"/>
  <c r="G98" i="4"/>
  <c r="J98" i="4"/>
  <c r="F98" i="4"/>
  <c r="M98" i="4"/>
  <c r="L98" i="4"/>
  <c r="I98" i="4"/>
  <c r="H98" i="4"/>
  <c r="M99" i="5"/>
  <c r="I99" i="5"/>
  <c r="L99" i="5"/>
  <c r="H99" i="5"/>
  <c r="K99" i="5"/>
  <c r="J99" i="5"/>
  <c r="G99" i="5"/>
  <c r="F99" i="5"/>
  <c r="K98" i="6"/>
  <c r="G98" i="6"/>
  <c r="I98" i="6"/>
  <c r="M98" i="6"/>
  <c r="H98" i="6"/>
  <c r="L98" i="6"/>
  <c r="J98" i="6"/>
  <c r="F98" i="6"/>
  <c r="K94" i="4"/>
  <c r="G94" i="4"/>
  <c r="J94" i="4"/>
  <c r="F94" i="4"/>
  <c r="I94" i="4"/>
  <c r="H94" i="4"/>
  <c r="M94" i="4"/>
  <c r="L94" i="4"/>
  <c r="M95" i="5"/>
  <c r="I95" i="5"/>
  <c r="L95" i="5"/>
  <c r="H95" i="5"/>
  <c r="G95" i="5"/>
  <c r="F95" i="5"/>
  <c r="J95" i="5"/>
  <c r="K95" i="5"/>
  <c r="M94" i="6"/>
  <c r="I94" i="6"/>
  <c r="L94" i="6"/>
  <c r="H94" i="6"/>
  <c r="G94" i="6"/>
  <c r="F94" i="6"/>
  <c r="K94" i="6"/>
  <c r="J94" i="6"/>
  <c r="K90" i="4"/>
  <c r="G90" i="4"/>
  <c r="J90" i="4"/>
  <c r="F90" i="4"/>
  <c r="M90" i="4"/>
  <c r="L90" i="4"/>
  <c r="I90" i="4"/>
  <c r="H90" i="4"/>
  <c r="M91" i="5"/>
  <c r="I91" i="5"/>
  <c r="L91" i="5"/>
  <c r="H91" i="5"/>
  <c r="K91" i="5"/>
  <c r="J91" i="5"/>
  <c r="F91" i="5"/>
  <c r="G91" i="5"/>
  <c r="M90" i="6"/>
  <c r="I90" i="6"/>
  <c r="L90" i="6"/>
  <c r="H90" i="6"/>
  <c r="K90" i="6"/>
  <c r="J90" i="6"/>
  <c r="G90" i="6"/>
  <c r="F90" i="6"/>
  <c r="K86" i="4"/>
  <c r="G86" i="4"/>
  <c r="J86" i="4"/>
  <c r="F86" i="4"/>
  <c r="I86" i="4"/>
  <c r="H86" i="4"/>
  <c r="M86" i="4"/>
  <c r="L86" i="4"/>
  <c r="M87" i="5"/>
  <c r="I87" i="5"/>
  <c r="L87" i="5"/>
  <c r="H87" i="5"/>
  <c r="G87" i="5"/>
  <c r="F87" i="5"/>
  <c r="K87" i="5"/>
  <c r="J87" i="5"/>
  <c r="M86" i="6"/>
  <c r="I86" i="6"/>
  <c r="L86" i="6"/>
  <c r="H86" i="6"/>
  <c r="G86" i="6"/>
  <c r="F86" i="6"/>
  <c r="K86" i="6"/>
  <c r="J86" i="6"/>
  <c r="K82" i="4"/>
  <c r="G82" i="4"/>
  <c r="J82" i="4"/>
  <c r="F82" i="4"/>
  <c r="M82" i="4"/>
  <c r="L82" i="4"/>
  <c r="I82" i="4"/>
  <c r="H82" i="4"/>
  <c r="M83" i="5"/>
  <c r="I83" i="5"/>
  <c r="L83" i="5"/>
  <c r="H83" i="5"/>
  <c r="K83" i="5"/>
  <c r="J83" i="5"/>
  <c r="G83" i="5"/>
  <c r="F83" i="5"/>
  <c r="M82" i="6"/>
  <c r="I82" i="6"/>
  <c r="L82" i="6"/>
  <c r="H82" i="6"/>
  <c r="K82" i="6"/>
  <c r="J82" i="6"/>
  <c r="G82" i="6"/>
  <c r="F82" i="6"/>
  <c r="K78" i="4"/>
  <c r="G78" i="4"/>
  <c r="J78" i="4"/>
  <c r="F78" i="4"/>
  <c r="I78" i="4"/>
  <c r="H78" i="4"/>
  <c r="M78" i="4"/>
  <c r="L78" i="4"/>
  <c r="M79" i="5"/>
  <c r="I79" i="5"/>
  <c r="L79" i="5"/>
  <c r="H79" i="5"/>
  <c r="G79" i="5"/>
  <c r="F79" i="5"/>
  <c r="J79" i="5"/>
  <c r="K79" i="5"/>
  <c r="M78" i="6"/>
  <c r="I78" i="6"/>
  <c r="L78" i="6"/>
  <c r="H78" i="6"/>
  <c r="G78" i="6"/>
  <c r="F78" i="6"/>
  <c r="K78" i="6"/>
  <c r="J78" i="6"/>
  <c r="K74" i="4"/>
  <c r="G74" i="4"/>
  <c r="J74" i="4"/>
  <c r="F74" i="4"/>
  <c r="M74" i="4"/>
  <c r="L74" i="4"/>
  <c r="I74" i="4"/>
  <c r="H74" i="4"/>
  <c r="M75" i="5"/>
  <c r="I75" i="5"/>
  <c r="L75" i="5"/>
  <c r="H75" i="5"/>
  <c r="K75" i="5"/>
  <c r="J75" i="5"/>
  <c r="F75" i="5"/>
  <c r="G75" i="5"/>
  <c r="M74" i="6"/>
  <c r="I74" i="6"/>
  <c r="L74" i="6"/>
  <c r="H74" i="6"/>
  <c r="K74" i="6"/>
  <c r="J74" i="6"/>
  <c r="G74" i="6"/>
  <c r="F74" i="6"/>
  <c r="K70" i="4"/>
  <c r="G70" i="4"/>
  <c r="J70" i="4"/>
  <c r="F70" i="4"/>
  <c r="I70" i="4"/>
  <c r="H70" i="4"/>
  <c r="M70" i="4"/>
  <c r="L70" i="4"/>
  <c r="M71" i="5"/>
  <c r="I71" i="5"/>
  <c r="L71" i="5"/>
  <c r="H71" i="5"/>
  <c r="G71" i="5"/>
  <c r="F71" i="5"/>
  <c r="K71" i="5"/>
  <c r="J71" i="5"/>
  <c r="M70" i="6"/>
  <c r="I70" i="6"/>
  <c r="L70" i="6"/>
  <c r="H70" i="6"/>
  <c r="G70" i="6"/>
  <c r="F70" i="6"/>
  <c r="K70" i="6"/>
  <c r="J70" i="6"/>
  <c r="K66" i="4"/>
  <c r="G66" i="4"/>
  <c r="J66" i="4"/>
  <c r="F66" i="4"/>
  <c r="M66" i="4"/>
  <c r="L66" i="4"/>
  <c r="I66" i="4"/>
  <c r="H66" i="4"/>
  <c r="M67" i="5"/>
  <c r="I67" i="5"/>
  <c r="L67" i="5"/>
  <c r="H67" i="5"/>
  <c r="K67" i="5"/>
  <c r="J67" i="5"/>
  <c r="G67" i="5"/>
  <c r="F67" i="5"/>
  <c r="L66" i="6"/>
  <c r="H66" i="6"/>
  <c r="K66" i="6"/>
  <c r="G66" i="6"/>
  <c r="M66" i="6"/>
  <c r="J66" i="6"/>
  <c r="I66" i="6"/>
  <c r="F66" i="6"/>
  <c r="K62" i="4"/>
  <c r="G62" i="4"/>
  <c r="J62" i="4"/>
  <c r="F62" i="4"/>
  <c r="I62" i="4"/>
  <c r="H62" i="4"/>
  <c r="M62" i="4"/>
  <c r="L62" i="4"/>
  <c r="M63" i="5"/>
  <c r="I63" i="5"/>
  <c r="L63" i="5"/>
  <c r="H63" i="5"/>
  <c r="G63" i="5"/>
  <c r="F63" i="5"/>
  <c r="J63" i="5"/>
  <c r="K63" i="5"/>
  <c r="L62" i="6"/>
  <c r="H62" i="6"/>
  <c r="K62" i="6"/>
  <c r="G62" i="6"/>
  <c r="I62" i="6"/>
  <c r="F62" i="6"/>
  <c r="M62" i="6"/>
  <c r="J62" i="6"/>
  <c r="K58" i="4"/>
  <c r="G58" i="4"/>
  <c r="J58" i="4"/>
  <c r="F58" i="4"/>
  <c r="M58" i="4"/>
  <c r="L58" i="4"/>
  <c r="I58" i="4"/>
  <c r="H58" i="4"/>
  <c r="L58" i="5"/>
  <c r="H58" i="5"/>
  <c r="K58" i="5"/>
  <c r="G58" i="5"/>
  <c r="F58" i="5"/>
  <c r="M58" i="5"/>
  <c r="J58" i="5"/>
  <c r="I58" i="5"/>
  <c r="K57" i="6"/>
  <c r="G57" i="6"/>
  <c r="J57" i="6"/>
  <c r="F57" i="6"/>
  <c r="H57" i="6"/>
  <c r="M57" i="6"/>
  <c r="L57" i="6"/>
  <c r="I57" i="6"/>
  <c r="L43" i="4"/>
  <c r="H43" i="4"/>
  <c r="K43" i="4"/>
  <c r="G43" i="4"/>
  <c r="J43" i="4"/>
  <c r="I43" i="4"/>
  <c r="F43" i="4"/>
  <c r="M43" i="4"/>
  <c r="M44" i="5"/>
  <c r="I44" i="5"/>
  <c r="L44" i="5"/>
  <c r="H44" i="5"/>
  <c r="J44" i="5"/>
  <c r="G44" i="5"/>
  <c r="K44" i="5"/>
  <c r="F44" i="5"/>
  <c r="M43" i="6"/>
  <c r="I43" i="6"/>
  <c r="L43" i="6"/>
  <c r="H43" i="6"/>
  <c r="J43" i="6"/>
  <c r="G43" i="6"/>
  <c r="F43" i="6"/>
  <c r="K43" i="6"/>
  <c r="J37" i="4"/>
  <c r="F37" i="4"/>
  <c r="M37" i="4"/>
  <c r="I37" i="4"/>
  <c r="L37" i="4"/>
  <c r="K37" i="4"/>
  <c r="H37" i="4"/>
  <c r="G37" i="4"/>
  <c r="K38" i="5"/>
  <c r="G38" i="5"/>
  <c r="J38" i="5"/>
  <c r="F38" i="5"/>
  <c r="L38" i="5"/>
  <c r="I38" i="5"/>
  <c r="M38" i="5"/>
  <c r="H38" i="5"/>
  <c r="K37" i="6"/>
  <c r="G37" i="6"/>
  <c r="J37" i="6"/>
  <c r="F37" i="6"/>
  <c r="L37" i="6"/>
  <c r="I37" i="6"/>
  <c r="H37" i="6"/>
  <c r="M37" i="6"/>
  <c r="J33" i="4"/>
  <c r="F33" i="4"/>
  <c r="M33" i="4"/>
  <c r="I33" i="4"/>
  <c r="H33" i="4"/>
  <c r="G33" i="4"/>
  <c r="L33" i="4"/>
  <c r="K33" i="4"/>
  <c r="M32" i="4"/>
  <c r="I32" i="4"/>
  <c r="L32" i="4"/>
  <c r="H32" i="4"/>
  <c r="K32" i="4"/>
  <c r="J32" i="4"/>
  <c r="G32" i="4"/>
  <c r="F32" i="4"/>
  <c r="M32" i="5"/>
  <c r="I32" i="5"/>
  <c r="L32" i="5"/>
  <c r="H32" i="5"/>
  <c r="F32" i="5"/>
  <c r="K32" i="5"/>
  <c r="J32" i="5"/>
  <c r="G32" i="5"/>
  <c r="L27" i="4"/>
  <c r="H27" i="4"/>
  <c r="K27" i="4"/>
  <c r="G27" i="4"/>
  <c r="J27" i="4"/>
  <c r="I27" i="4"/>
  <c r="F27" i="4"/>
  <c r="M27" i="4"/>
  <c r="M28" i="5"/>
  <c r="I28" i="5"/>
  <c r="L28" i="5"/>
  <c r="H28" i="5"/>
  <c r="J28" i="5"/>
  <c r="G28" i="5"/>
  <c r="K28" i="5"/>
  <c r="F28" i="5"/>
  <c r="J27" i="6"/>
  <c r="F27" i="6"/>
  <c r="M27" i="6"/>
  <c r="I27" i="6"/>
  <c r="L27" i="6"/>
  <c r="H27" i="6"/>
  <c r="G27" i="6"/>
  <c r="K27" i="6"/>
  <c r="K22" i="4"/>
  <c r="G22" i="4"/>
  <c r="J22" i="4"/>
  <c r="F22" i="4"/>
  <c r="I22" i="4"/>
  <c r="H22" i="4"/>
  <c r="M22" i="4"/>
  <c r="L22" i="4"/>
  <c r="K22" i="5"/>
  <c r="G22" i="5"/>
  <c r="J22" i="5"/>
  <c r="F22" i="5"/>
  <c r="L22" i="5"/>
  <c r="I22" i="5"/>
  <c r="M22" i="5"/>
  <c r="H22" i="5"/>
  <c r="L21" i="6"/>
  <c r="H21" i="6"/>
  <c r="K21" i="6"/>
  <c r="G21" i="6"/>
  <c r="J21" i="6"/>
  <c r="F21" i="6"/>
  <c r="I21" i="6"/>
  <c r="M21" i="6"/>
  <c r="K18" i="5"/>
  <c r="G18" i="5"/>
  <c r="J18" i="5"/>
  <c r="F18" i="5"/>
  <c r="H18" i="5"/>
  <c r="M18" i="5"/>
  <c r="L18" i="5"/>
  <c r="I18" i="5"/>
  <c r="J13" i="5"/>
  <c r="F13" i="5"/>
  <c r="M13" i="5"/>
  <c r="I13" i="5"/>
  <c r="G13" i="5"/>
  <c r="L13" i="5"/>
  <c r="K13" i="5"/>
  <c r="H13" i="5"/>
  <c r="ALN33" i="3"/>
  <c r="ALJ33" i="3"/>
  <c r="ALF33" i="3"/>
  <c r="ALB33" i="3"/>
  <c r="AKX33" i="3"/>
  <c r="AKT33" i="3"/>
  <c r="AKP33" i="3"/>
  <c r="AKL33" i="3"/>
  <c r="AKH33" i="3"/>
  <c r="AKD33" i="3"/>
  <c r="AJZ33" i="3"/>
  <c r="AJV33" i="3"/>
  <c r="AJR33" i="3"/>
  <c r="AJN33" i="3"/>
  <c r="AJJ33" i="3"/>
  <c r="AJF33" i="3"/>
  <c r="AJB33" i="3"/>
  <c r="AIX33" i="3"/>
  <c r="AIT33" i="3"/>
  <c r="AIP33" i="3"/>
  <c r="AIL33" i="3"/>
  <c r="AIH33" i="3"/>
  <c r="AID33" i="3"/>
  <c r="AHZ33" i="3"/>
  <c r="AHV33" i="3"/>
  <c r="AHR33" i="3"/>
  <c r="AHN33" i="3"/>
  <c r="AHJ33" i="3"/>
  <c r="AHF33" i="3"/>
  <c r="AHB33" i="3"/>
  <c r="AGX33" i="3"/>
  <c r="AGT33" i="3"/>
  <c r="AGP33" i="3"/>
  <c r="AGL33" i="3"/>
  <c r="AGH33" i="3"/>
  <c r="AGD33" i="3"/>
  <c r="AFZ33" i="3"/>
  <c r="AFV33" i="3"/>
  <c r="AFR33" i="3"/>
  <c r="AFN33" i="3"/>
  <c r="AFJ33" i="3"/>
  <c r="AFF33" i="3"/>
  <c r="AFB33" i="3"/>
  <c r="AEX33" i="3"/>
  <c r="AET33" i="3"/>
  <c r="AEP33" i="3"/>
  <c r="AEL33" i="3"/>
  <c r="AEH33" i="3"/>
  <c r="AED33" i="3"/>
  <c r="ADZ33" i="3"/>
  <c r="ADV33" i="3"/>
  <c r="ADR33" i="3"/>
  <c r="ADN33" i="3"/>
  <c r="ADJ33" i="3"/>
  <c r="ADF33" i="3"/>
  <c r="ADB33" i="3"/>
  <c r="ACX33" i="3"/>
  <c r="ACT33" i="3"/>
  <c r="ACP33" i="3"/>
  <c r="ACL33" i="3"/>
  <c r="ACH33" i="3"/>
  <c r="ACD33" i="3"/>
  <c r="ABZ33" i="3"/>
  <c r="ABV33" i="3"/>
  <c r="ABR33" i="3"/>
  <c r="ABN33" i="3"/>
  <c r="ABJ33" i="3"/>
  <c r="ABF33" i="3"/>
  <c r="ABB33" i="3"/>
  <c r="AAX33" i="3"/>
  <c r="AAT33" i="3"/>
  <c r="AAP33" i="3"/>
  <c r="AAL33" i="3"/>
  <c r="AAH33" i="3"/>
  <c r="AAD33" i="3"/>
  <c r="ZZ33" i="3"/>
  <c r="ZV33" i="3"/>
  <c r="ZR33" i="3"/>
  <c r="ZN33" i="3"/>
  <c r="ZJ33" i="3"/>
  <c r="ZF33" i="3"/>
  <c r="ZB33" i="3"/>
  <c r="YX33" i="3"/>
  <c r="YT33" i="3"/>
  <c r="YP33" i="3"/>
  <c r="YL33" i="3"/>
  <c r="YH33" i="3"/>
  <c r="YD33" i="3"/>
  <c r="XZ33" i="3"/>
  <c r="XV33" i="3"/>
  <c r="XR33" i="3"/>
  <c r="XN33" i="3"/>
  <c r="XJ33" i="3"/>
  <c r="XF33" i="3"/>
  <c r="XB33" i="3"/>
  <c r="WX33" i="3"/>
  <c r="WT33" i="3"/>
  <c r="WP33" i="3"/>
  <c r="WL33" i="3"/>
  <c r="WH33" i="3"/>
  <c r="WD33" i="3"/>
  <c r="VZ33" i="3"/>
  <c r="VV33" i="3"/>
  <c r="VR33" i="3"/>
  <c r="VN33" i="3"/>
  <c r="VJ33" i="3"/>
  <c r="VF33" i="3"/>
  <c r="VB33" i="3"/>
  <c r="UX33" i="3"/>
  <c r="UT33" i="3"/>
  <c r="UP33" i="3"/>
  <c r="UL33" i="3"/>
  <c r="UH33" i="3"/>
  <c r="UD33" i="3"/>
  <c r="TZ33" i="3"/>
  <c r="TV33" i="3"/>
  <c r="TR33" i="3"/>
  <c r="TN33" i="3"/>
  <c r="TJ33" i="3"/>
  <c r="TF33" i="3"/>
  <c r="TB33" i="3"/>
  <c r="SX33" i="3"/>
  <c r="ST33" i="3"/>
  <c r="SP33" i="3"/>
  <c r="SL33" i="3"/>
  <c r="SH33" i="3"/>
  <c r="SD33" i="3"/>
  <c r="RZ33" i="3"/>
  <c r="RV33" i="3"/>
  <c r="RR33" i="3"/>
  <c r="RN33" i="3"/>
  <c r="RJ33" i="3"/>
  <c r="RF33" i="3"/>
  <c r="RB33" i="3"/>
  <c r="QX33" i="3"/>
  <c r="QT33" i="3"/>
  <c r="QP33" i="3"/>
  <c r="QL33" i="3"/>
  <c r="QH33" i="3"/>
  <c r="QD33" i="3"/>
  <c r="PZ33" i="3"/>
  <c r="PV33" i="3"/>
  <c r="PR33" i="3"/>
  <c r="PN33" i="3"/>
  <c r="PJ33" i="3"/>
  <c r="PF33" i="3"/>
  <c r="PB33" i="3"/>
  <c r="OX33" i="3"/>
  <c r="OT33" i="3"/>
  <c r="OP33" i="3"/>
  <c r="OL33" i="3"/>
  <c r="OH33" i="3"/>
  <c r="OD33" i="3"/>
  <c r="NZ33" i="3"/>
  <c r="NV33" i="3"/>
  <c r="NR33" i="3"/>
  <c r="NN33" i="3"/>
  <c r="NJ33" i="3"/>
  <c r="NF33" i="3"/>
  <c r="NB33" i="3"/>
  <c r="MX33" i="3"/>
  <c r="MT33" i="3"/>
  <c r="MP33" i="3"/>
  <c r="ML33" i="3"/>
  <c r="MH33" i="3"/>
  <c r="MD33" i="3"/>
  <c r="LZ33" i="3"/>
  <c r="LV33" i="3"/>
  <c r="LR33" i="3"/>
  <c r="LN33" i="3"/>
  <c r="LJ33" i="3"/>
  <c r="LF33" i="3"/>
  <c r="ALP33" i="3"/>
  <c r="ALL33" i="3"/>
  <c r="ALH33" i="3"/>
  <c r="ALD33" i="3"/>
  <c r="AKZ33" i="3"/>
  <c r="AKV33" i="3"/>
  <c r="AKR33" i="3"/>
  <c r="AKN33" i="3"/>
  <c r="AKJ33" i="3"/>
  <c r="AKF33" i="3"/>
  <c r="AKB33" i="3"/>
  <c r="AJX33" i="3"/>
  <c r="AJT33" i="3"/>
  <c r="AJP33" i="3"/>
  <c r="AJL33" i="3"/>
  <c r="AJH33" i="3"/>
  <c r="AJD33" i="3"/>
  <c r="AIZ33" i="3"/>
  <c r="AIV33" i="3"/>
  <c r="AIR33" i="3"/>
  <c r="AIN33" i="3"/>
  <c r="AIJ33" i="3"/>
  <c r="AIF33" i="3"/>
  <c r="AIB33" i="3"/>
  <c r="AHX33" i="3"/>
  <c r="AHT33" i="3"/>
  <c r="AHP33" i="3"/>
  <c r="AHL33" i="3"/>
  <c r="AHH33" i="3"/>
  <c r="AHD33" i="3"/>
  <c r="AGZ33" i="3"/>
  <c r="AGV33" i="3"/>
  <c r="AGR33" i="3"/>
  <c r="AGN33" i="3"/>
  <c r="AGJ33" i="3"/>
  <c r="AGF33" i="3"/>
  <c r="AGB33" i="3"/>
  <c r="AFX33" i="3"/>
  <c r="AFT33" i="3"/>
  <c r="AFP33" i="3"/>
  <c r="AFL33" i="3"/>
  <c r="AFH33" i="3"/>
  <c r="AFD33" i="3"/>
  <c r="AEZ33" i="3"/>
  <c r="AEV33" i="3"/>
  <c r="AER33" i="3"/>
  <c r="AEN33" i="3"/>
  <c r="AEJ33" i="3"/>
  <c r="AEF33" i="3"/>
  <c r="AEB33" i="3"/>
  <c r="ADX33" i="3"/>
  <c r="ADT33" i="3"/>
  <c r="ADP33" i="3"/>
  <c r="ADL33" i="3"/>
  <c r="ADH33" i="3"/>
  <c r="ADD33" i="3"/>
  <c r="ACZ33" i="3"/>
  <c r="ACV33" i="3"/>
  <c r="ACR33" i="3"/>
  <c r="ACN33" i="3"/>
  <c r="ACJ33" i="3"/>
  <c r="ACF33" i="3"/>
  <c r="ACB33" i="3"/>
  <c r="ABX33" i="3"/>
  <c r="ABT33" i="3"/>
  <c r="ABP33" i="3"/>
  <c r="ABL33" i="3"/>
  <c r="ABH33" i="3"/>
  <c r="ABD33" i="3"/>
  <c r="AAZ33" i="3"/>
  <c r="AAV33" i="3"/>
  <c r="AAR33" i="3"/>
  <c r="AAN33" i="3"/>
  <c r="AAJ33" i="3"/>
  <c r="AAF33" i="3"/>
  <c r="AAB33" i="3"/>
  <c r="ZX33" i="3"/>
  <c r="ZT33" i="3"/>
  <c r="ZP33" i="3"/>
  <c r="ZL33" i="3"/>
  <c r="ZH33" i="3"/>
  <c r="ZD33" i="3"/>
  <c r="YZ33" i="3"/>
  <c r="YV33" i="3"/>
  <c r="YR33" i="3"/>
  <c r="YN33" i="3"/>
  <c r="YJ33" i="3"/>
  <c r="YF33" i="3"/>
  <c r="YB33" i="3"/>
  <c r="XX33" i="3"/>
  <c r="XT33" i="3"/>
  <c r="XP33" i="3"/>
  <c r="XL33" i="3"/>
  <c r="XH33" i="3"/>
  <c r="XD33" i="3"/>
  <c r="WZ33" i="3"/>
  <c r="WV33" i="3"/>
  <c r="WR33" i="3"/>
  <c r="WN33" i="3"/>
  <c r="WJ33" i="3"/>
  <c r="WF33" i="3"/>
  <c r="WB33" i="3"/>
  <c r="VX33" i="3"/>
  <c r="VT33" i="3"/>
  <c r="VP33" i="3"/>
  <c r="VL33" i="3"/>
  <c r="VH33" i="3"/>
  <c r="VD33" i="3"/>
  <c r="UZ33" i="3"/>
  <c r="UV33" i="3"/>
  <c r="UR33" i="3"/>
  <c r="UN33" i="3"/>
  <c r="UJ33" i="3"/>
  <c r="UF33" i="3"/>
  <c r="UB33" i="3"/>
  <c r="TX33" i="3"/>
  <c r="TT33" i="3"/>
  <c r="TP33" i="3"/>
  <c r="TL33" i="3"/>
  <c r="TH33" i="3"/>
  <c r="TD33" i="3"/>
  <c r="SZ33" i="3"/>
  <c r="SV33" i="3"/>
  <c r="SR33" i="3"/>
  <c r="SN33" i="3"/>
  <c r="SJ33" i="3"/>
  <c r="SF33" i="3"/>
  <c r="SB33" i="3"/>
  <c r="RX33" i="3"/>
  <c r="RT33" i="3"/>
  <c r="RP33" i="3"/>
  <c r="RL33" i="3"/>
  <c r="RH33" i="3"/>
  <c r="RD33" i="3"/>
  <c r="QZ33" i="3"/>
  <c r="QV33" i="3"/>
  <c r="QR33" i="3"/>
  <c r="QN33" i="3"/>
  <c r="QJ33" i="3"/>
  <c r="QF33" i="3"/>
  <c r="QB33" i="3"/>
  <c r="PX33" i="3"/>
  <c r="PT33" i="3"/>
  <c r="PP33" i="3"/>
  <c r="PL33" i="3"/>
  <c r="PH33" i="3"/>
  <c r="PD33" i="3"/>
  <c r="OZ33" i="3"/>
  <c r="OV33" i="3"/>
  <c r="OR33" i="3"/>
  <c r="ON33" i="3"/>
  <c r="OJ33" i="3"/>
  <c r="OF33" i="3"/>
  <c r="OB33" i="3"/>
  <c r="NX33" i="3"/>
  <c r="NT33" i="3"/>
  <c r="NP33" i="3"/>
  <c r="NL33" i="3"/>
  <c r="NH33" i="3"/>
  <c r="ND33" i="3"/>
  <c r="MZ33" i="3"/>
  <c r="MV33" i="3"/>
  <c r="MR33" i="3"/>
  <c r="MN33" i="3"/>
  <c r="MJ33" i="3"/>
  <c r="MF33" i="3"/>
  <c r="MB33" i="3"/>
  <c r="LX33" i="3"/>
  <c r="LT33" i="3"/>
  <c r="LP33" i="3"/>
  <c r="LL33" i="3"/>
  <c r="LH33" i="3"/>
  <c r="LD33" i="3"/>
  <c r="KZ33" i="3"/>
  <c r="KV33" i="3"/>
  <c r="KR33" i="3"/>
  <c r="KN33" i="3"/>
  <c r="KJ33" i="3"/>
  <c r="KF33" i="3"/>
  <c r="KB33" i="3"/>
  <c r="JX33" i="3"/>
  <c r="JT33" i="3"/>
  <c r="JP33" i="3"/>
  <c r="JL33" i="3"/>
  <c r="JH33" i="3"/>
  <c r="JD33" i="3"/>
  <c r="IZ33" i="3"/>
  <c r="IV33" i="3"/>
  <c r="IR33" i="3"/>
  <c r="IN33" i="3"/>
  <c r="IJ33" i="3"/>
  <c r="IF33" i="3"/>
  <c r="IB33" i="3"/>
  <c r="HX33" i="3"/>
  <c r="HT33" i="3"/>
  <c r="HP33" i="3"/>
  <c r="HL33" i="3"/>
  <c r="HH33" i="3"/>
  <c r="HD33" i="3"/>
  <c r="GZ33" i="3"/>
  <c r="GV33" i="3"/>
  <c r="GR33" i="3"/>
  <c r="GN33" i="3"/>
  <c r="GJ33" i="3"/>
  <c r="GF33" i="3"/>
  <c r="GB33" i="3"/>
  <c r="FX33" i="3"/>
  <c r="FT33" i="3"/>
  <c r="FP33" i="3"/>
  <c r="FL33" i="3"/>
  <c r="FH33" i="3"/>
  <c r="FD33" i="3"/>
  <c r="EZ33" i="3"/>
  <c r="EV33" i="3"/>
  <c r="ER33" i="3"/>
  <c r="EN33" i="3"/>
  <c r="EJ33" i="3"/>
  <c r="EF33" i="3"/>
  <c r="EB33" i="3"/>
  <c r="DX33" i="3"/>
  <c r="DT33" i="3"/>
  <c r="DP33" i="3"/>
  <c r="DL33" i="3"/>
  <c r="DH33" i="3"/>
  <c r="DD33" i="3"/>
  <c r="CZ33" i="3"/>
  <c r="CV33" i="3"/>
  <c r="CR33" i="3"/>
  <c r="CN33" i="3"/>
  <c r="CJ33" i="3"/>
  <c r="CF33" i="3"/>
  <c r="CB33" i="3"/>
  <c r="BX33" i="3"/>
  <c r="BT33" i="3"/>
  <c r="BP33" i="3"/>
  <c r="BL33" i="3"/>
  <c r="BH33" i="3"/>
  <c r="BD33" i="3"/>
  <c r="AZ33" i="3"/>
  <c r="AV33" i="3"/>
  <c r="AR33" i="3"/>
  <c r="AN33" i="3"/>
  <c r="AJ33" i="3"/>
  <c r="AF33" i="3"/>
  <c r="AB33" i="3"/>
  <c r="X33" i="3"/>
  <c r="T33" i="3"/>
  <c r="P33" i="3"/>
  <c r="L33" i="3"/>
  <c r="H33" i="3"/>
  <c r="ALO33" i="3"/>
  <c r="ALG33" i="3"/>
  <c r="AKY33" i="3"/>
  <c r="AKQ33" i="3"/>
  <c r="AKI33" i="3"/>
  <c r="AKA33" i="3"/>
  <c r="AJS33" i="3"/>
  <c r="AJK33" i="3"/>
  <c r="AJC33" i="3"/>
  <c r="AIU33" i="3"/>
  <c r="AIM33" i="3"/>
  <c r="AIE33" i="3"/>
  <c r="AHW33" i="3"/>
  <c r="AHO33" i="3"/>
  <c r="AHG33" i="3"/>
  <c r="AGY33" i="3"/>
  <c r="AGQ33" i="3"/>
  <c r="AGI33" i="3"/>
  <c r="AGA33" i="3"/>
  <c r="AFS33" i="3"/>
  <c r="AFK33" i="3"/>
  <c r="AFC33" i="3"/>
  <c r="AEU33" i="3"/>
  <c r="AEM33" i="3"/>
  <c r="AEE33" i="3"/>
  <c r="ADW33" i="3"/>
  <c r="ADO33" i="3"/>
  <c r="ADG33" i="3"/>
  <c r="ACY33" i="3"/>
  <c r="ACQ33" i="3"/>
  <c r="ACI33" i="3"/>
  <c r="ACA33" i="3"/>
  <c r="ABS33" i="3"/>
  <c r="ABK33" i="3"/>
  <c r="ABC33" i="3"/>
  <c r="AAU33" i="3"/>
  <c r="AAM33" i="3"/>
  <c r="AAE33" i="3"/>
  <c r="ZW33" i="3"/>
  <c r="ZO33" i="3"/>
  <c r="ZG33" i="3"/>
  <c r="YY33" i="3"/>
  <c r="YQ33" i="3"/>
  <c r="YI33" i="3"/>
  <c r="YA33" i="3"/>
  <c r="XS33" i="3"/>
  <c r="XK33" i="3"/>
  <c r="XC33" i="3"/>
  <c r="WU33" i="3"/>
  <c r="WM33" i="3"/>
  <c r="WE33" i="3"/>
  <c r="VW33" i="3"/>
  <c r="VO33" i="3"/>
  <c r="VG33" i="3"/>
  <c r="UY33" i="3"/>
  <c r="UQ33" i="3"/>
  <c r="UI33" i="3"/>
  <c r="UA33" i="3"/>
  <c r="TS33" i="3"/>
  <c r="TK33" i="3"/>
  <c r="TC33" i="3"/>
  <c r="SU33" i="3"/>
  <c r="SM33" i="3"/>
  <c r="SE33" i="3"/>
  <c r="RW33" i="3"/>
  <c r="RO33" i="3"/>
  <c r="RG33" i="3"/>
  <c r="QY33" i="3"/>
  <c r="QQ33" i="3"/>
  <c r="QI33" i="3"/>
  <c r="QA33" i="3"/>
  <c r="PS33" i="3"/>
  <c r="PK33" i="3"/>
  <c r="PC33" i="3"/>
  <c r="OU33" i="3"/>
  <c r="OM33" i="3"/>
  <c r="OE33" i="3"/>
  <c r="NW33" i="3"/>
  <c r="NO33" i="3"/>
  <c r="NG33" i="3"/>
  <c r="MY33" i="3"/>
  <c r="MQ33" i="3"/>
  <c r="MI33" i="3"/>
  <c r="MA33" i="3"/>
  <c r="LS33" i="3"/>
  <c r="LK33" i="3"/>
  <c r="LC33" i="3"/>
  <c r="KX33" i="3"/>
  <c r="KS33" i="3"/>
  <c r="KM33" i="3"/>
  <c r="KH33" i="3"/>
  <c r="KC33" i="3"/>
  <c r="JW33" i="3"/>
  <c r="JR33" i="3"/>
  <c r="JM33" i="3"/>
  <c r="JG33" i="3"/>
  <c r="JB33" i="3"/>
  <c r="IW33" i="3"/>
  <c r="IQ33" i="3"/>
  <c r="IL33" i="3"/>
  <c r="IG33" i="3"/>
  <c r="IA33" i="3"/>
  <c r="HV33" i="3"/>
  <c r="HQ33" i="3"/>
  <c r="HK33" i="3"/>
  <c r="HF33" i="3"/>
  <c r="HA33" i="3"/>
  <c r="GU33" i="3"/>
  <c r="GP33" i="3"/>
  <c r="GK33" i="3"/>
  <c r="GE33" i="3"/>
  <c r="FZ33" i="3"/>
  <c r="FU33" i="3"/>
  <c r="FO33" i="3"/>
  <c r="FJ33" i="3"/>
  <c r="FE33" i="3"/>
  <c r="EY33" i="3"/>
  <c r="ET33" i="3"/>
  <c r="EO33" i="3"/>
  <c r="EI33" i="3"/>
  <c r="ED33" i="3"/>
  <c r="DY33" i="3"/>
  <c r="DS33" i="3"/>
  <c r="DN33" i="3"/>
  <c r="DI33" i="3"/>
  <c r="DC33" i="3"/>
  <c r="CX33" i="3"/>
  <c r="CS33" i="3"/>
  <c r="CM33" i="3"/>
  <c r="CH33" i="3"/>
  <c r="CC33" i="3"/>
  <c r="BW33" i="3"/>
  <c r="BR33" i="3"/>
  <c r="BM33" i="3"/>
  <c r="BG33" i="3"/>
  <c r="BB33" i="3"/>
  <c r="AW33" i="3"/>
  <c r="AQ33" i="3"/>
  <c r="AL33" i="3"/>
  <c r="AG33" i="3"/>
  <c r="AA33" i="3"/>
  <c r="V33" i="3"/>
  <c r="Q33" i="3"/>
  <c r="K33" i="3"/>
  <c r="ALM33" i="3"/>
  <c r="ALE33" i="3"/>
  <c r="AKW33" i="3"/>
  <c r="AKO33" i="3"/>
  <c r="AKG33" i="3"/>
  <c r="AJY33" i="3"/>
  <c r="AJQ33" i="3"/>
  <c r="AJI33" i="3"/>
  <c r="AJA33" i="3"/>
  <c r="AIS33" i="3"/>
  <c r="AIK33" i="3"/>
  <c r="AIC33" i="3"/>
  <c r="AHU33" i="3"/>
  <c r="AHM33" i="3"/>
  <c r="AHE33" i="3"/>
  <c r="AGW33" i="3"/>
  <c r="AGO33" i="3"/>
  <c r="AGG33" i="3"/>
  <c r="AFY33" i="3"/>
  <c r="AFQ33" i="3"/>
  <c r="AFI33" i="3"/>
  <c r="AFA33" i="3"/>
  <c r="AES33" i="3"/>
  <c r="AEK33" i="3"/>
  <c r="AEC33" i="3"/>
  <c r="ADU33" i="3"/>
  <c r="ADM33" i="3"/>
  <c r="ADE33" i="3"/>
  <c r="ACW33" i="3"/>
  <c r="ACO33" i="3"/>
  <c r="ACG33" i="3"/>
  <c r="ABY33" i="3"/>
  <c r="ABQ33" i="3"/>
  <c r="ABI33" i="3"/>
  <c r="ABA33" i="3"/>
  <c r="AAS33" i="3"/>
  <c r="AAK33" i="3"/>
  <c r="AAC33" i="3"/>
  <c r="ZU33" i="3"/>
  <c r="ZM33" i="3"/>
  <c r="ZE33" i="3"/>
  <c r="YW33" i="3"/>
  <c r="YO33" i="3"/>
  <c r="YG33" i="3"/>
  <c r="XY33" i="3"/>
  <c r="XQ33" i="3"/>
  <c r="XI33" i="3"/>
  <c r="XA33" i="3"/>
  <c r="WS33" i="3"/>
  <c r="WK33" i="3"/>
  <c r="WC33" i="3"/>
  <c r="VU33" i="3"/>
  <c r="VM33" i="3"/>
  <c r="VE33" i="3"/>
  <c r="UW33" i="3"/>
  <c r="UO33" i="3"/>
  <c r="UG33" i="3"/>
  <c r="TY33" i="3"/>
  <c r="TQ33" i="3"/>
  <c r="TI33" i="3"/>
  <c r="TA33" i="3"/>
  <c r="SS33" i="3"/>
  <c r="SK33" i="3"/>
  <c r="SC33" i="3"/>
  <c r="RU33" i="3"/>
  <c r="RM33" i="3"/>
  <c r="RE33" i="3"/>
  <c r="QW33" i="3"/>
  <c r="QO33" i="3"/>
  <c r="QG33" i="3"/>
  <c r="PY33" i="3"/>
  <c r="PQ33" i="3"/>
  <c r="PI33" i="3"/>
  <c r="PA33" i="3"/>
  <c r="OS33" i="3"/>
  <c r="OK33" i="3"/>
  <c r="OC33" i="3"/>
  <c r="NU33" i="3"/>
  <c r="NM33" i="3"/>
  <c r="NE33" i="3"/>
  <c r="MW33" i="3"/>
  <c r="MO33" i="3"/>
  <c r="MG33" i="3"/>
  <c r="LY33" i="3"/>
  <c r="LQ33" i="3"/>
  <c r="LI33" i="3"/>
  <c r="LB33" i="3"/>
  <c r="KW33" i="3"/>
  <c r="KQ33" i="3"/>
  <c r="KL33" i="3"/>
  <c r="KG33" i="3"/>
  <c r="KA33" i="3"/>
  <c r="JV33" i="3"/>
  <c r="JQ33" i="3"/>
  <c r="JK33" i="3"/>
  <c r="JF33" i="3"/>
  <c r="JA33" i="3"/>
  <c r="IU33" i="3"/>
  <c r="IP33" i="3"/>
  <c r="IK33" i="3"/>
  <c r="IE33" i="3"/>
  <c r="HZ33" i="3"/>
  <c r="HU33" i="3"/>
  <c r="HO33" i="3"/>
  <c r="HJ33" i="3"/>
  <c r="HE33" i="3"/>
  <c r="GY33" i="3"/>
  <c r="GT33" i="3"/>
  <c r="GO33" i="3"/>
  <c r="GI33" i="3"/>
  <c r="GD33" i="3"/>
  <c r="FY33" i="3"/>
  <c r="FS33" i="3"/>
  <c r="FN33" i="3"/>
  <c r="FI33" i="3"/>
  <c r="FC33" i="3"/>
  <c r="EX33" i="3"/>
  <c r="ES33" i="3"/>
  <c r="EM33" i="3"/>
  <c r="EH33" i="3"/>
  <c r="EC33" i="3"/>
  <c r="DW33" i="3"/>
  <c r="DR33" i="3"/>
  <c r="DM33" i="3"/>
  <c r="DG33" i="3"/>
  <c r="DB33" i="3"/>
  <c r="CW33" i="3"/>
  <c r="CQ33" i="3"/>
  <c r="CL33" i="3"/>
  <c r="CG33" i="3"/>
  <c r="CA33" i="3"/>
  <c r="BV33" i="3"/>
  <c r="BQ33" i="3"/>
  <c r="BK33" i="3"/>
  <c r="BF33" i="3"/>
  <c r="BA33" i="3"/>
  <c r="AU33" i="3"/>
  <c r="AP33" i="3"/>
  <c r="AK33" i="3"/>
  <c r="AE33" i="3"/>
  <c r="Z33" i="3"/>
  <c r="U33" i="3"/>
  <c r="O33" i="3"/>
  <c r="J33" i="3"/>
  <c r="F33" i="3"/>
  <c r="ALK33" i="3"/>
  <c r="ALC33" i="3"/>
  <c r="AKU33" i="3"/>
  <c r="AKM33" i="3"/>
  <c r="AKE33" i="3"/>
  <c r="AJW33" i="3"/>
  <c r="AJO33" i="3"/>
  <c r="AJG33" i="3"/>
  <c r="AIY33" i="3"/>
  <c r="AIQ33" i="3"/>
  <c r="AII33" i="3"/>
  <c r="AIA33" i="3"/>
  <c r="AHS33" i="3"/>
  <c r="AHK33" i="3"/>
  <c r="AHC33" i="3"/>
  <c r="AGU33" i="3"/>
  <c r="AGM33" i="3"/>
  <c r="AGE33" i="3"/>
  <c r="AFW33" i="3"/>
  <c r="AFO33" i="3"/>
  <c r="AFG33" i="3"/>
  <c r="AEY33" i="3"/>
  <c r="AEQ33" i="3"/>
  <c r="AEI33" i="3"/>
  <c r="AEA33" i="3"/>
  <c r="ADS33" i="3"/>
  <c r="ADK33" i="3"/>
  <c r="ADC33" i="3"/>
  <c r="ACU33" i="3"/>
  <c r="ACM33" i="3"/>
  <c r="ACE33" i="3"/>
  <c r="ABW33" i="3"/>
  <c r="ABO33" i="3"/>
  <c r="ABG33" i="3"/>
  <c r="AAY33" i="3"/>
  <c r="AAQ33" i="3"/>
  <c r="AAI33" i="3"/>
  <c r="AAA33" i="3"/>
  <c r="ZS33" i="3"/>
  <c r="ZK33" i="3"/>
  <c r="ZC33" i="3"/>
  <c r="YU33" i="3"/>
  <c r="YM33" i="3"/>
  <c r="YE33" i="3"/>
  <c r="XW33" i="3"/>
  <c r="XO33" i="3"/>
  <c r="XG33" i="3"/>
  <c r="WY33" i="3"/>
  <c r="WQ33" i="3"/>
  <c r="WI33" i="3"/>
  <c r="WA33" i="3"/>
  <c r="VS33" i="3"/>
  <c r="VK33" i="3"/>
  <c r="VC33" i="3"/>
  <c r="UU33" i="3"/>
  <c r="UM33" i="3"/>
  <c r="UE33" i="3"/>
  <c r="TW33" i="3"/>
  <c r="TO33" i="3"/>
  <c r="TG33" i="3"/>
  <c r="SY33" i="3"/>
  <c r="SQ33" i="3"/>
  <c r="SI33" i="3"/>
  <c r="SA33" i="3"/>
  <c r="RS33" i="3"/>
  <c r="RK33" i="3"/>
  <c r="RC33" i="3"/>
  <c r="QU33" i="3"/>
  <c r="QM33" i="3"/>
  <c r="QE33" i="3"/>
  <c r="PW33" i="3"/>
  <c r="PO33" i="3"/>
  <c r="PG33" i="3"/>
  <c r="OY33" i="3"/>
  <c r="OQ33" i="3"/>
  <c r="OI33" i="3"/>
  <c r="OA33" i="3"/>
  <c r="NS33" i="3"/>
  <c r="NK33" i="3"/>
  <c r="NC33" i="3"/>
  <c r="MU33" i="3"/>
  <c r="MM33" i="3"/>
  <c r="ME33" i="3"/>
  <c r="LW33" i="3"/>
  <c r="LO33" i="3"/>
  <c r="LG33" i="3"/>
  <c r="LA33" i="3"/>
  <c r="KU33" i="3"/>
  <c r="KP33" i="3"/>
  <c r="KK33" i="3"/>
  <c r="KE33" i="3"/>
  <c r="JZ33" i="3"/>
  <c r="JU33" i="3"/>
  <c r="JO33" i="3"/>
  <c r="JJ33" i="3"/>
  <c r="JE33" i="3"/>
  <c r="IY33" i="3"/>
  <c r="IT33" i="3"/>
  <c r="IO33" i="3"/>
  <c r="II33" i="3"/>
  <c r="ID33" i="3"/>
  <c r="HY33" i="3"/>
  <c r="HS33" i="3"/>
  <c r="HN33" i="3"/>
  <c r="HI33" i="3"/>
  <c r="HC33" i="3"/>
  <c r="GX33" i="3"/>
  <c r="GS33" i="3"/>
  <c r="GM33" i="3"/>
  <c r="GH33" i="3"/>
  <c r="GC33" i="3"/>
  <c r="FW33" i="3"/>
  <c r="FR33" i="3"/>
  <c r="FM33" i="3"/>
  <c r="FG33" i="3"/>
  <c r="FB33" i="3"/>
  <c r="EW33" i="3"/>
  <c r="EQ33" i="3"/>
  <c r="EL33" i="3"/>
  <c r="EG33" i="3"/>
  <c r="EA33" i="3"/>
  <c r="DV33" i="3"/>
  <c r="DQ33" i="3"/>
  <c r="DK33" i="3"/>
  <c r="DF33" i="3"/>
  <c r="DA33" i="3"/>
  <c r="CU33" i="3"/>
  <c r="CP33" i="3"/>
  <c r="CK33" i="3"/>
  <c r="CE33" i="3"/>
  <c r="BZ33" i="3"/>
  <c r="BU33" i="3"/>
  <c r="BO33" i="3"/>
  <c r="BJ33" i="3"/>
  <c r="BE33" i="3"/>
  <c r="AY33" i="3"/>
  <c r="AT33" i="3"/>
  <c r="AO33" i="3"/>
  <c r="AI33" i="3"/>
  <c r="AD33" i="3"/>
  <c r="Y33" i="3"/>
  <c r="S33" i="3"/>
  <c r="N33" i="3"/>
  <c r="I33" i="3"/>
  <c r="ALQ33" i="3"/>
  <c r="ALI33" i="3"/>
  <c r="ALA33" i="3"/>
  <c r="AKS33" i="3"/>
  <c r="AKK33" i="3"/>
  <c r="AKC33" i="3"/>
  <c r="AJU33" i="3"/>
  <c r="AJM33" i="3"/>
  <c r="AJE33" i="3"/>
  <c r="AIW33" i="3"/>
  <c r="AIO33" i="3"/>
  <c r="AIG33" i="3"/>
  <c r="AHY33" i="3"/>
  <c r="AHQ33" i="3"/>
  <c r="AHI33" i="3"/>
  <c r="AHA33" i="3"/>
  <c r="AGS33" i="3"/>
  <c r="AGK33" i="3"/>
  <c r="AGC33" i="3"/>
  <c r="AFU33" i="3"/>
  <c r="AFM33" i="3"/>
  <c r="AFE33" i="3"/>
  <c r="AEW33" i="3"/>
  <c r="AEO33" i="3"/>
  <c r="AEG33" i="3"/>
  <c r="ADY33" i="3"/>
  <c r="ADQ33" i="3"/>
  <c r="ADI33" i="3"/>
  <c r="ADA33" i="3"/>
  <c r="ACS33" i="3"/>
  <c r="ACK33" i="3"/>
  <c r="ACC33" i="3"/>
  <c r="ABU33" i="3"/>
  <c r="ABM33" i="3"/>
  <c r="ABE33" i="3"/>
  <c r="AAW33" i="3"/>
  <c r="AAO33" i="3"/>
  <c r="AAG33" i="3"/>
  <c r="ZY33" i="3"/>
  <c r="ZQ33" i="3"/>
  <c r="ZI33" i="3"/>
  <c r="ZA33" i="3"/>
  <c r="YS33" i="3"/>
  <c r="YK33" i="3"/>
  <c r="YC33" i="3"/>
  <c r="XU33" i="3"/>
  <c r="XM33" i="3"/>
  <c r="XE33" i="3"/>
  <c r="WW33" i="3"/>
  <c r="WO33" i="3"/>
  <c r="WG33" i="3"/>
  <c r="VY33" i="3"/>
  <c r="VQ33" i="3"/>
  <c r="VI33" i="3"/>
  <c r="VA33" i="3"/>
  <c r="US33" i="3"/>
  <c r="UK33" i="3"/>
  <c r="UC33" i="3"/>
  <c r="TU33" i="3"/>
  <c r="TM33" i="3"/>
  <c r="TE33" i="3"/>
  <c r="SW33" i="3"/>
  <c r="SO33" i="3"/>
  <c r="SG33" i="3"/>
  <c r="RY33" i="3"/>
  <c r="RQ33" i="3"/>
  <c r="RI33" i="3"/>
  <c r="RA33" i="3"/>
  <c r="QS33" i="3"/>
  <c r="QK33" i="3"/>
  <c r="QC33" i="3"/>
  <c r="PU33" i="3"/>
  <c r="PM33" i="3"/>
  <c r="PE33" i="3"/>
  <c r="OW33" i="3"/>
  <c r="OO33" i="3"/>
  <c r="OG33" i="3"/>
  <c r="NY33" i="3"/>
  <c r="NQ33" i="3"/>
  <c r="NI33" i="3"/>
  <c r="NA33" i="3"/>
  <c r="MS33" i="3"/>
  <c r="MK33" i="3"/>
  <c r="MC33" i="3"/>
  <c r="LU33" i="3"/>
  <c r="LM33" i="3"/>
  <c r="LE33" i="3"/>
  <c r="KY33" i="3"/>
  <c r="KT33" i="3"/>
  <c r="KO33" i="3"/>
  <c r="KI33" i="3"/>
  <c r="KD33" i="3"/>
  <c r="JY33" i="3"/>
  <c r="JS33" i="3"/>
  <c r="JN33" i="3"/>
  <c r="JI33" i="3"/>
  <c r="JC33" i="3"/>
  <c r="IX33" i="3"/>
  <c r="IS33" i="3"/>
  <c r="IM33" i="3"/>
  <c r="IH33" i="3"/>
  <c r="IC33" i="3"/>
  <c r="HW33" i="3"/>
  <c r="HR33" i="3"/>
  <c r="HM33" i="3"/>
  <c r="HG33" i="3"/>
  <c r="HB33" i="3"/>
  <c r="GW33" i="3"/>
  <c r="GQ33" i="3"/>
  <c r="GL33" i="3"/>
  <c r="GG33" i="3"/>
  <c r="GA33" i="3"/>
  <c r="FV33" i="3"/>
  <c r="FQ33" i="3"/>
  <c r="FK33" i="3"/>
  <c r="FF33" i="3"/>
  <c r="FA33" i="3"/>
  <c r="EU33" i="3"/>
  <c r="EP33" i="3"/>
  <c r="EK33" i="3"/>
  <c r="EE33" i="3"/>
  <c r="DZ33" i="3"/>
  <c r="DU33" i="3"/>
  <c r="DO33" i="3"/>
  <c r="DJ33" i="3"/>
  <c r="DE33" i="3"/>
  <c r="CY33" i="3"/>
  <c r="CT33" i="3"/>
  <c r="CO33" i="3"/>
  <c r="CI33" i="3"/>
  <c r="CD33" i="3"/>
  <c r="BY33" i="3"/>
  <c r="BS33" i="3"/>
  <c r="BN33" i="3"/>
  <c r="BI33" i="3"/>
  <c r="BC33" i="3"/>
  <c r="AX33" i="3"/>
  <c r="AS33" i="3"/>
  <c r="AM33" i="3"/>
  <c r="AH33" i="3"/>
  <c r="AC33" i="3"/>
  <c r="W33" i="3"/>
  <c r="R33" i="3"/>
  <c r="M33" i="3"/>
  <c r="G33" i="3"/>
  <c r="E10" i="6" l="1"/>
  <c r="E8" i="4"/>
  <c r="E1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E6" authorId="0" shapeId="0" xr:uid="{00000000-0006-0000-0000-000003000000}">
      <text>
        <r>
          <rPr>
            <sz val="10"/>
            <color rgb="FF000000"/>
            <rFont val="Arial"/>
          </rPr>
          <t>I interpreted this as unsure, b/c it says you must ask for permission from editor - who presumably can say no - hence not certain you can ...
	-Tony Ross-Hellauer
+jessica.polka@gmail.com
	-Tony Ross-Hellauer
This sounds good; I have completed subsequent journals with this in mind
	-Jessica Polka</t>
        </r>
      </text>
    </comment>
    <comment ref="H309" authorId="0" shapeId="0" xr:uid="{00000000-0006-0000-0000-000002000000}">
      <text>
        <r>
          <rPr>
            <sz val="10"/>
            <color rgb="FF000000"/>
            <rFont val="Arial"/>
          </rPr>
          <t>I revised this row to make OPR options not specified (except open IDs - optional). If you agree, I suggest we can paste these answers for all Nature Research journals (except Nature Comms)
	-Tony Ross-Hellauer
Sounds good - except I just notice these say a link is provided to the preprint version &amp; don't know where to find this info?
	-Jessica Polka
I changed to "unsure" -if we revert, will need to change for other nature journals (except reviews &amp; comms, below)
	-Jessica Polka
Also , just noting a to-do: the URLs should be cleaned up/matched to each individual journal
	-Jessica Polka
Just did this
	-Jessica Polka
ok1
	-Tony Ross-Hellauer
ok!
	-Tony Ross-Hellauer</t>
        </r>
      </text>
    </comment>
    <comment ref="Y356" authorId="0" shapeId="0" xr:uid="{00000000-0006-0000-0000-000004000000}">
      <text>
        <r>
          <rPr>
            <sz val="10"/>
            <color rgb="FF000000"/>
            <rFont val="Arial"/>
          </rPr>
          <t>Actually please see above! I think these are Optional - at request of referee
	-Jessica Polka</t>
        </r>
      </text>
    </comment>
    <comment ref="F364" authorId="0" shapeId="0" xr:uid="{00000000-0006-0000-0000-000001000000}">
      <text>
        <r>
          <rPr>
            <sz val="10"/>
            <color rgb="FF000000"/>
            <rFont val="Arial"/>
          </rPr>
          <t>Will need to fix urls in these
	-Jessica Polka
why?
	-Tony Ross-Hellauer
I just copied from one..they are in the form nature.com/[ABBREVIATION]/for-referees where [ABBREVIATION] changes from journal to journal
	-Jessica Polka</t>
        </r>
      </text>
    </comment>
  </commentList>
</comments>
</file>

<file path=xl/sharedStrings.xml><?xml version="1.0" encoding="utf-8"?>
<sst xmlns="http://schemas.openxmlformats.org/spreadsheetml/2006/main" count="11577" uniqueCount="1835">
  <si>
    <t>Group</t>
  </si>
  <si>
    <t>Property</t>
  </si>
  <si>
    <t>reviewer 1</t>
  </si>
  <si>
    <t>review date</t>
  </si>
  <si>
    <t>Description/Instructions</t>
  </si>
  <si>
    <t>Allowed entries</t>
  </si>
  <si>
    <t>Please enter information about journals you represent to this sheet, with one column per journal. If entries are not inputted in the proper format (see "Allowed entries" column) the cell will be highlighted in red. Please leave fields marked by a blue description blank.
If you have any questions, please contact transpose-publishing@googlegroups.com
All contributions will be released under the CC0 waiver.
Example entry below.</t>
  </si>
  <si>
    <t>Entry</t>
  </si>
  <si>
    <t>reviewer 2</t>
  </si>
  <si>
    <t>email</t>
  </si>
  <si>
    <t>Your email address 
(not shared publicly)</t>
  </si>
  <si>
    <t>reviewer 3</t>
  </si>
  <si>
    <t>review 3 date</t>
  </si>
  <si>
    <t>To discuss (COMMENTS FROM REVIEWER 3)</t>
  </si>
  <si>
    <t>issn</t>
  </si>
  <si>
    <t>[email address]</t>
  </si>
  <si>
    <t>editor@examplejournal.com</t>
  </si>
  <si>
    <t>title</t>
  </si>
  <si>
    <t>transpose-publishing.github.io</t>
  </si>
  <si>
    <t>Top journals in</t>
  </si>
  <si>
    <t>To discuss</t>
  </si>
  <si>
    <t>Top journals in... [field] (added by JP from https://docs.google.com/spreadsheets/d/1Dluo5DNWU4UrmwIZLzqcToioRdyZ1qc1EofAk4ypiW8/edit#gid=1793295014)</t>
  </si>
  <si>
    <t>publisher</t>
  </si>
  <si>
    <t>pr-type</t>
  </si>
  <si>
    <t>date</t>
  </si>
  <si>
    <t>pr-policy</t>
  </si>
  <si>
    <t>pr-form-url</t>
  </si>
  <si>
    <t>pr-credit-url</t>
  </si>
  <si>
    <t>pr-database</t>
  </si>
  <si>
    <t>pr-transfer-policy</t>
  </si>
  <si>
    <t>pr-transfer-url</t>
  </si>
  <si>
    <t>opr-reports</t>
  </si>
  <si>
    <t>Entry date</t>
  </si>
  <si>
    <t>opr-responses</t>
  </si>
  <si>
    <t>opr-letters</t>
  </si>
  <si>
    <t>opr-versions</t>
  </si>
  <si>
    <t>[YYYY-MM-DD]</t>
  </si>
  <si>
    <t>opr-identities-published</t>
  </si>
  <si>
    <t>opr-indenties-author</t>
  </si>
  <si>
    <t>opr-comments</t>
  </si>
  <si>
    <t>opr-interaction</t>
  </si>
  <si>
    <t>opr-additional</t>
  </si>
  <si>
    <t>coreview-policy</t>
  </si>
  <si>
    <t>coreview-url</t>
  </si>
  <si>
    <t>coreview-email</t>
  </si>
  <si>
    <t>coreview-form</t>
  </si>
  <si>
    <t>coreview-database</t>
  </si>
  <si>
    <t>preprint-url</t>
  </si>
  <si>
    <t>preprint-version</t>
  </si>
  <si>
    <t>preprint-servers</t>
  </si>
  <si>
    <t>preprint-citation</t>
  </si>
  <si>
    <t>preprint-link</t>
  </si>
  <si>
    <t>preprint-media</t>
  </si>
  <si>
    <t>preprint-licensing</t>
  </si>
  <si>
    <t>preprint-scoop</t>
  </si>
  <si>
    <t>preprint-review</t>
  </si>
  <si>
    <t>Free Notes/Observations</t>
  </si>
  <si>
    <t>Time taken to do the Survey</t>
  </si>
  <si>
    <t>Reviewer 2 changes</t>
  </si>
  <si>
    <t>Your initials</t>
  </si>
  <si>
    <t>Journal ISSN 
 (optional. Please enter just one ISSN associated with your journal, which can be print or electronic)</t>
  </si>
  <si>
    <t>Journal title 
 (one per column)</t>
  </si>
  <si>
    <t>Publisher</t>
  </si>
  <si>
    <t>Type of peer review
 Single blind - reviewers are anonymous to the author. Double blind - reviewers and authors are
 anonymous to each other.</t>
  </si>
  <si>
    <t>Peer review policy URL</t>
  </si>
  <si>
    <t>Peer review form URL (a copy of the peer review form)</t>
  </si>
  <si>
    <t>Peer review credit policy URL</t>
  </si>
  <si>
    <t>Peer reviewer activity deposited into open databases? Examples include Publons and ORCID</t>
  </si>
  <si>
    <t>Peer review transfer policy</t>
  </si>
  <si>
    <t>Peer review transfer policy URL</t>
  </si>
  <si>
    <t>Peer review reports - published?, attributes (An example of "Conditional" publication: reviews are published unless the reviewer recommends rejection or withdraws.)</t>
  </si>
  <si>
    <t>Author responses to reviews - published?, attributes</t>
  </si>
  <si>
    <t>Editorial decision letters - published?, attributes</t>
  </si>
  <si>
    <t>Previous versions of the manuscript - published?, attributes</t>
  </si>
  <si>
    <t>Reviewer identities published?</t>
  </si>
  <si>
    <t>Reviewer identities revealed to the author (even if not published)?</t>
  </si>
  <si>
    <t>Public commenting during formal peer review?</t>
  </si>
  <si>
    <t>Open interaction (reviewers consult with one another)?</t>
  </si>
  <si>
    <t>Additional OPR information
 Add any notes here about the nature of "conditional" publishing, etc</t>
  </si>
  <si>
    <t>Co-reviewer policy Co-reviewers are people whom a peer reviewer invites to help them write a peer review. Often these are junior scholars in the same lab/group as the peer reviewer.</t>
  </si>
  <si>
    <t>Co-reviewer policy URL</t>
  </si>
  <si>
    <t>Co-reviewers can contribute?</t>
  </si>
  <si>
    <t>Dedicated place in the peer review form to identify co-reviewers?</t>
  </si>
  <si>
    <t>Peer reviewer activity for co-reviewers deposited into open databases?</t>
  </si>
  <si>
    <t>Preprint policy URL(s)</t>
  </si>
  <si>
    <t>Global</t>
  </si>
  <si>
    <t>Version of the paper that can be posted to a preprint server</t>
  </si>
  <si>
    <t>Acceptable servers or characteristics of preprint servers</t>
  </si>
  <si>
    <t>Journal ISSN 
(optional. Please enter just one ISSN associated with your journal, which can be print or electronic)</t>
  </si>
  <si>
    <t>0000-0000</t>
  </si>
  <si>
    <t>Preprints allowed in citation list? If citations are only permitted to preprints that appear in certain servers, please select and describe in "Other."</t>
  </si>
  <si>
    <t>Link provided to preprint version of a paper?</t>
  </si>
  <si>
    <t>Preprint media coverage policy What type of coverage about preprints is permitted? (eg blog posts, social media, news outlets, etc). Paste the policy here.</t>
  </si>
  <si>
    <t>Preprint licensing policy What licenses (CC BY, etc) are permitted for preprints?</t>
  </si>
  <si>
    <t>Scoop protection policy "Scoop protection" refers to policies about whether submitted preprint will be rejected if a competing work comes out in another journal after the date of preprinting.</t>
  </si>
  <si>
    <t>Community review policy for preprints</t>
  </si>
  <si>
    <t>Journal title 
(one per column)</t>
  </si>
  <si>
    <t>[string]</t>
  </si>
  <si>
    <t>Example Journal</t>
  </si>
  <si>
    <t>ACS Applied Materials &amp; Interfaces</t>
  </si>
  <si>
    <t>Accounts of Chemical Research</t>
  </si>
  <si>
    <t>ACS Catalysis</t>
  </si>
  <si>
    <t>Academy of Management Journal</t>
  </si>
  <si>
    <t>ACS Nano</t>
  </si>
  <si>
    <t>Advanced Energy Materials</t>
  </si>
  <si>
    <t>Advanced Functional Materials</t>
  </si>
  <si>
    <t>Advanced Materials</t>
  </si>
  <si>
    <t>American Economic Review</t>
  </si>
  <si>
    <t>American Journal of Political Science</t>
  </si>
  <si>
    <t>American Journal of Public Health</t>
  </si>
  <si>
    <t>American Political Science Review</t>
  </si>
  <si>
    <t>American Sociological Review</t>
  </si>
  <si>
    <t>Angewandte Chemie International Edition</t>
  </si>
  <si>
    <t>Annals of Internal Medicine</t>
  </si>
  <si>
    <t>Annals of Oncology</t>
  </si>
  <si>
    <t>Annals of the Rheumatic Diseases</t>
  </si>
  <si>
    <t>Annals of Tourism Research</t>
  </si>
  <si>
    <t>Applied Energy</t>
  </si>
  <si>
    <t>Applied Linguistics</t>
  </si>
  <si>
    <t>Applied Physics Letters</t>
  </si>
  <si>
    <t>Astronomy &amp; Astrophysics</t>
  </si>
  <si>
    <t>Biomaterials</t>
  </si>
  <si>
    <t>Blood</t>
  </si>
  <si>
    <t>BMJ</t>
  </si>
  <si>
    <t>Cancer Cell</t>
  </si>
  <si>
    <t>Cancer Research</t>
  </si>
  <si>
    <t>Cell</t>
  </si>
  <si>
    <t>Cell Metabolism</t>
  </si>
  <si>
    <t>Cell Stem Cell</t>
  </si>
  <si>
    <t>Chemical communications (Cambridge, England)</t>
  </si>
  <si>
    <t>Chemical Reviews</t>
  </si>
  <si>
    <t>Chemical Society reviews</t>
  </si>
  <si>
    <t>Chemistry of Materials</t>
  </si>
  <si>
    <t>Circulation</t>
  </si>
  <si>
    <t>Circulation Research</t>
  </si>
  <si>
    <t>Clinical Cancer Research</t>
  </si>
  <si>
    <t>[Initials of first, last name]</t>
  </si>
  <si>
    <t>Computers &amp; Education</t>
  </si>
  <si>
    <t>Diabetes Care</t>
  </si>
  <si>
    <t>Digital Journalism</t>
  </si>
  <si>
    <t>Econometrica</t>
  </si>
  <si>
    <t>Energy and Environmental Science</t>
  </si>
  <si>
    <t>Environmental Science &amp; Technology</t>
  </si>
  <si>
    <t>European Heart Journal</t>
  </si>
  <si>
    <t>European Urology</t>
  </si>
  <si>
    <t>Gastroenterology</t>
  </si>
  <si>
    <t>Gender &amp; Society</t>
  </si>
  <si>
    <t>Geophysical Research Letters</t>
  </si>
  <si>
    <t>Global Environmental Change</t>
  </si>
  <si>
    <t>Government Information Quarterly</t>
  </si>
  <si>
    <t>Gut</t>
  </si>
  <si>
    <t>Health Affairs</t>
  </si>
  <si>
    <t>Hepatology</t>
  </si>
  <si>
    <t>IEEE Communications Magazine</t>
  </si>
  <si>
    <t>IEEE Communications Surveys &amp; Tutorials</t>
  </si>
  <si>
    <t>IEEE Conference on Computer Vision and Pattern Recognition, CVPR</t>
  </si>
  <si>
    <t>IEEE International Conference on Computer Vision</t>
  </si>
  <si>
    <t>IEEE Transactions on Automatic Control</t>
  </si>
  <si>
    <t>IEEE Transactions on Industrial Electronics</t>
  </si>
  <si>
    <t>IEEE Transactions on Pattern Analysis and Machine Intelligence</t>
  </si>
  <si>
    <t>IEEE Transactions on Power Electronics</t>
  </si>
  <si>
    <t>IEEE Transactions on Signal Processing</t>
  </si>
  <si>
    <t>Immunity</t>
  </si>
  <si>
    <t>International Journal of Communication</t>
  </si>
  <si>
    <t>International Journal of Production Economics</t>
  </si>
  <si>
    <t>Journal of the American Medical Association</t>
  </si>
  <si>
    <t>Journal of Allergy and Clinical Immunology</t>
  </si>
  <si>
    <t>Journal of Banking &amp; Finance</t>
  </si>
  <si>
    <t>Journal of Business Ethics</t>
  </si>
  <si>
    <t>Journal of Business Research</t>
  </si>
  <si>
    <t>Journal of Cleaner Production</t>
  </si>
  <si>
    <t>Journal of Clinical Oncology</t>
  </si>
  <si>
    <t>Journal of Communication</t>
  </si>
  <si>
    <t>Journal of Cosmology and Astroparticle Physics</t>
  </si>
  <si>
    <t>Journal of Economic Perspectives</t>
  </si>
  <si>
    <t>Journal of Educational Psychology</t>
  </si>
  <si>
    <t>Journal of Financial Economics</t>
  </si>
  <si>
    <t>Journal of Geophysical Research</t>
  </si>
  <si>
    <t>Journal of Hepatology</t>
  </si>
  <si>
    <t>Journal of High Energy Physics</t>
  </si>
  <si>
    <t>Journal of Management</t>
  </si>
  <si>
    <t>Journal of Materials Chemistry. A</t>
  </si>
  <si>
    <t>Journal of Pragmatics</t>
  </si>
  <si>
    <t>Journal of the American Chemical Society</t>
  </si>
  <si>
    <t>Journal of the American College of Cardiology</t>
  </si>
  <si>
    <t>Journal of Youth and Adolescence</t>
  </si>
  <si>
    <t>Journalism</t>
  </si>
  <si>
    <t>Journalism Practice</t>
  </si>
  <si>
    <t>Journalism Studies</t>
  </si>
  <si>
    <t>Land Use Policy</t>
  </si>
  <si>
    <t>Language Learning</t>
  </si>
  <si>
    <t>Lingua</t>
  </si>
  <si>
    <t>Management Information Systems Quarterly</t>
  </si>
  <si>
    <t>Management Science</t>
  </si>
  <si>
    <t>Media, Culture &amp; Society</t>
  </si>
  <si>
    <t>Molecular Cell</t>
  </si>
  <si>
    <t>Monthly Notices of the Royal Astronomical Society</t>
  </si>
  <si>
    <t>Nano Letters</t>
  </si>
  <si>
    <t>Nanoscale</t>
  </si>
  <si>
    <t>Nature</t>
  </si>
  <si>
    <t>Nature Biotechnology</t>
  </si>
  <si>
    <t>Nature Cell Biology</t>
  </si>
  <si>
    <t>Nature Chemistry</t>
  </si>
  <si>
    <t>Nature Climate Change</t>
  </si>
  <si>
    <t>Nature Communications</t>
  </si>
  <si>
    <t>Nature Genetics</t>
  </si>
  <si>
    <t>Nature Immunology</t>
  </si>
  <si>
    <t>Nature Materials</t>
  </si>
  <si>
    <t>Nature Medicine</t>
  </si>
  <si>
    <t>Nature Methods</t>
  </si>
  <si>
    <t>Nature Nanotechnology</t>
  </si>
  <si>
    <t>Nature Neuroscience</t>
  </si>
  <si>
    <t>Nature Photonics</t>
  </si>
  <si>
    <t>Nature Physics</t>
  </si>
  <si>
    <t>Nature Reviews Cancer</t>
  </si>
  <si>
    <t>Nature Reviews Genetics</t>
  </si>
  <si>
    <t>Nature Reviews Immunology</t>
  </si>
  <si>
    <t>Nature Reviews Neuroscience</t>
  </si>
  <si>
    <t>Nature Reviews. Drug Discovery</t>
  </si>
  <si>
    <t>Nature Reviews. Molecular Cell Biology</t>
  </si>
  <si>
    <t>Neural Information Processing Systems (NIPS)</t>
  </si>
  <si>
    <t>NeuroImage</t>
  </si>
  <si>
    <t>Neuron</t>
  </si>
  <si>
    <t>New Media and Society</t>
  </si>
  <si>
    <t>Noûs</t>
  </si>
  <si>
    <t>Nucleic Acids Research</t>
  </si>
  <si>
    <t>Obstetrical &amp; Gynecological Survey</t>
  </si>
  <si>
    <t>Optics Express</t>
  </si>
  <si>
    <t>Pediatrics</t>
  </si>
  <si>
    <t>Philosophical Studies</t>
  </si>
  <si>
    <t>Physical Review B</t>
  </si>
  <si>
    <t>Physical Review D</t>
  </si>
  <si>
    <t>Physical Review Letters</t>
  </si>
  <si>
    <t>Physical Review X</t>
  </si>
  <si>
    <t>Physics Letters B</t>
  </si>
  <si>
    <t>PLoS One</t>
  </si>
  <si>
    <t>Proceedings of the National Academy of Sciences</t>
  </si>
  <si>
    <t>Progress in Human Geography</t>
  </si>
  <si>
    <t>Public Opinion Quarterly</t>
  </si>
  <si>
    <t>Regional Studies</t>
  </si>
  <si>
    <t>Renewable and Sustainable Energy Reviews</t>
  </si>
  <si>
    <t>Research Policy</t>
  </si>
  <si>
    <t>Review of Economics and Statistics</t>
  </si>
  <si>
    <t>Reviews of Modern Physics</t>
  </si>
  <si>
    <t>Science</t>
  </si>
  <si>
    <t>Science Translational Medicine</t>
  </si>
  <si>
    <t>Scientific Reports</t>
  </si>
  <si>
    <t>Social Science &amp; Medicine</t>
  </si>
  <si>
    <t>Strategic Management Journal</t>
  </si>
  <si>
    <t>Synthese</t>
  </si>
  <si>
    <t>System</t>
  </si>
  <si>
    <t>Teaching and Teacher Education</t>
  </si>
  <si>
    <t>TESOL Quarterly</t>
  </si>
  <si>
    <t>The Astrophysical Journal</t>
  </si>
  <si>
    <t>The China Quarterly</t>
  </si>
  <si>
    <t>The Cochrane Database of Systematic Reviews</t>
  </si>
  <si>
    <t>The European Physical Journal C</t>
  </si>
  <si>
    <t>The Journal of Clinical Investigation</t>
  </si>
  <si>
    <t>The Journal of Finance</t>
  </si>
  <si>
    <t>The Journal of Physical Chemistry Letters</t>
  </si>
  <si>
    <t>The Lancet</t>
  </si>
  <si>
    <t>The Lancet Neurology</t>
  </si>
  <si>
    <t>The Lancet Oncology</t>
  </si>
  <si>
    <t>The Modern Language Journal</t>
  </si>
  <si>
    <t>The New England Journal of Medicine</t>
  </si>
  <si>
    <t>Single blind, Double blind, Not blinded, unsure, other</t>
  </si>
  <si>
    <t>The Quarterly Journal of Economics</t>
  </si>
  <si>
    <t>The Review of Economic Studies</t>
  </si>
  <si>
    <t>The Review of Financial Studies</t>
  </si>
  <si>
    <t>Tourism Management</t>
  </si>
  <si>
    <t>World Development</t>
  </si>
  <si>
    <t>doi</t>
  </si>
  <si>
    <t>DOI of journal
This is not inputted by user; comes from Crossref API</t>
  </si>
  <si>
    <t>[link]</t>
  </si>
  <si>
    <t>Yes, No, Unsure</t>
  </si>
  <si>
    <t>Mandatory, Conditional, Optional, No, Not specified
 Attributes: Have date, Have DOI, Free to read (not paywalled), Under a Creative Commons License, Deposited into PubMed Central</t>
  </si>
  <si>
    <t>oa</t>
  </si>
  <si>
    <t>OA or non OA
Not inputted by user; comes from DOAJ</t>
  </si>
  <si>
    <t>OA, hybrid, nonOA</t>
  </si>
  <si>
    <t>Mandatory, Conditional, Optional, No, Not specified</t>
  </si>
  <si>
    <t>Example Publisher</t>
  </si>
  <si>
    <t>American Chemical Society</t>
  </si>
  <si>
    <t>Academy of Management</t>
  </si>
  <si>
    <t>Wiley-VCH</t>
  </si>
  <si>
    <t>American Economic Association</t>
  </si>
  <si>
    <t>Midwest Political Science Association</t>
  </si>
  <si>
    <t>Cambridge University Press</t>
  </si>
  <si>
    <t>SAGE/American Sociological Association</t>
  </si>
  <si>
    <t>American College of Physicians</t>
  </si>
  <si>
    <t>Oxford Academic</t>
  </si>
  <si>
    <t>BMJ/EULAR</t>
  </si>
  <si>
    <t>Elsevier</t>
  </si>
  <si>
    <t>American Institute of Physics</t>
  </si>
  <si>
    <t>EDP Sciences</t>
  </si>
  <si>
    <t>British Medical Association</t>
  </si>
  <si>
    <t>CellPress (Elsevier)</t>
  </si>
  <si>
    <t>American Association for Cancer Research (AACR)</t>
  </si>
  <si>
    <t>Royal Society of Chemistry</t>
  </si>
  <si>
    <t>American Chemical Society (ACS)</t>
  </si>
  <si>
    <t>[link or links, separated by commas]</t>
  </si>
  <si>
    <t>American Heart Association (AHA)</t>
  </si>
  <si>
    <t>American Heart Association/American Stroke Association (AHA/ASA)</t>
  </si>
  <si>
    <t>American Diabetes Association (ADA)</t>
  </si>
  <si>
    <t>Taylor &amp; Francis</t>
  </si>
  <si>
    <t>Wiley (for the Econometric Society)</t>
  </si>
  <si>
    <t>ACS Publications</t>
  </si>
  <si>
    <t>Oxford Academic/European Society of Cardiology</t>
  </si>
  <si>
    <t>Elsevier/The American Gatsorenterological Association</t>
  </si>
  <si>
    <t>No preprint policy
 None (preprints not allowed)
 First submission only (before peer review)
 After peer review (but not final, copyedited version)
 Any
 Unsure (preprints are allowed, but it's not clear what version)
 Other</t>
  </si>
  <si>
    <t>SAGE</t>
  </si>
  <si>
    <t>Wiley/Advancing Earth and Space Science</t>
  </si>
  <si>
    <t>Yes, in the reference list
 Yes, but only in the text (not the reference list)
 No
 Not specified
 Unsure
 Other</t>
  </si>
  <si>
    <t>British Society of Gastroenterology/BMJ</t>
  </si>
  <si>
    <t>Project HOPE</t>
  </si>
  <si>
    <t>Wiley on behalf of the American Association for the Study of Liver Diseases</t>
  </si>
  <si>
    <t>IEEE Communications Society</t>
  </si>
  <si>
    <t>IEEE</t>
  </si>
  <si>
    <t>University of Southern California</t>
  </si>
  <si>
    <t>American Medical Association</t>
  </si>
  <si>
    <t>Elsevier/American Academy of Allergy, Asthma &amp; Immunology</t>
  </si>
  <si>
    <t>SpringerNature</t>
  </si>
  <si>
    <t>American Society of Clinical Oncology</t>
  </si>
  <si>
    <t>Oxford University Press (formerly Wiley until 2018) for International Communication Association</t>
  </si>
  <si>
    <t>IOP Publishing &amp; SISSA (International School for Advanced Studies)</t>
  </si>
  <si>
    <t>American Psychological Association</t>
  </si>
  <si>
    <t>American Geophysical Union</t>
  </si>
  <si>
    <t>Springer</t>
  </si>
  <si>
    <t>SAGE in association with the Southern Management Association</t>
  </si>
  <si>
    <t>American College of Cardiology, Elsevier</t>
  </si>
  <si>
    <t>Wiley</t>
  </si>
  <si>
    <t>Association for Information Systems</t>
  </si>
  <si>
    <t>The Institute for Operations Research and the Management Sciences</t>
  </si>
  <si>
    <t>Springer Nature</t>
  </si>
  <si>
    <t>Cell Press</t>
  </si>
  <si>
    <t>Oxford University Press</t>
  </si>
  <si>
    <t>Lippincott Williams &amp; Wilkins</t>
  </si>
  <si>
    <t>Optical Society</t>
  </si>
  <si>
    <t>American Academy of Pediatrics</t>
  </si>
  <si>
    <t>American Physical Society</t>
  </si>
  <si>
    <t>PLoS</t>
  </si>
  <si>
    <t>National Academy of Sciences</t>
  </si>
  <si>
    <t>The MIT Press</t>
  </si>
  <si>
    <t>American Association for the Advancement of Science</t>
  </si>
  <si>
    <t>Wiley, Strategic Management Society</t>
  </si>
  <si>
    <t>Wiley, TESOL International Association</t>
  </si>
  <si>
    <t>IOP, American Astronomical Society</t>
  </si>
  <si>
    <t>Cochrane Library</t>
  </si>
  <si>
    <t>American Society for Clinical Investigation</t>
  </si>
  <si>
    <t>Wiley &amp; American Finance Association (AFA)</t>
  </si>
  <si>
    <t>Massachusetts Medical Society</t>
  </si>
  <si>
    <t>Society for Financial Studies/Oxford Academic</t>
  </si>
  <si>
    <t>verified</t>
  </si>
  <si>
    <t>Record is journal verified? 
If you are a representative of the journal and can verify that the information below is correct, select "Yes."</t>
  </si>
  <si>
    <t>Yes, No</t>
  </si>
  <si>
    <t>Yes</t>
  </si>
  <si>
    <t>No</t>
  </si>
  <si>
    <t>SR</t>
  </si>
  <si>
    <t>prefilled-URL</t>
  </si>
  <si>
    <t>Prefilled URL
If entry is from crowdsourced form, URL points to prefilled form to edit the record.</t>
  </si>
  <si>
    <t>Review</t>
  </si>
  <si>
    <t>TRH</t>
  </si>
  <si>
    <t>entry-review-date</t>
  </si>
  <si>
    <t>Entry review date
Latest review/data cleaning date (Not inputted by user)</t>
  </si>
  <si>
    <t>JP</t>
  </si>
  <si>
    <t>1040-2446</t>
  </si>
  <si>
    <t>Academic Medicine</t>
  </si>
  <si>
    <t>entry-reviewer</t>
  </si>
  <si>
    <t>Entry reviewer
Latest review/data cleaning team member (Not inputted by user)</t>
  </si>
  <si>
    <t>Social Sciences</t>
  </si>
  <si>
    <t>Jessica</t>
  </si>
  <si>
    <t>Wolters Kluwer</t>
  </si>
  <si>
    <t>entry-notes</t>
  </si>
  <si>
    <t>Review notes
Notes about review or data entry (Not inputted by user)</t>
  </si>
  <si>
    <t>Cleaning up Raw Master. Changes are made directly to the round 3 spreadsheet</t>
  </si>
  <si>
    <t>Single blind</t>
  </si>
  <si>
    <t>display-this-version</t>
  </si>
  <si>
    <t>Display this version
Enter "y" to force display and "n" to force hide on website. (Not inputted by user)</t>
  </si>
  <si>
    <t>https://journals.lww.com/academicmedicine/Pages/InstructionsforAuthors.aspx#peerreview</t>
  </si>
  <si>
    <t>Peer review</t>
  </si>
  <si>
    <t>Type of peer review
Single blind - reviewers are anonymous to the author. Double blind - reviewers and authors are
anonymous to each other.</t>
  </si>
  <si>
    <t>Single blind, Double blind, Not blinded, None, Unsure, Other</t>
  </si>
  <si>
    <t>Single Blind</t>
  </si>
  <si>
    <t>Double blind</t>
  </si>
  <si>
    <t>Unsure: at least single blind "2.10 To ensure the confidentiality of the names and other details of referees; adjudication and
appeal referees may be informed of the names of prior referees, if appropriate."</t>
  </si>
  <si>
    <t>Unsure - at least single blind "2.10 To ensure the confidentiality of the names and other details of referees; adjudication and
appeal referees may be informed of the names of prior referees, if appropriate."</t>
  </si>
  <si>
    <t>Unsure</t>
  </si>
  <si>
    <t>Not blinded</t>
  </si>
  <si>
    <t>Single blind, Double blind (optional)</t>
  </si>
  <si>
    <t>Other (apppears to offer choice of single blind or double blind)</t>
  </si>
  <si>
    <t>https://journals.lww.com/academicmedicine/Documents/ReviewerFAQs_Sept2012_v1.pdf</t>
  </si>
  <si>
    <t>Single-blind</t>
  </si>
  <si>
    <t>Other: author choice of single or double blind</t>
  </si>
  <si>
    <t>Double-blind</t>
  </si>
  <si>
    <t>Unsure (at least single blind)</t>
  </si>
  <si>
    <t>Other: Single blind is standard (but authors can choose Double blind, and reviewers can sign their names if they wish)</t>
  </si>
  <si>
    <t>Other (Single blind is standard but authors can choose Double blind, and reviewers can sign their names if they wish)</t>
  </si>
  <si>
    <t>Other (Triple blind)</t>
  </si>
  <si>
    <t>Unsure (reviewers anon, but not clear if author anon or not)</t>
  </si>
  <si>
    <t>Single blind (Single blind peer review inferred: referee must disclose COI based on author relationship (knows identity) but typically referee identity is not disclosed)</t>
  </si>
  <si>
    <t>Unsure - but possibly double blinded as instructions to authors say "If you cite your own work in your paper, please do not blind that citation so that the reviewers can better assess what literature you are reviewing."</t>
  </si>
  <si>
    <t xml:space="preserve">Double blind </t>
  </si>
  <si>
    <t>Single blind (inferred; reviewers see author identity to know COI)</t>
  </si>
  <si>
    <t>Not specified</t>
  </si>
  <si>
    <t>Optional</t>
  </si>
  <si>
    <t>Conditional</t>
  </si>
  <si>
    <t>http://examplejournal.com/peerreview</t>
  </si>
  <si>
    <t>https://journals.lww.com/academicmedicine/Pages/InstructionsforAuthors.aspx#publicationaheadofprint</t>
  </si>
  <si>
    <t>https://pubs.acs.org/paragonplus/submission/aamick/aamick_authguide.pdf
https://pubs.acs.org/publish/peer_reviews</t>
  </si>
  <si>
    <t>https://pubs.acs.org/paragonplus/submission/achre4/achre4_authguide.pdf</t>
  </si>
  <si>
    <t>https://pubs.acs.org/page/accacs/submission/reviewers.html and https://pubs.acs.org/userimages/ContentEditor/1218054468605/ethics.pdf</t>
  </si>
  <si>
    <t>Unsure (prerints allowed, but unclear which version</t>
  </si>
  <si>
    <t>http://aom.org/Publications/AMJ/Information-for-Contributors.aspx, https://aom.org/Publications/AMR/Frequently-Asked-Questions.aspx#amrR7</t>
  </si>
  <si>
    <t>Yes, in the reference list</t>
  </si>
  <si>
    <t>https://pubs.acs.org/userimages/ContentEditor/1218054468605/ethics.pdf</t>
  </si>
  <si>
    <t>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t>
  </si>
  <si>
    <t>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t>
  </si>
  <si>
    <t>https://application.wiley-vch.de/util/cta/euchems_ethicalguidelines.pdf</t>
  </si>
  <si>
    <t>Where do "No"s come from in peer review &amp; responses published? [TRH - changed to not specified]. Changed coreviewer policy according to link [see note - i still think unsure is the better interpretation]</t>
  </si>
  <si>
    <t>https://wol-prod-cdn.literatumonline.com/pb-assets/assets/15214095/2089_guidelines-1510017322000.pdf</t>
  </si>
  <si>
    <t>https://www.aeaweb.org/journals/aer/reviewers</t>
  </si>
  <si>
    <t>https://ajps.org/guidelines-for-manuscripts/</t>
  </si>
  <si>
    <t>https://ajph.aphapublications.org/page/authors.html</t>
  </si>
  <si>
    <t>https://www.apsanet.org/APSR-Submission-Guidelines</t>
  </si>
  <si>
    <t>"If you wish to involve a
specially qualified colleague in the review (or perhaps want to guide a junior colleague in learning
how to review), you must contact the editorial office and ask for permission ahead of time."</t>
  </si>
  <si>
    <t>https://us.sagepub.com/en-us/nam/journal/american-sociological-review#submission-guidelines</t>
  </si>
  <si>
    <t>https://authorservices.wiley.com/Reviewers/journal-reviewers/tools-and-resources/review-confidentiality-policy.html, https://onlinelibrary.wiley.com/page/journal/15213773/homepage/notice-to-authors</t>
  </si>
  <si>
    <t>http://annals.org/aim/pages/authors</t>
  </si>
  <si>
    <t>https://academic.oup.com/annonc/pages/General_Instructions</t>
  </si>
  <si>
    <t>https://ard.bmj.com/pages/about/</t>
  </si>
  <si>
    <t>https://www.elsevier.com/journals/annals-of-tourism-research/0160-7383?generatepdf=true</t>
  </si>
  <si>
    <t>https://www.elsevier.com/journals/applied-energy/0306-2619/guide-for-authors#20910</t>
  </si>
  <si>
    <t>https://academic.oup.com/applij/pages/General_Instructions</t>
  </si>
  <si>
    <t>1944-8252</t>
  </si>
  <si>
    <t>Chemical &amp; Materials Sciences, Engineering &amp; Computer Science</t>
  </si>
  <si>
    <t>https://aip.scitation.org/apl/info/policies</t>
  </si>
  <si>
    <t>Not blinded (?)</t>
  </si>
  <si>
    <t>https://pubs.acs.org/paragonplus/submission/aamick/aamick_authguide.pdf</t>
  </si>
  <si>
    <t>https://www.aanda.org/doc_journal/instructions/aadoc.pdf (p 16)</t>
  </si>
  <si>
    <t>https://www.elsevier.com/journals/biomaterials/0142-9612?generatepdf=true</t>
  </si>
  <si>
    <t xml:space="preserve">http://www.bloodjournal.org/page/authors/author-guide/peer-review        </t>
  </si>
  <si>
    <t>Authors select a new journal; manuscript Transfer
 simplifies and shortens manuscript submission to another ACS journal, as all the coauthors,
 suggested reviewers, manuscript files, and responses to submission questions are copied to the
 new submission.</t>
  </si>
  <si>
    <t>https://www.bmj.com/about-bmj/resources-reviewers</t>
  </si>
  <si>
    <t>https://www.cell.com/reviewers</t>
  </si>
  <si>
    <t>Drafts can be published in preprint repositories</t>
  </si>
  <si>
    <t>Co-reviewing is not permitted in this journal.</t>
  </si>
  <si>
    <t>http://aacrjournals.org/content/authors/editorial-process#peerrev</t>
  </si>
  <si>
    <t>unsure</t>
  </si>
  <si>
    <t>First draft only (prior to submission)</t>
  </si>
  <si>
    <t>preprint service such as ChemRxiv, arXiv, bioRxiv, or the applicable repository for their discipline prior to submission; Publication of a preprint or extended abstract in an ACS division meeting preprint book, in either
 print or electronic format, does not preclude consideration of a manuscript for publication,
 provided that the manuscript includes significant new information and data beyond what was in
 the preprint or extended abstract. It is the author’s responsibility to provide the editor with copies
 of any relevant preprint(s).
 Upon publication, authors are advised to add a link from the preprint to the published paper via
 the Digital Object Identifier (DOI). For further details, contact the Editorial Office.
 The Editors of ACS Applied Materials &amp; Interfaces have determined that content from the
 following publically available sources may also be reused, with permission from the copyright
 holder, in an ACS Applied Materials &amp; Interfaces Article (co)authored by at least one of the
 authors of the original material:
 1) A thesis or dissertation required to obtain a degree.
 2) A publically available research report that was mandated by a government agency or
 funding agency.</t>
  </si>
  <si>
    <t>Authors need to provide a link to the editor</t>
  </si>
  <si>
    <t>CC-BY and CC-BY-NC-ND</t>
  </si>
  <si>
    <t>Only peer review</t>
  </si>
  <si>
    <t>The journal does not permit co-reviewing, so there is no co-reviewing policy in sensu stricto.</t>
  </si>
  <si>
    <t>1 hour</t>
  </si>
  <si>
    <t>http://www.rsc.org/journals-books-databases/journal-authors-reviewers/reviewer-responsibilities/</t>
  </si>
  <si>
    <t>https://pubs.acs.org/publish/peer_reviews</t>
  </si>
  <si>
    <t>https://pubs.acs.org/page/chreay/submission/reviewers.html</t>
  </si>
  <si>
    <t>Delete above</t>
  </si>
  <si>
    <t>Blank</t>
  </si>
  <si>
    <t>https://pubs.acs.org/page/aamick/submission/prior.html, https://pubs.acs.org/paragonplus/submission/aamick/aamick_authguide.pdf</t>
  </si>
  <si>
    <t>First submission only (before peer review)</t>
  </si>
  <si>
    <t>https://pubs.acs.org/paragonplus/submission/cmatex/cmatex_scope.pdf</t>
  </si>
  <si>
    <t>-</t>
  </si>
  <si>
    <t>Where a "-" is given, this indicates the above should be deleted and the field left blank</t>
  </si>
  <si>
    <t>Single blind inferred from reviewer COI, but anonymity of peer review. Where do Nos come from in OPR section?; Reviewer identities revealed to author set as conditional based on: https://pubs.acs.org/userimages/ContentEditor/1218054468605/ethics.pdf</t>
  </si>
  <si>
    <t>https://www.ahajournals.org/pb-assets/Ethical%20ConductPolicyApril2017finalWeb.pdf</t>
  </si>
  <si>
    <t>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t>
  </si>
  <si>
    <t>https://www.elsevier.com/journals/computers-and-education/0360-1315?generatepdf=true</t>
  </si>
  <si>
    <t>1520-4898</t>
  </si>
  <si>
    <t>Chemical &amp; Materials Sciences</t>
  </si>
  <si>
    <t>http://www.diabetesjournals.org/content/journal-policies#peerreview</t>
  </si>
  <si>
    <t>https://www.tandfonline.com/action/authorSubmission?journalCode=rdij20&amp;page=instructions#Peer_review</t>
  </si>
  <si>
    <t>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t>
  </si>
  <si>
    <t>https://pubs.acs.org/page/policy/manuscript_transfer/index.html</t>
  </si>
  <si>
    <t>https://www.econometricsociety.org/publications/econometrica/information-authors/editorial-procedures-and-policies#reviewprocess</t>
  </si>
  <si>
    <t>http://www.rsc.org/journals-books-databases/journal-authors-reviewers/reviewer-responsibilities/#review-procedure</t>
  </si>
  <si>
    <t xml:space="preserve">https://pubs.acs.org/paragonplus/submission/esthag/esthag_authguide.pdf                </t>
  </si>
  <si>
    <t>None (preprints not allowed)</t>
  </si>
  <si>
    <t>No preprints allowed</t>
  </si>
  <si>
    <t>Yes, in reference list</t>
  </si>
  <si>
    <t>https://academic.oup.com/eurheartj/pages/General_Instructions#3.1</t>
  </si>
  <si>
    <t>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t>
  </si>
  <si>
    <t>https://pubs.acs.org/paragonplus/submission/achre4/achre4_authguide.pdf, https://pubs.acs.org/page/policy/manuscript_transfer/index.html</t>
  </si>
  <si>
    <t>Because Accounts of Chemical Research publishes review-like content, the posting of manuscripts on a preprint server such as ArXiv, BioRxiv or ChemRxiv is not appropriate. Manuscripts that have been publicly posted will not be accepted.</t>
  </si>
  <si>
    <t>https://www.europeanurology.com/content/resources-for-authors</t>
  </si>
  <si>
    <t>Where do Nos come from in OPR section?; Reviewer identities revealed to author set as conditional based on: https://pubs.acs.org/userimages/ContentEditor/1218054468605/ethics.pdf</t>
  </si>
  <si>
    <t>https://www.gastrojournal.org/content/authorinfo</t>
  </si>
  <si>
    <t>"Reviewer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t>
  </si>
  <si>
    <t>https://uk.sagepub.com/en-gb/eur/gender-society/journal200793#submission-guidelines</t>
  </si>
  <si>
    <t>https://publications.agu.org/author-resource-center/steps-to-publication/</t>
  </si>
  <si>
    <t>https://www.elsevier.com/journals/global-environmental-change/0959-3780/guide-for-authors</t>
  </si>
  <si>
    <t>https://www.elsevier.com/journals/government-information-quarterly/0740-624X?generatepdf=true</t>
  </si>
  <si>
    <t>NP</t>
  </si>
  <si>
    <t>2155-5435</t>
  </si>
  <si>
    <t>https://authors.bmj.com/policies/peer-review-terms-and-conditions/</t>
  </si>
  <si>
    <t>http://pubs.acs.org/paragonplus/submission/accacs/accacs_authguide.pdf</t>
  </si>
  <si>
    <t>https://www.healthaffairs.org/help-for-authors</t>
  </si>
  <si>
    <t>https://aasldpubs.onlinelibrary.wiley.com/hub/journal/15273350/about/author-guidelines</t>
  </si>
  <si>
    <t>https://www.comsoc.org/publications/magazines/ieee-communications-magazine/magazine-reviewer</t>
  </si>
  <si>
    <t>https://www.comsoc.org/publications/journals/ieee-comst/guidelines-reviewers</t>
  </si>
  <si>
    <t>Copyedited version can only be published after choosing an appropriate open access option</t>
  </si>
  <si>
    <t>http://cvpr2019.thecvf.com/</t>
  </si>
  <si>
    <t>http://iccv2019.thecvf.com/submission/timeline</t>
  </si>
  <si>
    <t>https://pubs.acs.org/page/accacs/submission/prior.html https://pubs.acs.org/page/policy/authorchoice/index.html</t>
  </si>
  <si>
    <t>https://ieeeauthorcenter.ieee.org/peer-review-at-ieee/</t>
  </si>
  <si>
    <t>First Submissions only</t>
  </si>
  <si>
    <t>Not specified, the policy simply states that "Posting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t>
  </si>
  <si>
    <t>Other; copies of all related works that are “in press”, “accepted”, or “submitted” for publication or in
 the late stages of preparation must be uploaded as Supporting Information for Review Only at
 the time of submission. For references only available online at the time of submission, please
 provide the DOI number. Actual citation should be included before publication, if possible.</t>
  </si>
  <si>
    <t>Not specified; the policy does not mention anything about media coverage (apparently, this is not an issue to the editors)</t>
  </si>
  <si>
    <t>CC-BY or CC-BY-NC-ND</t>
  </si>
  <si>
    <t>In general, the peer review policy of ACM Catalyst is scattered across many documents with different URLs (sometimes linked). There is then no single coherent peer review policy. Several of the elements looked for in the above category system are missing from the journal's policy documents, such as various aspects of the peer review process (e.g., what happens to reviewer identities in case of acceptance and rejection, whether editorial decisions are published or not etc.). Unless otherwise specified, these instances were recorded as negative answers ("no" or "not specified"). Considerations that were absent from the policy documents are considered as not being an issue for the editors. In general, the peer review policy seems to be rather sketchy.</t>
  </si>
  <si>
    <t>None found</t>
  </si>
  <si>
    <t>Unsure' -- I interpret the policy quoted above as for 'related work' that is implicitly by the same authors (so could include their preprint but is not specific statement about citing preprints in general)</t>
  </si>
  <si>
    <t>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t>
  </si>
  <si>
    <t>I can't find this information in the policies -- I would state 'Not specified'</t>
  </si>
  <si>
    <t>Not much information online about peer review; does have short preprint policy which is obviously linked from several texts the author would read. Review and other information contained within ACS generic ethics guidelines (not specific to journal): https://pubs.acs.org/userimages/ContentEditor/1218054468605/ethics.pdf</t>
  </si>
  <si>
    <t>https://ieeeauthorcenter.ieee.org/peer-review-at-ieee/ethics-in-peer-review/</t>
  </si>
  <si>
    <t>Reviewer identities revealed to author set as conditional based on: https://pubs.acs.org/userimages/ContentEditor/1218054468605/ethics.pdf ; modified acceptable characteristics of servers to remove not specified</t>
  </si>
  <si>
    <t>https://www.elsevier.com/journals/international-journal-of-production-economics/0925-5273?generatepdf=true</t>
  </si>
  <si>
    <t>https://jamanetwork.com/journals/jama/pages/instructions-for-authors</t>
  </si>
  <si>
    <t xml:space="preserve"> First submission only (before peer review)</t>
  </si>
  <si>
    <t>"Posting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t>
  </si>
  <si>
    <t>https://www.jacionline.org/content/authorinfo</t>
  </si>
  <si>
    <t>0001-4273</t>
  </si>
  <si>
    <t>Business, Economics &amp; Management</t>
  </si>
  <si>
    <t>https://aom.org/Publications/AMR/Frequently-Asked-Questions.aspx#amrR7</t>
  </si>
  <si>
    <t>https://www.elsevier.com/journals/journal-of-banking-and-finance/0378-4266/guide-for-authors</t>
  </si>
  <si>
    <t>https://www.springer.com/philosophy/ethics+and+moral+philosophy/journal/10551#</t>
  </si>
  <si>
    <t>Unsure, presumably not</t>
  </si>
  <si>
    <t>None</t>
  </si>
  <si>
    <t>No preprint policy</t>
  </si>
  <si>
    <t>http://aom.org/uploadedFiles/Publications/AMJ/07_Colquitt_IrelandApr09FTE.pdf</t>
  </si>
  <si>
    <t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t>
  </si>
  <si>
    <t>http://aom.org/Publications/AMJ/Information-for-Contributors.aspx</t>
  </si>
  <si>
    <t>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t>
  </si>
  <si>
    <t>Added more information regarding co-review / preprints</t>
  </si>
  <si>
    <t>https://www.elsevier.com/journals/journal-of-business-research/0148-2963/guide-for-authors</t>
  </si>
  <si>
    <t>https://www.elsevier.com/journals/journal-of-cleaner-production/0959-6526/guide-for-authors</t>
  </si>
  <si>
    <t>Where do Nos come from in OPR section?; TRH - Changed to not specified</t>
  </si>
  <si>
    <t>http://ascopubs.org/jco/site/ifc/my-article-was-submitted.xhtml</t>
  </si>
  <si>
    <t>https://academic.oup.com/joc/pages/General_Instructions#Peer%20review</t>
  </si>
  <si>
    <t>https://publishingsupport.iopscience.iop.org/becoming-a-journal-reviewer/</t>
  </si>
  <si>
    <t>https://www.aeaweb.org/journals/jep/submissions</t>
  </si>
  <si>
    <t xml:space="preserve">https://www.apa.org/pubs/journals/edu/?tab=4, https://www.apa.org/pubs/journals/reviewer-instructions.pdf        </t>
  </si>
  <si>
    <t>https://www.elsevier.com/reviewers/how-to-review</t>
  </si>
  <si>
    <t>1936-086X</t>
  </si>
  <si>
    <t>Single blind (?)</t>
  </si>
  <si>
    <t>https://pubs.acs.org/pb-assets/acspubs/Migrated/ancac3_revguide.pdf as well as http://pubs.acs.org/paragonplus/submission/ancac3/ancac3_authguide.pdf</t>
  </si>
  <si>
    <t>https://publications.agu.org/reviewer-resources/</t>
  </si>
  <si>
    <t>Reviewers may be asked to review subsequent versions of the manuscript, especially if new data have been added to the paper, to evaluate whether the authors have addressed the scientific concerns. In such cases, blind copies of all reviewers’ comments are normally sent to the reviewers. This practice allows the reviewers to understand the expectations of the editors. The editors will expedite any additional rounds of reviews to ensure timely publication. Please keep in mind that the reviews, reviewer identities, and decision letter will all be transferred to the new journal. Authors are encouraged to identify changes made to the manuscript in a cover letter for the new journal.</t>
  </si>
  <si>
    <t>http://pubs.acs.org/paragonplus/submission/ancac3/ancac3_authguide.pdf</t>
  </si>
  <si>
    <t>https://www.springer.com/physics/particle+and+nuclear+physics/journal/13130</t>
  </si>
  <si>
    <t>https://pubs.acs.org/page/ancac3/submission/prior.html</t>
  </si>
  <si>
    <t>https://journals.sagepub.com/pb-assets/cmscontent/JOM/JOM_Style_Guide_revised_2017.pdf</t>
  </si>
  <si>
    <t>ACS Nano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 Upon publication in ACS Nano, authors are advised to add a link from the preprint to the published paper via the Digital Object Identifier (DOI). For further details, see Author Guidelines [PDF] or contact the Editorial Office.</t>
  </si>
  <si>
    <t>Not specified, preprints are permitted, though</t>
  </si>
  <si>
    <t>Authors must use care in the disclosure of scientific results and conclusions contained in an accepted manuscript before the paper is published on the ACS Nano “Articles ASAP” Web site. Publication of these results and conclusions in the public domain constitutes prior publication. As a result, the manuscript may be immediately withdrawn from ACS Nano and will not be published.</t>
  </si>
  <si>
    <t>ACS offers a wide range of options, including the ACS’ license, ACS AuthorChoice (a noncommercial reuse license), and Creative Commons license options CC-BY and CC-BY-NC-ND.</t>
  </si>
  <si>
    <t>No explicit policy, so presumably no community peer review</t>
  </si>
  <si>
    <t>https://www.journals.elsevier.com/journal-of-pragmatics/policies/peer-review-policy-for-the-journal-of-pragmatics</t>
  </si>
  <si>
    <t>https://pubs.acs.org/pb-assets/acspubs/Migrated/ancac3_revguide.pdf</t>
  </si>
  <si>
    <t>http://pubs.acs.org/paragonplus/submission/jacsat/jacsat_authguide.pdf</t>
  </si>
  <si>
    <t>[To other ACS journals] If the manuscript has been peer reviewed, the reviews and the reviewer identities will be transferred to the next journal. If authors do not wish to share the reviews, they should decline the offer to transfer the submission.</t>
  </si>
  <si>
    <t>http://www.onlinejacc.org/content/73/2/A28</t>
  </si>
  <si>
    <t>https://www.springer.com/psychology/child+%26+school+psychology/journal/10964?detailsPage=pltci_1692324</t>
  </si>
  <si>
    <t>Has short preprint policy which is obviously linked from several texts the author would read, and a reviewer's guide. Review and other information also contained within ACS generic ethics guidelines (not specific to journal): https://pubs.acs.org/userimages/ContentEditor/1218054468605/ethics.pdf</t>
  </si>
  <si>
    <t>Where do Nos come from in OPR section?; [TRH - changed to not spec.d] Reviewer identities revealed to author set as conditional based on: https://pubs.acs.org/userimages/ContentEditor/1218054468605/ethics.pdf</t>
  </si>
  <si>
    <t>https://us.sagepub.com/en-us/nam/journal/journalism#PeerReviewPolicy</t>
  </si>
  <si>
    <t>https://www.tandfonline.com/action/authorSubmission?journalCode=rjop20&amp;page=instructions#Peer_review</t>
  </si>
  <si>
    <t>https://www.tandfonline.com/action/authorSubmission?journalCode=rjos20&amp;page=instructions#Peer_review</t>
  </si>
  <si>
    <t>https://www.elsevier.com/journals/land-use-policy/0264-8377?generatepdf=true</t>
  </si>
  <si>
    <t>https://onlinelibrary.wiley.com/page/journal/14679922/homepage/forauthors.html</t>
  </si>
  <si>
    <t>1614-6840</t>
  </si>
  <si>
    <t>https://www.euchems.eu/wp-content/uploads/Ethicalguidelines_tcm23-54057.pdf</t>
  </si>
  <si>
    <t>https://www.elsevier.com/journals/lingua/0024-3841/guide-for-authors</t>
  </si>
  <si>
    <t>https://www.misq.org/skin/frontend/default/misq/pdf/ReviewerRole.pdf</t>
  </si>
  <si>
    <t>To treat the manuscript as confidential. The editor must be informed if the referee consults a colleague about the manuscript.</t>
  </si>
  <si>
    <t>https://pubsonline.informs.org/page/mnsc/submission-guidelines</t>
  </si>
  <si>
    <t>https://application.wiley-vch.de/util/cta/physsci-en.pdf</t>
  </si>
  <si>
    <t>https://uk.sagepub.com/en-gb/eur/journal/media-culture-society#submission-guidelines</t>
  </si>
  <si>
    <t>Final published version and Accepted Version (after peer review, but not final, copyedited version)</t>
  </si>
  <si>
    <t>not for profit subject-based repository or in a Scholarly Collaboration Network (SCN) which has signed up to the STM article sharing principles [www.stm-assoc.org/stmconsultations/scn-consultation-2015/] (“Compliant SCNs”), or in the Contributor’s company/ institutional repository or archive</t>
  </si>
  <si>
    <t>The right to transmit, print and share copies of the Accepted Version with colleagues, including via Compliant SCNs (in private research groups only before the embargo and publicly after), provided that there is no systematic distribution of the Accepted Version, e.g. posting on a listserve, network (including SCNs which have not signed up to the STM sharing principles) or automated delivery. 3. Final Published Ver</t>
  </si>
  <si>
    <t>No explicit policy</t>
  </si>
  <si>
    <t>Wiley does not offer information on peer review explicitly on the website of any of the journals looked at here, but only as part of a "Guide for Authors" (see above for the URL).</t>
  </si>
  <si>
    <t>https://www.cell.com/molecular-cell/authors</t>
  </si>
  <si>
    <t>https://academic.oup.com/mnras/pages/General_Instructions#4%20Editorial%20review</t>
  </si>
  <si>
    <t>https://pubs.acs.org/paragonplus/submission/nalefd/nalefd_authguide.pdf</t>
  </si>
  <si>
    <t>Word doc downloadable from https://www.editorialmanager.com/advenergymat/default.aspx -- contains basic generic info on the review contents/process for Editorial manager (page 23)</t>
  </si>
  <si>
    <t>https://onlinelibrary.wiley.com/pb-assets/assets/16146840/2528_Guide_for_Authors.pdf and https://wol-prod-cdn.literatumonline.com/pb-assets/assets/16146840/2528_Guide_for_Authors-1510012860000.pdf</t>
  </si>
  <si>
    <t>N/A</t>
  </si>
  <si>
    <t>Ethical guidelines link to URL with 404 (https://www.euchems.eu/fileadmin/user_upload/binaries/EthicalGuidelines_tcm23-54570.pdf), found elsewhere (EUChemS)</t>
  </si>
  <si>
    <t>I don't think the link Naomi found reveals any actual info about the form; added caveat of single blind inferred</t>
  </si>
  <si>
    <t>https://www.rsc.org/journals-books-databases/journal-authors-reviewers/reviewer-responsibilities/#review-procedure</t>
  </si>
  <si>
    <t>https://www.nature.com/authors/policies/peer_review.html</t>
  </si>
  <si>
    <t>1616-3028</t>
  </si>
  <si>
    <t>https://wol-prod-cdn.literatumonline.com/pb-assets/assets/16163028/AFM-guide-for-authors-may-2018-1526994585463.pdf</t>
  </si>
  <si>
    <t>https://www.nature.com/nrc/for-referees</t>
  </si>
  <si>
    <t>https://www.nature.com/nrg/for-referees</t>
  </si>
  <si>
    <t>https://nips.cc/Conferences/2019/CallForPapers</t>
  </si>
  <si>
    <t>1521-4095</t>
  </si>
  <si>
    <t>https://www.elsevier.com/journals/neuroimage/1053-8119/guide-for-authors</t>
  </si>
  <si>
    <t>https://us.sagepub.com/en-us/nam/journal/new-media-society#PeerReviewPolicy</t>
  </si>
  <si>
    <t>https://onlinelibrary.wiley.com/page/journal/14680068/homepage/forauthors.html</t>
  </si>
  <si>
    <t>https://www.osapublishing.org/submit/review/peer_review.cfm#overview</t>
  </si>
  <si>
    <t>Original entry appears to describe journal above</t>
  </si>
  <si>
    <t>http://www.aappublications.org/content/pediatrics-reviewer-guidelines</t>
  </si>
  <si>
    <t>https://www.springer.com/philosophy/journal/11098</t>
  </si>
  <si>
    <t>Retuns 404, also this is for the journal above, and I can't find any co-reviewer information for this journal</t>
  </si>
  <si>
    <t>https://onlinelibrary.wiley.com/pb-assets/assets/15214095/2089_guidelines.pdf</t>
  </si>
  <si>
    <t>https://journals.aps.org/prb/referees/guidelines-for-referees</t>
  </si>
  <si>
    <t>None (preprints not allowed(</t>
  </si>
  <si>
    <t>https://journals.aps.org/prd/authors/editorial-policies-practices#anonymity</t>
  </si>
  <si>
    <t>https://journals.aps.org/prl/authors/editorial-policies-practices#anonymity</t>
  </si>
  <si>
    <t>https://journals.aps.org/prx/authors/editorial-policies-practices</t>
  </si>
  <si>
    <t>https://www.elsevier.com/journals/physics-letters-b/0370-2693/guide-for-authors</t>
  </si>
  <si>
    <t>0002-8282</t>
  </si>
  <si>
    <t>https://journals.plos.org/plosone/s/editorial-and-peer-review-process</t>
  </si>
  <si>
    <t>https://www.aeaweb.org/content/file?id=222</t>
  </si>
  <si>
    <t>https://www.pnas.org/page/authors/reviewers</t>
  </si>
  <si>
    <t>https://www.aeaweb.org/journals/aer/about-aer/editorial-policy</t>
  </si>
  <si>
    <t>https://uk.sagepub.com/en-gb/eur/journal/progress-human-geography#EditorialPolicies</t>
  </si>
  <si>
    <t>Permission to make digital or hard copies of part or all of American Economic Association publications for personal or classroom use is granted without fee provided that copies are not distributed for profit or direct commercial advantage and that copies show this notice on the first page or initial screen of a display along with the full citation, including the name of the author. Copyrights for components of this work owned by others than AEA must be honored. Abstracting with credit is permitted.</t>
  </si>
  <si>
    <t>The author has the right to republish, post on servers, redistribute to lists and use any component of this work in other works. For others to do so requires prior specific permission and/or a fee. Permissions may be requested from the American Economic Association Business Office.</t>
  </si>
  <si>
    <t>Note that the document linked in coreviewing URL is not official policy, but is linked from the journal website as a recommendation.</t>
  </si>
  <si>
    <t>https://academic.oup.com/poq/pages/general_instructions</t>
  </si>
  <si>
    <t>https://www.tandfonline.com/action/authorSubmission?show=instructions&amp;journalCode=cres20</t>
  </si>
  <si>
    <t>https://www.elsevier.com/journals/renewable-and-sustainable-energy-reviews/1364-0321/guide-for-authors</t>
  </si>
  <si>
    <t>https://www.elsevier.com/journals/research-policy/0048-7333/guide-for-authors</t>
  </si>
  <si>
    <t>https://www.aeaweb.org/journals/policies/copyright</t>
  </si>
  <si>
    <t>Unsure (preprints are allowed, but it's not clear what version)</t>
  </si>
  <si>
    <t>https://journals.aps.org/rmp/authors#review, https://journals.aps.org/peer-review-materials-policy</t>
  </si>
  <si>
    <t>http://www.sciencemag.org/authors/science-information-authors</t>
  </si>
  <si>
    <t>1540-5907</t>
  </si>
  <si>
    <t>https://stm.sciencemag.org/content/science-translational-medicine-general-policies</t>
  </si>
  <si>
    <t>https://ajps.org/ajps-reviewer-instructions/</t>
  </si>
  <si>
    <t>https://www.nature.com/srep/journal-policies/peer-review</t>
  </si>
  <si>
    <t>https://ajpsblogging.files.wordpress.com/2015/09/ajps-author-resources-ver-1-0.pdf</t>
  </si>
  <si>
    <t>https://www.elsevier.com/journals/social-science-and-medicine/0277-9536/guide-for-authors</t>
  </si>
  <si>
    <t>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t>
  </si>
  <si>
    <t>https://www.springer.com/philosophy/epistemology+and+philosophy+of+science/journal/11229</t>
  </si>
  <si>
    <t>No expicit policy</t>
  </si>
  <si>
    <t>After peer review (but not final, copyedited version)</t>
  </si>
  <si>
    <t>"The AJPS Editor reserves the right to refuse submissions from authors who repeatedly fail to provide reviews for the Journal when invited to do so."</t>
  </si>
  <si>
    <t>https://www.journals.elsevier.com/system</t>
  </si>
  <si>
    <t>https://www.elsevier.com/journals/teaching-and-teacher-education/0742-051x/guide-for-authors</t>
  </si>
  <si>
    <t>https://www.tesol.org/read-and-publish/journals/tesol-journal</t>
  </si>
  <si>
    <t>1541-0048</t>
  </si>
  <si>
    <t>American Public Health Association</t>
  </si>
  <si>
    <t>No PR policy online - however PR model is mentioned in this release  https://www.cambridge.org/core/services/aop-file-manager/file/599b0ec93cc74f7313d1a5fc/Updated-CQ-statement.pdf</t>
  </si>
  <si>
    <t>https://community.cochrane.org/editorial-and-publishing-policy-resource/cochrane-review-management/cochrane-peer-review-policy</t>
  </si>
  <si>
    <t>https://www.springer.com/physics/particle+and+nuclear+physics/journal/10052</t>
  </si>
  <si>
    <t>Any</t>
  </si>
  <si>
    <t>https://www.jci.org/kiosks/authors#Editorial_Policies</t>
  </si>
  <si>
    <t>https://pubs.acs.org/publish/peer_reviews, https://pubs.acs.org/userimages/ContentEditor/1218054468605/ethics.pdf</t>
  </si>
  <si>
    <t>https://www.thelancet.com/pb/assets/raw/Lancet/authors/lancet-information-for-authors.pdf</t>
  </si>
  <si>
    <t>https://els-jbs-prod-cdn.literatumonline.com/pb/assets/raw/Lancet/authors/tln-info-for-authors-1541596047120.pdf</t>
  </si>
  <si>
    <t>https://els-jbs-prod-cdn.literatumonline.com/pb/assets/raw/Lancet/authors/tlo-info-for-authors-1541596062097.pdf</t>
  </si>
  <si>
    <t>SH</t>
  </si>
  <si>
    <t xml:space="preserve">https://onlinelibrary.wiley.com/page/journal/15404781/homepage/forauthors.html#Manuscript                </t>
  </si>
  <si>
    <t>1537-5943</t>
  </si>
  <si>
    <t>Cambridge Core</t>
  </si>
  <si>
    <t>https://www.cambridge.org/core/services/authors/journals/preparing-and-submitting-your-paper</t>
  </si>
  <si>
    <t>https://www.nejm.org/media-center/publication-process
https://www.nejm.org/about-nejm/editorial-policies</t>
  </si>
  <si>
    <t>https://academic.oup.com/qje/pages/Policies</t>
  </si>
  <si>
    <t>http://rfssfs.org/advice-for-referees/, https://editorialexpress.com/cgi-bin/e-editor/e-review_v18.cgi?dbase=rfs&amp;stage=0&amp;stage_completed=&amp;user_id=&amp;sub_id=&amp;password=F7ObH75z</t>
  </si>
  <si>
    <t>https://www.elsevier.com/journals/tourism-management/0261-5177/guide-for-authors</t>
  </si>
  <si>
    <t>https://www.elsevier.com/journals/world-development/0305-750x/guide-for-authors</t>
  </si>
  <si>
    <t>American Political Science Review does not offer information on the peer review process directly on its website, but only via Cambridge University Press' generic website. Even then, peer review is not treated as a topic "in its own right", but rather as part of a general "Preparing and submitting your manuscript" section.</t>
  </si>
  <si>
    <t>http://examplejournal.com/peerreviewform</t>
  </si>
  <si>
    <t>double-blind review process</t>
  </si>
  <si>
    <t>[Can't find any info about this]</t>
  </si>
  <si>
    <t>[Not specified, though they perform double-blind review so presumably not]</t>
  </si>
  <si>
    <t>[Unsure: "Please include a link to all non published work, i.e. working papers, conference papers, etc."]</t>
  </si>
  <si>
    <t>30 mins</t>
  </si>
  <si>
    <t>Double-blind review ad URL added. A few other places I'ved added inferred answers that reflect the double-blind process. Comments are in square brackets.</t>
  </si>
  <si>
    <t>OPR options "Not specified", though they perform double-blind review so presumably not]; Will soon launch their own preprint server: https://www.cambridge.org/core/services/authors/apsa-preprints; preprint citations -  [Unsure: "Please include a link to all non published work, i.e. working papers, conference papers, etc."]</t>
  </si>
  <si>
    <t>1939-8271</t>
  </si>
  <si>
    <t>https://uk.sagepub.com/en-gb/eur/manuscript-submission-guidelines</t>
  </si>
  <si>
    <t>https://uk.sagepub.com/en-gb/eur/how-to-review-articles</t>
  </si>
  <si>
    <t>Not found</t>
  </si>
  <si>
    <t>https://publications.agu.org/reviewer-resources/review-criteria</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</si>
  <si>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t>
  </si>
  <si>
    <t>https://journals.sagepub.com/page/help/online-first</t>
  </si>
  <si>
    <t>https://journals.aps.org/referees/referee-response-physical-review-letters</t>
  </si>
  <si>
    <t>After peer review (but not always final, copyedited version)</t>
  </si>
  <si>
    <t>OnlineFirst provides clear benefits to all researchers and users of the journal's online content. The feature allows subscribers and members the ability to access the very latest papers in the field. Authors also benefit from greatly reduced lead times between submission and publication of articles. Without OnlineFirst, an author's work would only appear online once a finalized issue was sent to print. However, with OnlineFirst, manuscripts can appear online while other articles are being completed for an upcoming issue. An author's research will therefore reach its audience more quickly, enabling an article to receive greater usage and exposure, including earlier citation opportunities by related work</t>
  </si>
  <si>
    <t>https://journals.aps.org/prx/referees/referee-response-physical-review-x</t>
  </si>
  <si>
    <t>https://us.sagepub.com/en-us/nam/reviewer-rewards</t>
  </si>
  <si>
    <t>Yes [Publons. They also publlish a list of reviewers annually]</t>
  </si>
  <si>
    <t>https://us.sagepub.com/en-us/nam/prior-publication</t>
  </si>
  <si>
    <t>"SAGE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t>
  </si>
  <si>
    <t>25 mins</t>
  </si>
  <si>
    <t>Substatial changes re: preprint questions. Also on peer reviewer credit.</t>
  </si>
  <si>
    <t>https://www.elsevier.com/reviewers/role#recognizing</t>
  </si>
  <si>
    <t>Regarding reviewer credit - Yes [Publons. They also publlish a list of reviewers annually]; re. preprint citation, they allow citation of website so reasonable to assume preprints ok https://uk.sagepub.com/en-gb/eur/journal/american-sociological-review#submission-guidelines</t>
  </si>
  <si>
    <t>1521-3773</t>
  </si>
  <si>
    <t>https://onlinelibrary.wiley.com/page/journal/15213773/homepage/notice-to-authors</t>
  </si>
  <si>
    <t>http://www.bloodjournal.org/page/authors/author-guide/peer-review</t>
  </si>
  <si>
    <t>https://authors.bmj.com/for-reviewers/reviewer-recognition/</t>
  </si>
  <si>
    <t>https://onlinelibrary.wiley.com/page/journal/15213773/homepage/onlineopen</t>
  </si>
  <si>
    <t>http://aacrjournals.org/site/Info/Reviewers.xhtml</t>
  </si>
  <si>
    <t>Under the applicable copyright transfer agreement between authors and Wiley-VCH, the former are permitted to self-archive either the submitted version (immediately upon publication of the final article) or accepted version (subject to an embargo period*) on the author′s personal website, the author′s company/institutional repository or archive, or certain not-for-profit subject-based repositories such as PubMed Central. * Note, self-archiving of the accepted version is subject to a 12 month embargo period.</t>
  </si>
  <si>
    <t>http://www.rsc.org/journals-books-databases/journal-authors-reviewers/reviewer-responsibilities/#becoming-reviewer</t>
  </si>
  <si>
    <t>Submitted version: Self-archiving of the submitted version is not subject to an embargo period; authors can self-archive the submitted version immediately upon publication of their article on Wiley Online Library. Authors should include the following notice on the first page: “This is the pre-peer reviewed version of the following article: [FULL CITE], which has been published in final form at [Link to final article using the DOI]. This article may be used for non-commercial purposes in accordance with Wiley-VCH Terms and Conditions for Self-Archiving.” Accepted version: Articles may be deposited into repositories on acceptance, but access to the article is subject to an embargo period of 12 months. The version posted must include the following notice on the first page: “This is the peer-reviewed version of the following article: [FULL CITE], which has been published in final form at [Link to final article using the DOI]. This article may be used for non-commercial purposes in accordance with Wiley-VCH Terms and Conditions for Self-Archiving.” The version posted may not be updated or replaced with the final published version (Version of Record). Authors may transmit, print and share copies of the self-archived version with colleagues, provided that there is no systematic distribution, e.g., a posting on a listserve, network or automated delivery.</t>
  </si>
  <si>
    <t>Accepted version: Articles may be deposited into repositories on acceptance, but access to the article is subject to an embargo period of 12 months. The version posted must include the following notice on the first page: “This is the peer-reviewed version of the following article: [FULL CITE], which has been published in final form at [Link to final article using the DOI]. This article may be used for non-commercial purposes in accordance with Wiley-VCH Terms and Conditions for Self-Archiving.”</t>
  </si>
  <si>
    <t>The authors´ moral rights are not compromised. These rights include the right of “paternity” (also known as “attribution”—the right for the author to be identified as such) and “integrity” (the right for the author not to have the work altered in such a way that the author´s reputation or integrity may be impugned). All reuse must be fully attributed. Where content in the article is identified as belonging to a third party, it is the obligation of the user to ensure that any reuse complies with the copyright policies of the owner of that content. Self-archived content may not be re-published verbatim in whole or in part, whether or not for commercial purposes, in print or online. This restriction does not apply to use of quotations with appropriate citation, or text and data mining provided that the mining output is restricted to short excerpts of text and data and excludes images (unless further consent is obtained from Wiley-VCH).</t>
  </si>
  <si>
    <t>CC-BY, CC-BY-NC-ND and CC-BY-NC</t>
  </si>
  <si>
    <t>Wiley does not offer information on the peer review process explicitely on their website. This information can sometimes be found in the "Guide for Authors" section, but in the case of Angewandte Chemie IE, this section does not contain a lot of information on the peer review process.</t>
  </si>
  <si>
    <t>https://authorservices.wiley.com/Reviewers/journal-reviewers/tools-and-resources/review-confidentiality-policy.html</t>
  </si>
  <si>
    <t>https://authorservices.wiley.com/Reviewers/journal-reviewers/recognition-for-reviewers/index.html</t>
  </si>
  <si>
    <t>http://www.diabetesjournals.org/for-reviewers</t>
  </si>
  <si>
    <t>"Angewandte Chemie, ChemPubSoc Europe, and Asian Chemical Editorial Society (ACES) journals will consider submitted papers that have been previously 1) posted as a preprint on a non-profit community preprint server such as ChemRxiv, bioRxiv, and arXiv"</t>
  </si>
  <si>
    <t>"In the case of preprints, journals require that the material is not communicated with the media prior to publication of the paper in the journal family."</t>
  </si>
  <si>
    <t>Not specified ?</t>
  </si>
  <si>
    <t>25 min</t>
  </si>
  <si>
    <t>Substantial changes re: preprint questions. Also confirmed single blind peer review for this journal. Peer reviewer credit/rewards is not journal-specific (Publisher level) but I added it anyway.</t>
  </si>
  <si>
    <t>https://www.elsevier.com/reviewers/role#RRP</t>
  </si>
  <si>
    <t>https://uk.sagepub.com/en-gb/eur/online-submission-peer-review-system</t>
  </si>
  <si>
    <t>0003-4819</t>
  </si>
  <si>
    <t>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t>
  </si>
  <si>
    <t>https://www.healthaffairs.org/help-for-reviewers</t>
  </si>
  <si>
    <t>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t>
  </si>
  <si>
    <t>Unsure ["Include references to unpublished material in the text, not in the references (for example, papers presented orally at a meeting; unpublished work [personal communications, papers in preparation])"]</t>
  </si>
  <si>
    <t>Not specific to preprints but states: "Providing copies of manuscripts or detailed information to media, manufacturers, or government agencies of scientific information described in a manuscript that has been accepted but not yet published violates the policies of Annals and many other journals."</t>
  </si>
  <si>
    <t>20 mins</t>
  </si>
  <si>
    <t>Disagreement in how/if preprints should be referenced (but I may have missed something)</t>
  </si>
  <si>
    <t>Yes, but only in the text (not the reference list)</t>
  </si>
  <si>
    <t>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 Regarding preprint citation: ["Include references to unpublished material in the text, not in the references (for example, papers presented orally at a meeting; unpublished work [personal communications, papers in preparation])"]</t>
  </si>
  <si>
    <t>1569-8041</t>
  </si>
  <si>
    <t>https://academic.oup.com/journals/pages/access_purchase/rights_and_permissions/author_self_archiving_policy</t>
  </si>
  <si>
    <t>Authors original version can be posted on a personal website, institutional/non-commercial subject-based repository and a commercial platform/social media anytime. Accepted manuscripts can be published on personal websites after publication, on non-commercial repositories after an embargo period, and never on commercial platforms. Version of record may not be uploaded to any kind of external repository.</t>
  </si>
  <si>
    <t>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 The Accepted Manuscript (AM) is the final draft author manuscript, as accepted for publication by a journal, including modifications based on referees’ suggestions, before it has undergone copyediting, typesetting and proof correction. This is sometimes referred to as the post-print version. Authors may make their AM available on their non-commercial homepage or blog. They may also privately share their work within their institution for the purposes of research or education, and make copies available to colleagues or students for their personal use providing that the AM is not made publicly available until after the embargo period. Authors may also immediately upload their AM to their institutional or other non-commercial subject based repositories (on the proviso that it is not made publicly available until after the specified embargo period). Authors may upload their AM to an institutional repository or other non-commercial repositories, and make it publicly available. Accepted Manuscripts may not be uploaded or shared oncommercial websites or repositories, unless the website or repository has signed an agreement with OUP permitting such uploading or sharing. The Version of Record (VOR) is defined here as the final typeset and edited version of the journal article that has been made available by OUP formally and exclusively declaring the article “published”. This includes any ‘advanced access’ article even before the compilation of a volume issue.
 The VOR as it appears in the journal following copyediting and proof correction may not be deposited by authors in institutional repositories or posted to third party websites and made publicly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principles for article sharing on Scholarly Collaboration Networks (SCN). The VOR may not be uploaded or shared on commercial websites or repositories, unless the website or repository has signed an agreement with OUP permitting such uploading or sharing.</t>
  </si>
  <si>
    <t>Yes, but only in the text</t>
  </si>
  <si>
    <t>See above</t>
  </si>
  <si>
    <t>CC-BY, CC-BY-NC-ND, CC-BY-NC</t>
  </si>
  <si>
    <t>The author information provided by Annals of Onkology is not very user-friendly, as it is basically one long page of text without content menu to ease the search process. There is scarce information on the review process; however, some information may be found on pre-print policies. Their licensing policies for different paper versions concerning preprints and self-archiving are stated very clearly on a separate website for instance.</t>
  </si>
  <si>
    <t>preprint-version: First submission only</t>
  </si>
  <si>
    <t xml:space="preserve">
preprint-servers: ""Authors may make their AOV available anywhere at any time. This includes posting on their own personal websites, institutional or non-commercial or subject based repositories, commercial websites or repositories, or social media"</t>
  </si>
  <si>
    <t>preprint-citation: can't find this?</t>
  </si>
  <si>
    <t>leave blank; these refer to the postprints</t>
  </si>
  <si>
    <t>http://ascopubs.org/reviewers</t>
  </si>
  <si>
    <t>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</si>
  <si>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1468-2060</t>
  </si>
  <si>
    <t>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</si>
  <si>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https://authors.bmj.com/policies/publication-embargo/</t>
  </si>
  <si>
    <t>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t>
  </si>
  <si>
    <t>Not applicable</t>
  </si>
  <si>
    <t>45 mins</t>
  </si>
  <si>
    <t>pr-transfer-policy: "Authors are given the option of nominating other journals from BMJ to which they would like their manuscript passed if it is rejected for publication by their first choice."</t>
  </si>
  <si>
    <t>opr-responses: No (can these be published if the reviews were not?)</t>
  </si>
  <si>
    <t>opr-identities: Can't find any info on this, would leave as "Not specified"</t>
  </si>
  <si>
    <t>preprint-url: https://authors.bmj.com/policies/preprints/</t>
  </si>
  <si>
    <t>preprint-version: After peer review ("BMJ does not recommend that Author Accepted Manuscripts are placed on preprint servers.")</t>
  </si>
  <si>
    <t>preprint-servers: "any recognised, not-for-profit, preprint server, such as arXiv, bioRxiv or medRxiv."</t>
  </si>
  <si>
    <t>preprint-license: "BMJ places no restrictions on the licence chosen when posting a preprint version of work"</t>
  </si>
  <si>
    <t>http://www.rsc.org/journals-books-databases/journal-authors-reviewers/reviewer-responsibilities/#peer-review-help</t>
  </si>
  <si>
    <t>Authors are given the option of nominating other journals from BMJ to which they would like their manuscript passed if it is rejected for publication by their first choice.</t>
  </si>
  <si>
    <t>https://authors.bmj.com/policies/preprints/</t>
  </si>
  <si>
    <t>any recognised, not-for-profit, preprint server, such as arXiv, bioRxiv or medRxiv</t>
  </si>
  <si>
    <t>BMJ places no restrictions on the licence chosen when posting a preprint version of work</t>
  </si>
  <si>
    <t>0160-7383</t>
  </si>
  <si>
    <t>https://www.nature.com/ncomms/journal-policies/guide-to-referees</t>
  </si>
  <si>
    <t>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t>
  </si>
  <si>
    <t>https://www.elsevier.com/reviewers/what-is-peer-review</t>
  </si>
  <si>
    <t>Optional; have DOI</t>
  </si>
  <si>
    <t>https://www.elsevier.com/about/policies/copyright</t>
  </si>
  <si>
    <t>An author should not in general publish manuscripts describing essentially the same research in more than one journal or primary publication. Elsevier does not view the following uses of a work as prior publication: publication in the form of an abstract; publication as an academic thesis; publication as an electronic preprint. Note: some society-owned titles and journals that operatAuthors transfer copyright to the publisher as part of a journal publishing agreement, but have the right to: Share their article for Personal Use, Internal Institutional Use and Scholarly Sharing purposes, with a DOI link to the version of record on ScienceDirect (and with the Creative Commons CC-BY-NC- ND license for author manuscript versions). Retain patent, trademark and other intellectual property rights (including research data). Proper attribution and credit for the published work. [Subscription articles] Authors sign an exclusive license agreement, where authors have copyright but license exclusive rights in their article to the publisher**. In this case authors have the right to: Share their article in the same ways permitted to third parties under the relevant user license (together with Personal Use rights) so long as it contains a CrossMark logo, the end user license, and a DOI link to the version of record on ScienceDirect. Retain patent, trademark and other intellectual property rights (including research data). Proper attribution and credit for the published work.</t>
  </si>
  <si>
    <t>CC-BY-NC-ND</t>
  </si>
  <si>
    <t>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t>
  </si>
  <si>
    <t>opr: might change all to Not specified</t>
  </si>
  <si>
    <t>preprint-url: https://www.elsevier.com/about/policies/sharing</t>
  </si>
  <si>
    <t>preprint-version: Any (if on arXiv or RePEc)</t>
  </si>
  <si>
    <t>preprint-licensing: leave blank; I believe this is for accepted manuscripts</t>
  </si>
  <si>
    <t>https://www.elsevier.com/about/policies/sharing</t>
  </si>
  <si>
    <t>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 preprint-version: Any (if on arXiv or RePEc)</t>
  </si>
  <si>
    <t>0306-2619</t>
  </si>
  <si>
    <t>This journal operates a single blind review process. All contributions will be initially assessed by the editor for suitability for the journal. Papers deemed suitable are then typically sent to a minimum of two independent expert reviewers to assess the scientific quality of the paper. The Editor is responsible for the final decision regarding acceptance or rejection of articles. The Editor's decision is final. More information on types of peer review.</t>
  </si>
  <si>
    <t>https://www.osapublishing.org/oe/submit/review/outstandingreviewers.cfm</t>
  </si>
  <si>
    <t>https://www.pnas.org/content/115/52/E12466</t>
  </si>
  <si>
    <t>https://uk.sagepub.com/en-gb/eur/get-credit-for-your-reviews</t>
  </si>
  <si>
    <t xml:space="preserve">https://www.elsevier.com/reviewers/role#recognizing </t>
  </si>
  <si>
    <t>GMD</t>
  </si>
  <si>
    <t>Reviewers are listed online, eg: https://ari.cochrane.org/our-reviews/peer-reviewers/previous-peer-reviewers</t>
  </si>
  <si>
    <t>Noi</t>
  </si>
  <si>
    <t>1477-450X</t>
  </si>
  <si>
    <t>Humanities, Literature &amp; Arts</t>
  </si>
  <si>
    <t>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t>
  </si>
  <si>
    <t>https://academic.oup.com/journals/pages/authors/ethics</t>
  </si>
  <si>
    <t>Peer reviewer activity deposited into open databases?
Examples include Publons and ORCID. Not inputted by user, but by pulling in data from external sources</t>
  </si>
  <si>
    <t>Publons, ORCID, other, none</t>
  </si>
  <si>
    <t>OUP's author information is scatterd across a vast number of documents, each of which is located on a different website (hyperlinks are provided in many cases, though). There seems to be no way of accessing information on the peer review process conveniently in one location.</t>
  </si>
  <si>
    <t>Yes - Publons</t>
  </si>
  <si>
    <t xml:space="preserve">No - Under "Peer Reviewer activity deposited into open database" -&gt; Peer Reviewer activity IS deposited into a database by Elsevier, but it is NOT open. This applies across the Elsevier platform. See https://www.elsevier.com/reviewers/role#recognizing </t>
  </si>
  <si>
    <t>Unsure: Peer Reviewer activity IS deposited into a database by Elsevier, but it is NOT open. This applies across the Elsevier platform. See https://www.elsevier.com/reviewers/role#recognizing</t>
  </si>
  <si>
    <t xml:space="preserve">Unsure: Peer Reviewer activity IS deposited into a database by Elsevier, but it is NOT open. This applies across the Elsevier platform. </t>
  </si>
  <si>
    <t>Change preprint licensing fields to reflect AOV rather than later versions, remove quotes about AM &amp; VOR, leave citation policy blank [trh - ok]</t>
  </si>
  <si>
    <t>Yes -- both Publons and ORCID</t>
  </si>
  <si>
    <t>No: Peer Reviewer activity IS deposited into a database by Elsevier, but it is NOT open. This applies across the Elsevier platform.</t>
  </si>
  <si>
    <t>Some text copied from the website or a few sentences describing the policy</t>
  </si>
  <si>
    <t>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t>
  </si>
  <si>
    <t>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t>
  </si>
  <si>
    <t>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</si>
  <si>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t>
  </si>
  <si>
    <t>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t>
  </si>
  <si>
    <t>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t>
  </si>
  <si>
    <t>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t>
  </si>
  <si>
    <t>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t>
  </si>
  <si>
    <t>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t>
  </si>
  <si>
    <t>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t>
  </si>
  <si>
    <t>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t>
  </si>
  <si>
    <t>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t>
  </si>
  <si>
    <t>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t>
  </si>
  <si>
    <t>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t>
  </si>
  <si>
    <t>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t>
  </si>
  <si>
    <t>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</si>
  <si>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Unsure (preprint can be posted)</t>
  </si>
  <si>
    <t>At the time of manuscript submission, authors may preselect the option to have their manuscript and reviewers' comments automatically referred to one of the JAMA Network specialty journals if the manuscript is not accepted by JAMA.</t>
  </si>
  <si>
    <t>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t>
  </si>
  <si>
    <t>"As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t>
  </si>
  <si>
    <t>via Elsevier’s Article Transfer Service (ATS)</t>
  </si>
  <si>
    <t>"The Transfer Desk is our manuscript transfer service, which provides you with a convenient way of resubmitting your manuscript to a more suitable journal…."</t>
  </si>
  <si>
    <t>"...Authors should be aware that the reviewers’ comments are transferred to the editor of the receiving journal together with the manuscript files. On submission to the new journal, the manuscript will then be assessed by an editor as to whether further peer review will be necessary."</t>
  </si>
  <si>
    <t>"...For manuscripts that have been peer reviewed, the reviews, reviewer identities, and ACS editor’s decision letter will also be provided to the next journal."</t>
  </si>
  <si>
    <t>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t>
  </si>
  <si>
    <t>When a paper is to be rejected from one Royal Society of Chemistry journal, then we would offer the author(s) the option to transfer the paper to one of our other journals for consideration, when this is appropriate.</t>
  </si>
  <si>
    <t>In case a manuscript is transferred between Nature journals, all referee names along with their comments are transferred.</t>
  </si>
  <si>
    <t>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t>
  </si>
  <si>
    <t>1077-3118</t>
  </si>
  <si>
    <t>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t>
  </si>
  <si>
    <t>If a manuscript submitted to Physical Review B is on a topic not within its purview, but may be suitable for another Physical Review journal, the editors may transfer the paper to the appropriate journal and inform the author(s) of that transfer.</t>
  </si>
  <si>
    <t>If a manuscript submitted to Physical Review D is on a topic not within its purview, but may be suitable for another Physical Review journal, the editors may transfer the paper to the appropriate journal and inform the author(s) of that transfer.</t>
  </si>
  <si>
    <t>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t>
  </si>
  <si>
    <t>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</si>
  <si>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t>
  </si>
  <si>
    <t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t>
  </si>
  <si>
    <t>(1)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t>
  </si>
  <si>
    <t>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</si>
  <si>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t>
  </si>
  <si>
    <t>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t>
  </si>
  <si>
    <t>Internal: "If your paper is rejected by The Lancet, we might judge it suitable to pass to other editors in the Lancet-group for consideration or to editors of other relevant journals within Elsevier’s portfolio"</t>
  </si>
  <si>
    <t>If your paper is rejected by The Lancet Neurology, we might judge it suitable to pass to other editors in the Lancet-group for consideration or to editors of other relevant journals within Elsevier’s portfolio</t>
  </si>
  <si>
    <t>If your paper is rejected by The Lancet Oncology, we might judge it suitable to pass it on to other editors in the Lancet-group for consideration, or to editors of other relevant journals within Elsevier's portfolio</t>
  </si>
  <si>
    <t>http://examplejournal.com/peerreviewtransfer</t>
  </si>
  <si>
    <t>Applied Physics Letters is difficult to assess with respect to their peer review policies and their policies concerning pre-preint, because these terms rarely appear anywhere on the website resp. In the documents on the website. It was rather difficult to determine their stance on peer-review, then.</t>
  </si>
  <si>
    <t>https://www.cell.com/cancer-cell/articletransfer</t>
  </si>
  <si>
    <t>http://aacrjournals.org/content/authors/manuscript-transfer</t>
  </si>
  <si>
    <t>https://www.cell.com/cell/articletransfer</t>
  </si>
  <si>
    <t>https://www.cell.com/cell-metabolism/articletransfer</t>
  </si>
  <si>
    <t>https://www.cell.com/cell-stem-cell/articletransfer</t>
  </si>
  <si>
    <t>1432-0746</t>
  </si>
  <si>
    <t>Physics &amp; Mathematics</t>
  </si>
  <si>
    <t>http://www.rsc.org/journals-books-databases/journal-authors-reviewers/processes-policies/#transfers</t>
  </si>
  <si>
    <t>https://www.aanda.org/author-information</t>
  </si>
  <si>
    <t>Manuscripts submitted for publication to A&amp;A should not be submitted to any other refereed journal, but can be sent to preprint servers such as astro-ph. By submitting a manuscript to A&amp;A, the corresponding author explicitly states that the work is original and that all co-authors have read the manuscript and agree with its contents. A&amp;A Editors expect to be informed when a submitted manuscript has previously been rejected by another Journal.</t>
  </si>
  <si>
    <t>Astronomy &amp; Astrophysics is extremely difficult to assess with respect to their peer review policies as the term "peer review" does not pop up on their website once. Interestingly, while not providing information on the peer review process as such, the website offers information on the kinds of pre-print servers the journal allows (which is rarely the case based on previous experience).</t>
  </si>
  <si>
    <t xml:space="preserve">Policy on peer review is unclear - appears to be peer-reviewed by Associate Editors of the journal as described on p16 of https://www.aanda.org/doc_journal/instructions/aadoc.pdf </t>
  </si>
  <si>
    <t>I also could not find a peer review policy URL</t>
  </si>
  <si>
    <t>0142-9612</t>
  </si>
  <si>
    <t>https://www.econometricsociety.org/publications/econometrica/information-authors/editorial-procedures-and-policies#sharing</t>
  </si>
  <si>
    <t>https://www.rsc.org/journals-books-databases/journal-authors-reviewers/processes-policies/#transfers</t>
  </si>
  <si>
    <t>https://pubs.acs.org/paragonplus/submission/esthag/esthag_authguide.pdf</t>
  </si>
  <si>
    <t>https://academic.oup.com/eurheartj/pages/Manuscript_Sharing</t>
  </si>
  <si>
    <t>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t>
  </si>
  <si>
    <t xml:space="preserve">Under "Peer Reviewer activity deposited into open database" -&gt; Peer Reviewer activity IS deposited into a database by Elsevier, but it is NOT open. This applies across the Elsevier platform. See https://www.elsevier.com/reviewers/role#recognizing </t>
  </si>
  <si>
    <t>Under "Peer Reviewer activity deposited into open database" -&gt; Peer Reviewer activity IS deposited into a database by Elsevier, but it is NOT open. This applies across the Elsevier platform. See https://www.elsevier.com/reviewers/role#recognizing</t>
  </si>
  <si>
    <t>Under Preprint policy URL would suggest this: https://www.elsevier.com/authors/journal-authors/policies-and-ethics as this is where the text comes from, or this https://www.elsevier.com/about/policies/sharing#preprint which specifically discusses preprints</t>
  </si>
  <si>
    <t>Corrected preprint policy (leaving most fields blank) - may wish to compare with other standard Elsevier policies [trh - ok]</t>
  </si>
  <si>
    <t>https://www.journals.elsevier.com/government-information-quarterly/announcements</t>
  </si>
  <si>
    <t>https://gut.bmj.com/pages/authors/#manuscript_transfer</t>
  </si>
  <si>
    <t>https://www.cell.com/immunity/authors
https://www.cell.com/immunity/articletransfer</t>
  </si>
  <si>
    <t>https://www.elsevier.com/authors/journal-authors/submit-your-paper/submit-and-revise/article-transfer-service</t>
  </si>
  <si>
    <t>https://www.elsevier.com/authors/journal-authors/policies-and-ethics
https://www.elsevier.com/about/policies/sharing#preprint
https://www.elsevier.com/journals/biomaterials/0142-9612?generatepdf=true</t>
  </si>
  <si>
    <t>Any (arXiv &amp; RePEc)</t>
  </si>
  <si>
    <t>Authors can share their preprint anywhere at any time.</t>
  </si>
  <si>
    <t>1528-0020</t>
  </si>
  <si>
    <t>Health &amp; Medical Sciences</t>
  </si>
  <si>
    <t>American Society of Hematology</t>
  </si>
  <si>
    <t>https://publishingsupport.iopscience.iop.org/questions/article-transfer-service/</t>
  </si>
  <si>
    <t>Our expert reviewers are instrumental in maintaining the high quality of Bloodand its prominence among medical journals. We greatly appreciate the contribution of your time and expertise.</t>
  </si>
  <si>
    <t>Blood's website is rather clear in terms of providing details of the peer review process (i.e. those details are findable and accessible). However, the information itself is rather sparse, i.e. Not a lot of information is provided in terms of licensing and open peer review.</t>
  </si>
  <si>
    <t>https://www.springer.com/us/authors-editors/journal-author/the-springer-transfer-desk</t>
  </si>
  <si>
    <t>Corrected co-reviewer policy and added preprint policy info</t>
  </si>
  <si>
    <t>Please note that all information regarding a submitted paper should be kept confidential.</t>
  </si>
  <si>
    <t>https://www.nature.com/authors/author_resources/transfer_manuscripts.html</t>
  </si>
  <si>
    <t>http://www.bloodjournal.org/page/authors/author-guide/Editorial-policies-for-authors</t>
  </si>
  <si>
    <t>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t>
  </si>
  <si>
    <t>The publication of the manuscript as a preprint, as well as public comments or coverage about that preprint, will be considered in the evaluation of the manuscript's impact.</t>
  </si>
  <si>
    <t>1756-1833</t>
  </si>
  <si>
    <t>No form available; questions outlined at https://www.bmj.com/about-bmj/resources-reviewers for academic reviewers and https://www.bmj.com/about-bmj/resources-reviewers/guidance-patient-reviewers for public/patient reviewers</t>
  </si>
  <si>
    <t>Mandatory; Free to read (not paywalled)</t>
  </si>
  <si>
    <t>Mandatory; Have date; Free to read (not paywalled)</t>
  </si>
  <si>
    <t>Mandatory</t>
  </si>
  <si>
    <t>Conditional - only if published</t>
  </si>
  <si>
    <t>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t>
  </si>
  <si>
    <t>No policy found</t>
  </si>
  <si>
    <t>https://www.cell.com/neuron/authors</t>
  </si>
  <si>
    <t>“BMJ fully supports and encourages the archiving of preprints in any recognised, not-for-profit, preprint server, such as arXiv, bioRxiv or medRxiv.”</t>
  </si>
  <si>
    <t>http://www.aappublications.org/content/pediatrics-author-guidelines</t>
  </si>
  <si>
    <t>BMJ places no restrictions on the licence chosen when posting a preprint version of work (eg authors may choose CC BY or CC BY NC), but authors must retain copyright of their work when posting to a preprint server.</t>
  </si>
  <si>
    <t>Notes on subsections: (1) Type of peer review: not specifically listed as single blind online but advice in instructions for patient reviewers includes disclosing COI if they know the author therefore assume author name is shared: https://www.bmj.com/about-bmj/resources-reviewers/guidance-patient-reviewers; (2) Preprints general policy on https://www.bmj.com/about-bmj/publishing-model says they won’t publish work that is already available and substantially similar (redundancy): “The BMJ does not want to publish material that has already appeared in full elsewhere…. Before submitting material for publication authors often ask colleagues and peers for comments on the completed work. These unpublished articles are known as preprints. And, increasingly, authors are conducting this informal peer review using electronic preprints (eprints), often by posting the articles on websites and repositories. In all these cases we expect authors to tell us about previous publication and to supply us with copies of such previous versions. Then we can assess whether publication in The BMJwill add usefully to the medical literature, or whether it will just add redundant material.” // For versions accepted, they encourage posting of VOR but not AAM: “BMJ does not recommend that Author Accepted Manuscripts are placed on preprint servers. BMJ produces the Version of Record very quickly after manuscripts are accepted and so we encourage authors to post or link to the VOR, where appropriate. This helps to ensure the validity and integrity of the scientific record as readers are alerted to further versions, corrections, or retractions through technology contained in the Version of Record.” // No policy found about citing preprints, but example found that included citation in-text and reference list: https://doi.org/10.1136/bmj.k2357; General field notes: conflicting information between policies from BMJ as an umbrella (peer review reports not published unless BMJ Open or BMJ Open Science — https://authors.bmj.com/policies/peer-review-terms-and-conditions/#our%20use%20of%20your%20review) and The BMJ itself (open peer review — https://www.bmj.com/about-bmj/resources-reviewers). Good example of a dedicated tab for pre-publication history, with all manuscript versions shared, editorial responses including full signed reviews and author responses, plus splash page includes general open peer review policy for readers to see.</t>
  </si>
  <si>
    <t>https://journals.aps.org/prb/authors/editorial-policies-practices#guide</t>
  </si>
  <si>
    <t>Regarding OPR policies - I would say they should be listed as conditional rather than mandatory - given that (1) it says this is "usually" the case, (2) enhanced publication of PR process is not for all article types - this is the relevant text "The BMJ has fully open peer review for all articles that undergo review. In addition, accepted research and analysis papers will usually have their prepublication history posted alongside them on bmj.com. This prepublication history generally comprises all previous versions of the manuscript, the study protocol (mandatory for all clinical trials and encouraged for all other studies at The BMJ), the report from the manuscript committee meeting, the reviewers’ comments, and the authors’ responses to all the comments from reviewers and editors (read more in this editorial)." AND "Please note that if the article is not published you may refer to The BMJ and the fact that you have reviewed an article for it. However, you may not post any details of the article which was reviewed, or any part of the review that would breach the confidentiality under which the article was provided to you for review."</t>
  </si>
  <si>
    <t>https://journals.aps.org/prd/authors/editorial-policies-practices#sub</t>
  </si>
  <si>
    <t>- ["The BMJ's peer reviewers do not have to fill in standard appraisal forms. "]</t>
  </si>
  <si>
    <t>Conditional; Free to read (not paywalled)</t>
  </si>
  <si>
    <t>Regarding PR - this states it is an OPR journal, and OPR is defined as "Reviewer and author are known to each other. These journals publish the reviewer comments and previous versions of the manuscript alongside the accepted paper." here: https://authors.bmj.com/after-submitting/peer-review-process/</t>
  </si>
  <si>
    <t>https://www.sciencemag.org/authors/science-information-authors</t>
  </si>
  <si>
    <t>http://pubs.acs.org/paragonplus/submission/jpclcd/jpclcd_authguide.pdf</t>
  </si>
  <si>
    <t>1535-6108</t>
  </si>
  <si>
    <t>Peer review activity but not full reviews may be posted to Publons according to entry at Publons — https://publons.com/journal/573/cancer-cell</t>
  </si>
  <si>
    <t>“In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t>
  </si>
  <si>
    <t>OPR</t>
  </si>
  <si>
    <t>Peer review reports - published?, attributes
(An example of "Conditional" publication: reviews are published unless the reviewer recommends rejection or withdraws.)</t>
  </si>
  <si>
    <t>https://www.cell.com/cancer-cell/authors</t>
  </si>
  <si>
    <t>Mandatory, Conditional, Optional, No, Not specified
Attributes: Have date, Have DOI, Free to read (not paywalled), Under a Creative Commons License, Deposited into PubMed Central</t>
  </si>
  <si>
    <t>Mandatory, Have date, deposited into Pubmed Central</t>
  </si>
  <si>
    <t>“We will consider papers previously posted on preprint servers like arXiv, bioRxiv, BioRN, ChemRxiv, or ChemRN."</t>
  </si>
  <si>
    <t>"we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</si>
  <si>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Unpublished data, submitted manuscripts, abstracts, and personal communications should be cited within the text only and not included in the References list. Personal communication should be documented by a letter of permission. Submitted articles should be cited as unpublished data, data not shown, or personal communication.” https://www.cell.com/cancer-cell/authors but example found with bioRxiv reference as normal citation: https://doi.org/10.1016/j.ccell.2018.07.001</t>
  </si>
  <si>
    <t>OPR options are listed as "not specified" as no information is given, but the answer is known to be No</t>
  </si>
  <si>
    <t>Optional, Have date</t>
  </si>
  <si>
    <t>not specified</t>
  </si>
  <si>
    <t>0099-7013</t>
  </si>
  <si>
    <t>Optional - at request of referee</t>
  </si>
  <si>
    <t>http://aacrjournals.org/content/authors/editorial-policies</t>
  </si>
  <si>
    <t>“Posting of manuscripts on institutional websites or on recognized community preprint servers, such as bioRxiv, is permitted under our publication policy.”</t>
  </si>
  <si>
    <t>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t>
  </si>
  <si>
    <t>Peer review: form mentioned but not linked at https://can.msubmit.net/cgi-bin/main.plex?form_type=display_rev_instructions; other URLs: http://aacrjournals.org/content/authors/editorial-policies, http://aacrjournals.org/site/Info/Reviewers.xhtml</t>
  </si>
  <si>
    <t>No changes - not much information is given by this journal</t>
  </si>
  <si>
    <t>Additional OPR information
Add any notes here about the nature of "conditional" publishing, etc</t>
  </si>
  <si>
    <t>Peer review activity but not full reviews may be posted to Publons according to entry at Publons — https://publons.com/journal/270/cell
"Cell Press will not disclose any reviewer’s identity except at the specific reviewer’s request." - https://www.cell.com/reviewers</t>
  </si>
  <si>
    <t>Peer review activity but not full reviews may be posted to Publons according to entry at Publons — https://publons.com/journal/628/cell-metabolism
"Cell Press will not disclose any reviewer’s identity except at the specific reviewer’s request." - https://www.cell.com/reviewers</t>
  </si>
  <si>
    <t>Peer review activity but not full reviews may be posted to Publons according to entry at Publons — https://publons.com/journal/586/cell-stem-cell
"Cell Press will not disclose any reviewer’s identity except at the specific reviewer’s request." - https://www.cell.com/reviewers</t>
  </si>
  <si>
    <t>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t>
  </si>
  <si>
    <t>1097-4172</t>
  </si>
  <si>
    <t>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t>
  </si>
  <si>
    <t>The journal European Urology is not very specific with respect to the details of its peer review process.</t>
  </si>
  <si>
    <t>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t>
  </si>
  <si>
    <t>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t>
  </si>
  <si>
    <t>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t>
  </si>
  <si>
    <t>Health &amp; Medical Sciences, Life Sciences &amp; Earth Sciences</t>
  </si>
  <si>
    <t>Not open interaction for reviewers, but for editors: "Once 2 reviews have been completed, the submission is reviewed by all JACC associate editors in a weekly meeting. The group then comes to [a decision]" http://www.onlinejacc.org/content/73/14/A18</t>
  </si>
  <si>
    <t>"The reviewing process will be double blind at the level of reviewers and area chairs (i.e., reviewers and area chairs cannot see author identities) but not at the level of senior area chairs and program chairs."</t>
  </si>
  <si>
    <t>The review process is conducted anonymously for all submissions, except NAS members’ own contributions where the reviewers are known to the member author and their names are published. - https://www.pnas.org/page/authors/reviewers</t>
  </si>
  <si>
    <t>Science employs a cross-review policy, so once all reviews are in, they are circulated among all other reviewers of a given paper</t>
  </si>
  <si>
    <t>All reviewers active in a single year are are listed online: https://community.cochrane.org/editorial-and-publishing-policy-resource/cochrane-review-management/cochrane-peer-review-policy</t>
  </si>
  <si>
    <t>"If the reviewer wishes to disclose his/her identity to
 the manuscript authors, the editor should be consulted, and the decision to disclose such
 information to authors is the sole discretion of the editor."</t>
  </si>
  <si>
    <t>Not included in Wiley's transparent peer review trial (https://authorservices.wiley.com/Reviewers/journal-reviewers/what-is-peer-review/index.html)</t>
  </si>
  <si>
    <t>Co-review</t>
  </si>
  <si>
    <t>Co-reviewer policy
Co-reviewers are people whom a peer reviewer invites to help them write a peer review. Often these are junior scholars in the same lab/group as the peer reviewer.</t>
  </si>
  <si>
    <t>Peer review activity but not full reviews may be posted to Publons according to entry at Publons — https://publons.com/journal/270/cell</t>
  </si>
  <si>
    <t>"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t>
  </si>
  <si>
    <t>The manuscript (or its existence) should not be shown to, disclosed to, or discussed with others, except in special cases, where specific scientific advice may be sought; in that event the editor must be informed and the identities of those consulted disclosed.</t>
  </si>
  <si>
    <t>"Peer reviewers are required to maintain confidentiality about the manuscripts they review and must not divulge any information about a specific manuscript or its content to any third party without prior permission from the journal editors."</t>
  </si>
  <si>
    <t>Peer reviewers are required to maintain confidentiality about the manuscripts they review and must not divulge any information about a specific manuscript or its content to any third party without prior permission from the journal editors.</t>
  </si>
  <si>
    <t>"Please note also that if you agree to review this manuscript, the manuscript and its' contents must be kept confidential.  If you wish to have another expert co-review the manuscript with you, you must first obtain permission from the journal office."</t>
  </si>
  <si>
    <t>"Manuscripts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t>
  </si>
  <si>
    <t>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t>
  </si>
  <si>
    <t>All reviewers are expected to uphold AGU’s ethical guidelines and to disclose any conflicts of interest to the editors. Reviewers are expected to keep manuscripts confidential.</t>
  </si>
  <si>
    <t>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</si>
  <si>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t>
  </si>
  <si>
    <t>You should not show the paper to anyone else, including colleagues or students, unless you have asked them to write a review, or to help with your review.</t>
  </si>
  <si>
    <t>Papers sent to you for review are confidential. However, requesting the opinion of a single colleague may be appropriate in some circumstances. Please consult your associate editor if you’d like to the input of outside help for the review.</t>
  </si>
  <si>
    <t>We also ask that you do not discuss the papers you have reviewed with colleagues unless they have been published.</t>
  </si>
  <si>
    <t>"Can I have a student co-review with me? Yes, if you are a professor who is mentoring a graduate student, you may co-review the paper with them. Please be sure to contact the handling editor and indicate upon submitting your review that it was completed with a co-reviewer."</t>
  </si>
  <si>
    <t>"Since peer review is confidential, you also must not share information about the review with anyone without permission from the editors and authors."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</si>
  <si>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t>
  </si>
  <si>
    <t>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t>
  </si>
  <si>
    <t>"Ask a senior colleague, with experience of reviewing, whether you could work with them on a review. " This was part of the general T&amp;F site.</t>
  </si>
  <si>
    <t>"Manuscript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t>
  </si>
  <si>
    <t>"Treat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t>
  </si>
  <si>
    <t>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t>
  </si>
  <si>
    <t>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t>
  </si>
  <si>
    <t>It is acceptable to consult with laboratory colleagues, but please identify them to the editors.</t>
  </si>
  <si>
    <t>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t>
  </si>
  <si>
    <t>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t>
  </si>
  <si>
    <t>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t>
  </si>
  <si>
    <t>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t>
  </si>
  <si>
    <t>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t>
  </si>
  <si>
    <t>https://www.cell.com/cell/authors</t>
  </si>
  <si>
    <t>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t>
  </si>
  <si>
    <t>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t>
  </si>
  <si>
    <t>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t>
  </si>
  <si>
    <t xml:space="preserve"> Please do not share the manuscript with any colleagues without the explicit permission of the editor. </t>
  </si>
  <si>
    <t xml:space="preserve"> It is acceptable to consult with laboratory colleagues, but we ask that they are identified to the Editorial Board Member. </t>
  </si>
  <si>
    <t>The peer-review process rests on the assumption that an assigned reviewer will treat all manuscripts as privileged information. A reviewer may request advice from another party, subject to the general principle of confidentiality and notification of the JCI.</t>
  </si>
  <si>
    <t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t>
  </si>
  <si>
    <t>http://examplejournal.com/coreviewers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</si>
  <si>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</si>
  <si>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https://www.cell.com/cell/authors; example found with bioRxiv cited in reference listed https://doi.org/10.1016/j.cell.2018.11.022</t>
  </si>
  <si>
    <t>Review identity to author to optional, whole quote for coreviewers, who are asked to be identified in comments to editor (so assuming there is no dedicated form), added additional text to preprint media policies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</si>
  <si>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t>
  </si>
  <si>
    <t>1550-4131</t>
  </si>
  <si>
    <t>Life Sciences &amp; Earth Sciences</t>
  </si>
  <si>
    <t>Peer review activity but not full reviews may be posted to Publons according to entry at Publons — https://publons.com/journal/628/cell-metabolism</t>
  </si>
  <si>
    <t>https://www.cell.com/cell-metabolism/authors</t>
  </si>
  <si>
    <t>https://www.rsc.org/journals-books-databases/journal-authors-reviewers/reviewer-responsibilities/#ethical-responsibilities</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</si>
  <si>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https://www.cell.com/cell-metabolism/authors; example review found with bioRxiv cited in reference listed at https://doi.org/10.1016/j.cmet.2018.11.016</t>
  </si>
  <si>
    <t>https://ccr.msubmit.net/cgi-bin/main.plex?form_type=display_rev_instructions</t>
  </si>
  <si>
    <t>Review identity to author to optional, whole quote for coreviewers, who are asked to be identified in comments to editor (so assuming there is no dedicated form), corrected links in preprint media policy &amp; added additional text</t>
  </si>
  <si>
    <t>http://cvpr2019.thecvf.com/submission/main_conference/reviewer_guidelines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</si>
  <si>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t>
  </si>
  <si>
    <t>1934-5909</t>
  </si>
  <si>
    <t>http://iccv2019.thecvf.com/submission/main_conference/reviewer_guidelines</t>
  </si>
  <si>
    <t>https://signalprocessingsociety.org/publications-resources/publications-faq</t>
  </si>
  <si>
    <t>Peer review activity but not full reviews may be posted to Publons according to entry at Publons — https://publons.com/journal/586/cell-stem-cell</t>
  </si>
  <si>
    <t>https://www.cell.com/cell-stem-cell/authors</t>
  </si>
  <si>
    <t>https://publishingsupport.iopscience.iop.org/questions/ethics-for-reviewers/</t>
  </si>
  <si>
    <t>https://www.apa.org/pubs/journals/reviewer-instructions.pdf</t>
  </si>
  <si>
    <t>Peer review: Peer review policies apply to all CellPress journals, not specific to Cell. CellPress have illustration of their process: https://www.cell.com/pb-assets/shared/guidelines/cell_press_navigator.pdf and May 2018’s blogpost describing their current thoughts about open peer review: http://crosstalk.cell.com/blog/the-pros-and-cons-of-publishing-peer-reviews; peer review policies do not state explicitly that process is single blind but discuss potential COIs that imply knowledge of author identity while reviewer identity is kept private. Preprints: citation policy if preprints count as ‘not published’: “References should include only articles that are published or in press. … Unpublished data, submitted manuscripts, abstracts, and personal communications should be cited within the text only and not included in the References list… Submitted articles should be cited as unpublished data, data not shown, or personal communication.” — https://www.cell.com/cell-metabolism/authors; no recently published article found with bioRxiv cited in reference list.</t>
  </si>
  <si>
    <t>https://us.sagepub.com/en-us/nam/how-to-review-articles</t>
  </si>
  <si>
    <t>https://www.nature.com/nature/for-referees/policies-and-processes</t>
  </si>
  <si>
    <t>https://www.nature.com/nbt/for-referees/policies-and-processes</t>
  </si>
  <si>
    <t>https://www.nature.com/ncb/for-referees/policies-and-processes</t>
  </si>
  <si>
    <t>“Work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t>
  </si>
  <si>
    <t>0144-557X</t>
  </si>
  <si>
    <t>https://www.nature.com/nchem/for-referees/policies-and-processes</t>
  </si>
  <si>
    <t>https://www.nature.com/nclimate/for-referees/policies-and-processes</t>
  </si>
  <si>
    <t>https://www.nature.com/ng/for-referees/policies-and-processes</t>
  </si>
  <si>
    <t>https://www.nature.com/ni/for-referees/policies-and-processes</t>
  </si>
  <si>
    <t>https://www.nature.com/nmat/for-referees/policies-and-processes</t>
  </si>
  <si>
    <t>https://www.nature.com/nm/for-referees/policies-and-processes</t>
  </si>
  <si>
    <t>http://www.rsc.org/journals-books-databases/journal-authors-reviewers/processes-policies/#prior-publication</t>
  </si>
  <si>
    <t>https://www.nature.com/nmeth/for-referees/policies-and-processes</t>
  </si>
  <si>
    <t>https://www.nature.com/nnano/for-referees/policies-and-processes</t>
  </si>
  <si>
    <t>“Authors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</si>
  <si>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https://www.nature.com/neuro/for-referees/policies-and-processes</t>
  </si>
  <si>
    <t>Peer review: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t>
  </si>
  <si>
    <t>https://www.nature.com/nphoton/for-referees/policies-and-processes</t>
  </si>
  <si>
    <t>https://www.nature.com/nphys/for-referees/policies-and-processes</t>
  </si>
  <si>
    <t>https://authorservices.wiley.com/Reviewers/journal-reviewers/how-to-perform-a-peer-review/general-and-ethical-guidelines.html</t>
  </si>
  <si>
    <t>1520-6890</t>
  </si>
  <si>
    <t>https://journals.aps.org/prb/authors/editorial-policies-practices#anonymity</t>
  </si>
  <si>
    <t>https://pubs.acs.org/page/chreay/submission/prior.html</t>
  </si>
  <si>
    <t>https://journals.plos.org/plosone/s/reviewer-guidelines</t>
  </si>
  <si>
    <t>Other</t>
  </si>
  <si>
    <t>Preprints: not supported? " When submitting a manuscript, an author should inform the editor of any prior dissemination of the content in print or electronic format. This includes electronic posting of conference presentations, posters, and preprints on institutional repositories and other Web sites. Any content that has been made publicly available, either in print or electronic format, and that contains a significant amount of new information, if made part of a submitted manuscript, may jeopardize the originality of the submission and may preclude consideration for publication.”; Citation guidelines in author guide: "No references to unpublished results are allowed” — https://pubs.acs.org/paragonplus/submission/chreay/chreay_authguide.pdf;</t>
  </si>
  <si>
    <t xml:space="preserve">Seems preprints are not prohibited, but very discouraged? Very little info on peer review procedures. </t>
  </si>
  <si>
    <t>https://journals.aps.org/rmp/info/procedures.html</t>
  </si>
  <si>
    <t>https://www.sciencemag.org/authors/peer-review-science-publications</t>
  </si>
  <si>
    <t>https://stm.sciencemag.org/content/information-reviewers</t>
  </si>
  <si>
    <t>https://www.nature.com/srep/journal-policies/referees#confidentiality</t>
  </si>
  <si>
    <t>1460-4744</t>
  </si>
  <si>
    <t>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t>
  </si>
  <si>
    <t>Reviewer invitation email specifies that co-reviewers can contribute?</t>
  </si>
  <si>
    <t>Unsue</t>
  </si>
  <si>
    <t>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  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t>
  </si>
  <si>
    <t>preprint-policy</t>
  </si>
  <si>
    <t>1520-5002</t>
  </si>
  <si>
    <t>Chemical &amp; Materials Sciences,
Engineering &amp; Computer Science</t>
  </si>
  <si>
    <t>Preprint policy</t>
  </si>
  <si>
    <t>https://pubs.acs.org/page/cmatex/submission/prior.html</t>
  </si>
  <si>
    <t>“Chemistry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t>
  </si>
  <si>
    <t>Some info general to ACS journals, copied from Chemical Reviews. Preprints: only allowed for specified or permitted servers, version unclear; other URL (no additional info): https://pubs.acs.org/paragonplus/submission/cmatex/cmatex_authguide.pdf; https://pubs.acs.org/page/cmatex/submission/reviewers.html</t>
  </si>
  <si>
    <t>0009-7322</t>
  </si>
  <si>
    <t>https://www.ahajournals.org/prior-publication-policy</t>
  </si>
  <si>
    <t>“Posting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t>
  </si>
  <si>
    <t>Not specific to preprints: "Direct release of information through press releases or media briefings may preclude publication”</t>
  </si>
  <si>
    <t>Peer review: type assumed single since reviewers asked to specify COI due to author relationship - https://www.ahajournals.org/pb-assets/Ethical%20ConductPolicyApril2017finalWeb.pdf: citation: “References must be from a full-length publication in a peer-reviewed journal.” — https://www.ahajournals.org/circ/manuscript-preparation; other policy URL: https://www.ahajournals.org/pb-assets/Ethical%20ConductPolicyApril2017finalWeb.pdf</t>
  </si>
  <si>
    <t>Can't find "single blind" but seems usual for this field</t>
  </si>
  <si>
    <t>Peer reviewers are required to maintain confidentiality about the manuscripts they
review and must not divulge any information about a specific manuscript or its content
to any third party without prior permission from the journal editors.</t>
  </si>
  <si>
    <t>1524-4571</t>
  </si>
  <si>
    <t>Some policies general to AHA journals, copied from Circulation; Peer review: type assumed single since reviewers asked to specify COI due to author relationship - https://www.ahajournals.org/pb-assets/Ethical%20ConductPolicyApril2017finalWeb.pdf: citation: “References must be from a full-length publication in a peer-reviewed journal.” — https://www.ahajournals.org/res/manuscript-preparation</t>
  </si>
  <si>
    <t>http://www.diabetesjournals.org/content/journal-policies#originality</t>
  </si>
  <si>
    <t>https://www.econometricsociety.org/publications/econometrica/information-authors/editorial-procedures-and-policies#priorpublication</t>
  </si>
  <si>
    <t>https://www.rsc.org/journals-books-databases/journal-authors-reviewers/processes-policies/#prior-publication</t>
  </si>
  <si>
    <t>1557-3265</t>
  </si>
  <si>
    <t>https://pubs.acs.org/page/esthag/submission/prior.html</t>
  </si>
  <si>
    <t>https://academic.oup.com/journals/pages/access_purchase/rights_and_permissions/self_archiving_policy_b</t>
  </si>
  <si>
    <t>https://uk.sagepub.com/en-gb/eur/prior-publication</t>
  </si>
  <si>
    <t>https://publications.agu.org/author-resource-center/publication-policies/dual-publication-policy/</t>
  </si>
  <si>
    <t>Peer review: form mentioned but not linked at https://ccr.msubmit.net/cgi-bin/main.plex?form_type=display_rev_instructions; other URLs: http://aacrjournals.org/content/authors/editorial-policies, http://aacrjournals.org/site/Info/Reviewers.xhtml</t>
  </si>
  <si>
    <t>https://pspb.ieee.org/images/files/files/opsmanual.pdf</t>
  </si>
  <si>
    <t>15 mins</t>
  </si>
  <si>
    <t>Added notes about co-reviewer policy</t>
  </si>
  <si>
    <t>http://cvpr2019.thecvf.com/submission/main_conference/author_guidelines</t>
  </si>
  <si>
    <t>http://iccv2019.thecvf.com/submission/main_conference/author_guidelines</t>
  </si>
  <si>
    <t>https://ieeeauthorcenter.ieee.org/publishing-ethics/guidelines-and-policies/policy-posting-your-article/</t>
  </si>
  <si>
    <t>0360-1315</t>
  </si>
  <si>
    <t>https://www.cell.com/immunity/authors</t>
  </si>
  <si>
    <t>https://www.elsevier.com/journals/international-journal-of-production-economics/0925-5273/guide-for-authors</t>
  </si>
  <si>
    <t>https://jamanetwork.com/journals/jama/pages/instructions-for-authors#SecPreviousorPlannedPresentationorReleaseofInformation</t>
  </si>
  <si>
    <t>“Authors can share their preprint anywhere at any time.”</t>
  </si>
  <si>
    <t>Not specified for preprint version; “In all cases accepted manuscripts should… bear a CC-BY-NC-ND license"</t>
  </si>
  <si>
    <t>https://www.elsevier.com/journals/computers-and-education/0360-1315/guide-for-authors; Preprint: “Authors can update their preprints on arXiv or RePEc with their accepted manuscript”, “Unpublished results and personal communications are not recommended in the reference list, but may be mentioned in the text.”</t>
  </si>
  <si>
    <t>http://ascopubs.org/jco/site/ifc/journal-policies.xhtml</t>
  </si>
  <si>
    <t>https://academic.oup.com/journals/pages/access_purchase/rights_and_permissions/self_archiving_policy_f</t>
  </si>
  <si>
    <t>Couldn't find info specific to this journal</t>
  </si>
  <si>
    <t>https://jcap.sissa.it/jcap/help/helpLoader.jsp?pgType=flow</t>
  </si>
  <si>
    <t>https://www.apa.org/pubs/journals/resources/open-science.aspx</t>
  </si>
  <si>
    <t>Added additional preprint policy URL and peer review URL</t>
  </si>
  <si>
    <t>https://www.elsevier.com/journals/journal-of-financial-economics/0304-405x/guide-for-authors, https://www.elsevier.com/about/policies/sharing</t>
  </si>
  <si>
    <t>https://publications.agu.org/author-resource-center/usage-permissions/, https://publications.agu.org/author-resource-center/publication-policies/dual-publication-policy/prior-publication-and-posting-primer/, https://publications.agu.org/author-resource-center/publication-policies/dual-publication-policy/</t>
  </si>
  <si>
    <t>https://jhep.sissa.it/jhep/help/helpLoader.jsp?pgType=author#arXiv</t>
  </si>
  <si>
    <t>https://www.elsevier.com/about/policies/copyright/permissions, https://www.elsevier.com/about/policies/sharing</t>
  </si>
  <si>
    <t>“Authors can share their preprint anywhere at any time, in line with Elsevier's sharing policy..”, From sharing policy: "Authors can update their preprints on arXiv or RePEc with their accepted manuscript ." https://www.elsevier.com/about/policies/sharing</t>
  </si>
  <si>
    <t>https://www.elsevier.com/about/policies/copyright/permissions</t>
  </si>
  <si>
    <t>https://uk.sagepub.com/en-gb/eur/journal-author-archiving-policies-and-re-use</t>
  </si>
  <si>
    <t>1935-5548</t>
  </si>
  <si>
    <t>https://academic.oup.com/journals/pages/access_purchase/rights_and_permissions/author_self_archiving_policy
https://academic.oup.com/mnras/pages/General_Instructions#3.5%20Updating%20of%20records%20on%20arXiv</t>
  </si>
  <si>
    <t>https://pubs.acs.org/page/nalefd/submission/prior.html</t>
  </si>
  <si>
    <t>https://www.nature.com/authors/policies/preprints.html</t>
  </si>
  <si>
    <t>“ADA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t>
  </si>
  <si>
    <t>"If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t>
  </si>
  <si>
    <t>No (without permission)</t>
  </si>
  <si>
    <t>10 mins</t>
  </si>
  <si>
    <t>2167-082X</t>
  </si>
  <si>
    <t>https://www.tandfonline.com/action/journalInformation?show=aimsScope&amp;journalCode=rdij20</t>
  </si>
  <si>
    <t>Very little explicit policy information found; readers instructed to find peer review policy in the aims &amp; scope section but all this says is "All articles in Digital Journalism have undergone rigorous peer review, based on initial editor screening and anonymised refereeing by two anonymous referees.”; Instructions for authors: https://www.tandfonline.com/action/authorSubmission?show=instructions&amp;journalCode=rdij20 -- no guidance on preprints; no info in https://authorservices.taylorandfrancis.com/what-to-expect-during-peer-review/ or</t>
  </si>
  <si>
    <t>https://www.tandfonline.com/action/authorSubmission?journalCode=rdij20&amp;page=instructions</t>
  </si>
  <si>
    <t>No (double-blind peer review)</t>
  </si>
  <si>
    <t>Added additional peer review URL. Also added "No" for reviewer names revealed as they perform double-blind peer review so I assume the answer is "no" (though it doesn't explicitely state this)</t>
  </si>
  <si>
    <t>https://authorservices.wiley.com/author-resources/Journal-Authors/open-access/preprints-policy.html</t>
  </si>
  <si>
    <t>https://academic.oup.com/nar/pages/Policies#Prior%20Publication</t>
  </si>
  <si>
    <t>1468-0262</t>
  </si>
  <si>
    <t>https://journals.plos.org/plosone/s/preprints</t>
  </si>
  <si>
    <t>https://www.pnas.org/page/authors/journal-policies &amp; https://www.pnas.org/content/114/48/12630</t>
  </si>
  <si>
    <t>https://www.econometricsociety.org/publications/econometrica/information-authors/editorial-procedures-and-policies</t>
  </si>
  <si>
    <t xml:space="preserve">https://us.sagepub.com/en-us/nam/preprintsfaq
https://journals.sagepub.com/pb-assets/Journals-Accepting-PrePrints.pdf
</t>
  </si>
  <si>
    <t>https://academic.oup.com/journals/pages/access_purchase/rights_and_permissions/self_archiving_policy_a</t>
  </si>
  <si>
    <t>https://www.elsevier.com/journals/research-policy/0048-7333/guide-for-authors#20920, https://www.elsevier.com/authors/journal-authors/submit-your-paper/sharing-and-promoting-your-article</t>
  </si>
  <si>
    <t>https://www.mitpressjournals.org/for_authors#authorposting</t>
  </si>
  <si>
    <t>http://www.sciencemag.org/authors/science-journals-editorial-policies</t>
  </si>
  <si>
    <t>https://www.nature.com/srep/journal-policies/editorial-policies?draft=journal&amp;target=content#confidentiality</t>
  </si>
  <si>
    <t>Very little information available about Econometrica specifically. Preprints: in prior publication policy: "If the author has submitted elsewhere work that is related to or includes some parts of the paper, or does so during the term in which Econometrica is considering the manuscript, then it is the author’s responsibility to provide Econometrica with details…. authors must note all cases of publication other than in working paper series or on personal or university websites.”, no information on citation of preprints in manuscript preparation guidelines: https://www.econometricsociety.org/publications/econometrica/information-authors/instructions-preparing-articles-publication; Wiley has pages on peer review recognition, etc but not clear if this is applicable to Econometrica: https://authorservices.wiley.com/Reviewers/journal-reviewers/recognition-for-reviewers/index.html; Wiley offers service to check the review model for a journal — for Econometrica, it says “consult with editor”.</t>
  </si>
  <si>
    <t>https://www.elsevier.com/journals/social-science-and-medicine/0277-9536/guide-for-authors, https://www.elsevier.com/about/policies/sharing/preprint</t>
  </si>
  <si>
    <t>(describes working paper citations) https://onlinelibrary.wiley.com/page/journal/10970266/homepage/forauthors.html</t>
  </si>
  <si>
    <t>https://www.elsevier.com/journals/teaching-and-teacher-education/0742-051x/guide-for-authors, https://www.elsevier.com/about/policies/sharing/preprint</t>
  </si>
  <si>
    <t>https://onlinelibrary.wiley.com/page/journal/15457249/homepage/forauthors.html</t>
  </si>
  <si>
    <t>Use https://www.econometricsociety.org/publications/econometrica/information-authors/editorial-procedures-and-policies#reviewprocess for peer review policy url</t>
  </si>
  <si>
    <t>http://ideas.cochrane.org/forums/326856-cochrane-style-manual/suggestions/18762079-referencing-preprints</t>
  </si>
  <si>
    <t>Added note about prior publication in preprint policy</t>
  </si>
  <si>
    <t>https://epjc.epj.org/epjc-faq#preprintservers</t>
  </si>
  <si>
    <t>https://cdn.ymaws.com/www.afajof.org/resource/resmgr/files/Submission_docs/JF_Submission_Guidelines-Feb.pdf</t>
  </si>
  <si>
    <t>https://els-jbs-prod-cdn.literatumonline.com/pb/assets/raw/Lancet/authors/tl-info-for-authors-1541596038107.pdf, https://www.thelancet.com/preprints</t>
  </si>
  <si>
    <t>https://els-jbs-prod-cdn.literatumonline.com/pb/assets/raw/Lancet/authors/tlo-info-for-authors-1553790033677.pdf, https://www.thelancet.com/preprints</t>
  </si>
  <si>
    <t>https://www.nejm.org/about-nejm/editorial-policies</t>
  </si>
  <si>
    <t>Other (references prior publication, but not preprints specifically; "in any case this will be decided on a case-by-case basis")</t>
  </si>
  <si>
    <t>1754-5706</t>
  </si>
  <si>
    <t>http://www.rsc.org/journals-books-databases/journal-authors-reviewers/processes-policies/#submissions</t>
  </si>
  <si>
    <t>https://academic.oup.com/journals/pages/access_purchase/rights_and_permissions/self_archiving_policy_f, https://academic.oup.com/rfs/pages/Instructions_To_Authors</t>
  </si>
  <si>
    <t>http://www.rsc.org/journals-books-databases/journal-authors-reviewers/licences-copyright-permissions/</t>
  </si>
  <si>
    <t>Version of record after a 12-month embargo period</t>
  </si>
  <si>
    <t>Institutional and other not-for-profit repositories</t>
  </si>
  <si>
    <t>Preprint</t>
  </si>
  <si>
    <t>Energy &amp; Environmental Science offers rather comprehensive, easily accessible information on its peer review process and pre-print policies (which are rather restrictive). The peer review process is not completely clear, however. It can only be characterized as single blinded with certainty.</t>
  </si>
  <si>
    <t>50 mins</t>
  </si>
  <si>
    <t>Suggest for transfer policy: https://www.rsc.org/journals-books-databases/journal-authors-reviewers/processes-policies/#transfers</t>
  </si>
  <si>
    <t>http://examplejournal.com/preprint, http://examplejournal.com/mediacoverage</t>
  </si>
  <si>
    <t>Unsure (preprints are allowed, but it's not clear what version) - accepted version can be posted to arXiv &amp; RePEc</t>
  </si>
  <si>
    <t>After peer review (but not final version): "BMJ does not recommend that Author Accepted Manuscripts are placed on preprint servers."</t>
  </si>
  <si>
    <t>Unsure (preprints are allowed, but not sure what version)</t>
  </si>
  <si>
    <t>Any except for the final published article (IEEE must be listed as copyright holder for classroom use/use in own dissertation)</t>
  </si>
  <si>
    <t>Definitely appears single blind</t>
  </si>
  <si>
    <t>None (preprints are not allowed)</t>
  </si>
  <si>
    <t>First submission only (before peer review) [unless you wait 12 months for the embargo to clear for the accepted version]</t>
  </si>
  <si>
    <t>Unclear</t>
  </si>
  <si>
    <t>Changed preprint policy link page (previous entries focused on VOR)</t>
  </si>
  <si>
    <t>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t>
  </si>
  <si>
    <t>Unsure (preprints are allowed, but it's not clear what version</t>
  </si>
  <si>
    <t>First submission only</t>
  </si>
  <si>
    <t>Any (OA) or After peer review (non-OA)</t>
  </si>
  <si>
    <t>None "All submitted manuscripts must be; (i) original, (ii) unpublished (including any
 online publication), "</t>
  </si>
  <si>
    <t>No preprint policy
None (preprints not allowed)
First submission only (before peer review)
After peer review (but not final, copyedited version)
Any
Unsure (preprints are allowed, but it's not clear what version)
Other</t>
  </si>
  <si>
    <t>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</si>
  <si>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t>
  </si>
  <si>
    <t>0013-936X</t>
  </si>
  <si>
    <t>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</si>
  <si>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Servers should enable green open access (minimum)</t>
  </si>
  <si>
    <t>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t>
  </si>
  <si>
    <t>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t>
  </si>
  <si>
    <t>BMJ fully supports and encourages the archiving of preprints in any recognised, not-for-profit, preprint server, such as arXiv, bioRxiv or medRxiv.</t>
  </si>
  <si>
    <t>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t>
  </si>
  <si>
    <t>HEPATOLOGY will consider for review articles previously available as preprints on non-commercial servers such as ArXiv, bioRxiv, etc.</t>
  </si>
  <si>
    <t>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t>
  </si>
  <si>
    <t>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t>
  </si>
  <si>
    <t>The above definition does not consider an arXiv.org paper as a publication because it cannot be rejected. It also excludes university technical reports which are typically not peer reviewed.</t>
  </si>
  <si>
    <t>Authors may post their preprints in the following locations:
Author’s personal website
Author’s employer’s website
arXiv.org</t>
  </si>
  <si>
    <t>We will consider papers previously posted on preprint servers like arXiv, bioRxiv, BioRN, ChemRxiv, or ChemRN.</t>
  </si>
  <si>
    <t>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t>
  </si>
  <si>
    <t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t>
  </si>
  <si>
    <t>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t>
  </si>
  <si>
    <t>Only arXiv is explicitly stated (journal runs innovative submission where, in addition to traditional, authors can submit directly via arXiv).</t>
  </si>
  <si>
    <t>"Knowing that many researchers must make results publicly available quickly, APA Journals has designated PsyArXiv as the preferred preprint server for APA journals."</t>
  </si>
  <si>
    <t>Elsevier policy: "Authors can share their preprint anywhere at any time."</t>
  </si>
  <si>
    <t>"Recently AGU Publications, the Publications Committee, and the AGU Council amended the policy to allow posting of preprints and content by authors on “not-for-profit community preprint servers.” This specifically includes arxiv.org and related groups such as astro-ph.org and cond-mat.org. "</t>
  </si>
  <si>
    <t>ArXiv: "You will need to provide an arXiv article id. This is necessary as JHEP articles are funded by the SCOAP3 consortium and thus need to be categorised and published accordingly if accepted."</t>
  </si>
  <si>
    <t>"Yes, you can post your preprint, which is your own write up of your results and analysis, anywhere at any time.
 If you have posted your preprint on ArXiv, which is a non-commercial preprint server, you can also immediately update this version with your accepted manuscript."</t>
  </si>
  <si>
    <t>"Journal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t>
  </si>
  <si>
    <t xml:space="preserve">Insitutional repositories/not-for profit servers outside own institution </t>
  </si>
  <si>
    <t>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t>
  </si>
  <si>
    <t>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t>
  </si>
  <si>
    <t>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t>
  </si>
  <si>
    <t>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t>
  </si>
  <si>
    <t>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t>
  </si>
  <si>
    <t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t>
  </si>
  <si>
    <t>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t>
  </si>
  <si>
    <t>[Journal]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t>
  </si>
  <si>
    <t>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t>
  </si>
  <si>
    <t>E.g. bioRxiv</t>
  </si>
  <si>
    <t>Posting on Preprint Servers, such as arXiv or bioRxiv, is permitted.</t>
  </si>
  <si>
    <t>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t>
  </si>
  <si>
    <t>We do support posting of research papers on not-for-profit preprint servers such as arXiv.org and bioRxiv.org.</t>
  </si>
  <si>
    <t>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t>
  </si>
  <si>
    <t>Please note that preprints can be shared anywhere at any time, in line with Elsevier's sharing policy. Sharing your preprints e.g. on a preprint server will not count as prior publication (see 'Multiple, redundant or concurrent publication' for more information).</t>
  </si>
  <si>
    <t>"Submitted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t>
  </si>
  <si>
    <t>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t>
  </si>
  <si>
    <t>It is understood that work submitted to TQ has not been previously published or is not under consideration for publication elsewhere.</t>
  </si>
  <si>
    <t>For articles to be published in EPJ this explicitly includes the relevant preprint servers, in particular ArXiv (arxiv.org).</t>
  </si>
  <si>
    <t>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t>
  </si>
  <si>
    <t>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t>
  </si>
  <si>
    <t>Presentation of data at a scientific meeting, as a poster, abstract, orally, on a CD, or as an abstract on the web, or on a preprint server does not conflict with submission to the Lancet journals.</t>
  </si>
  <si>
    <t>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t>
  </si>
  <si>
    <t xml:space="preserve">Presentation of data at a scientific meeting, as a poster, abstract, orally, on a CD, or as an abstract on the web, or on a preprint server does not conflict with submission to the Lancet journals. </t>
  </si>
  <si>
    <t>own personal websites, institutional or non-commercial subject based repositories, commercial platforms websites or repositories, or social media</t>
  </si>
  <si>
    <t>Not allowed</t>
  </si>
  <si>
    <t>Preprints allowed in citation list?
If citations are only permitted to preprints that appear in certain servers, please select and describe in
"Other."</t>
  </si>
  <si>
    <t>Before submission/First submission only (before peer review)</t>
  </si>
  <si>
    <t>Personal Website/Non-commercial Websites</t>
  </si>
  <si>
    <t>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t>
  </si>
  <si>
    <t>Environmental Science &amp; Technology is published by ACS but provides detailed information on journal-specific policies. However, the website does not offer comprehensive information on the peer reviwe process. Manuscripts are sent out for review, but the modalities of the process are unclear (whether blinded or not, etc.). No guidelines for reviewers could be found on the website to resolve these issues, either.</t>
  </si>
  <si>
    <t>Yes, in the reference list
Yes, but only in the text (not the reference list)
No
Not specified
Unsure
Other</t>
  </si>
  <si>
    <t>Preprint info: 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 Failure to alert ES&amp;T in your cover letter to any prior publication of your submission may be viewed as an ethical violation. Upon publication in ES&amp;T, authors are advised to add a link from the pre-print to the published paper via the Digital Object Identifier.</t>
  </si>
  <si>
    <t>Rearranged preprint info to fit fields; added source for preprint citation policy</t>
  </si>
  <si>
    <t>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t>
  </si>
  <si>
    <t>Unsure - https://academic.oup.com/eurheartj/pages/General_Instructions#2.4</t>
  </si>
  <si>
    <t>Other: References should include only articles that are published or in press.</t>
  </si>
  <si>
    <t>Other ("Citations to papers on the arxiv.org are allowed when other sources are not available." This is the only reference I found to citation of preprints, but it might not be restricted to arxiv)</t>
  </si>
  <si>
    <t>Yes, but only in the text (not in the reference list)</t>
  </si>
  <si>
    <t>Yes, in the reference list (https://academic.oup.com/mnras/pages/General_Instructions#6.3%20References%20and%20citations)</t>
  </si>
  <si>
    <t>Yes, in the reference list (DOI should be provided)</t>
  </si>
  <si>
    <t>Yes, in the reference list.</t>
  </si>
  <si>
    <t>Yes, in the reference list (assumed)</t>
  </si>
  <si>
    <t>Yes, but only in the text (not the reference list) - Author instructions https://www.springer.com/philosophy/journal/11098</t>
  </si>
  <si>
    <t>Yes, in the reference list (Authors may cite unpublished work, such as e-prints, preprints, internal reports, or results that have been reported only orally at meetings (even though an abstract may have been published).) https://journals.aps.org/prb/authors/editorial-policies-practices</t>
  </si>
  <si>
    <t>Yes, in the reference list (Authors may cite unpublished work, such as e-prints, preprints, internal reports, or results that have been reported only orally at meetings (even though an abstract may have been published).) https://journals.aps.org/prd/authors/editorial-policies-practices</t>
  </si>
  <si>
    <t>Preprints may be cited in the reference list as below: Babichev, S.A., Ries, J. &amp; Lvovsky, A.I. Quantum scissors: teleportation of single-mode optical states by means of a nonlocal single photon. Preprint at http://arXiv.org/quant-ph/0208066 (2002).</t>
  </si>
  <si>
    <t>Unsure - http://ideas.cochrane.org/forums/326856-cochrane-style-manual/suggestions/18762079-referencing-preprints</t>
  </si>
  <si>
    <t>1522-9645</t>
  </si>
  <si>
    <t>Preprint media coverage policy
What type of coverage about preprints is permitted? (eg blog posts, social media, news outlets, etc).
Paste the policy here.</t>
  </si>
  <si>
    <t>Author's Original Version, Accepted Manuscript (personal or non-commercial institutional website only, provided the manuscript is not made publicly available until after the embargo period); after the embargo period accepted manuscripts may be uploaded to author's institutional/non-commercial repositories and may not be uploaded to commercial repositories unless these have a licensing agreement with OUP</t>
  </si>
  <si>
    <t>non-commercial/institutional repositories and personal websites are eligible, plus commercial repositories that signed an OUP licensing agreement</t>
  </si>
  <si>
    <t>The European Heart Journal is not very specific when it comes to detailing the peer review process. Since it is published by OUP, at least the pre-print policies are made explicit in hyperlinked documents.</t>
  </si>
  <si>
    <t>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t>
  </si>
  <si>
    <t>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t>
  </si>
  <si>
    <t>Preprints are preliminary reports of work that have not been peer reviewed. They should therefore not be used to guide clinical practice, health-related behavior or health policy. They should not be reported in the media as established information.</t>
  </si>
  <si>
    <t>"All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t>
  </si>
  <si>
    <t>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t>
  </si>
  <si>
    <t>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t>
  </si>
  <si>
    <t>Transfer policy link: https://academic.oup.com/eurheartj/pages/General_Instructions#4.1</t>
  </si>
  <si>
    <t>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t>
  </si>
  <si>
    <t>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t>
  </si>
  <si>
    <t>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t>
  </si>
  <si>
    <t>Changed preprint policy to first submission only, citation policy to unsure</t>
  </si>
  <si>
    <t>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t>
  </si>
  <si>
    <t>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t>
  </si>
  <si>
    <t>our prepublication publicity policies with regard to coverage in the broader media still apply to studies posted on preprint servers.</t>
  </si>
  <si>
    <t>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t>
  </si>
  <si>
    <t>Manuscripts posted at a preprint server should not be discussed with the media prior to publication. Please contact the editors with questions regarding allowable postings to other servers.</t>
  </si>
  <si>
    <t>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t>
  </si>
  <si>
    <t>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t>
  </si>
  <si>
    <t>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t>
  </si>
  <si>
    <t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t>
  </si>
  <si>
    <t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t>
  </si>
  <si>
    <t xml:space="preserve">As such, we ask that authors and their institutions refrain from actively seeking media attention for articles that have been submitted to The Lancet Oncology or that are available as a preprint. </t>
  </si>
  <si>
    <t xml:space="preserve">Preprint licensing policy
What licenses (CC BY, etc) are permitted for preprints? </t>
  </si>
  <si>
    <t>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t>
  </si>
  <si>
    <t>Once an article is accepted, it must be removed from all commercial servers and IEEE must be listed as copyright holder.</t>
  </si>
  <si>
    <t>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t>
  </si>
  <si>
    <t>CC0 and CC-BY are supported by PsyArXiv, so presumably these licenses are ok</t>
  </si>
  <si>
    <t>[https://www.pnas.org/content/96/8/4215] We have never refused to consider a manuscript based on the license that an author has chosen for its preprint, options for which include Creative Commons (CC) licenses.</t>
  </si>
  <si>
    <t>Scoop protection policy
"Scoop protection" refers to policies about whether submitted preprint will be rejected if a competing
work comes out in another journal after the date of preprinting.</t>
  </si>
  <si>
    <t>0302-2838</t>
  </si>
  <si>
    <t>[https://www.pnas.org/content/96/8/4215]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t>
  </si>
  <si>
    <t>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t>
  </si>
  <si>
    <t>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t>
  </si>
  <si>
    <t>"PLOS encourages editors to consider comments and feedback available on the preprint record to inform their editorial decision, and where relevant, editors may incorporate those comments in their editorial feedback to authors."</t>
  </si>
  <si>
    <t>For data validation</t>
  </si>
  <si>
    <t>Type of peer review</t>
  </si>
  <si>
    <t>The European Urology journal is published by Elsevier, so presumably many of Elsevier's general policies apply. However, the general information documents by Elsevier are not accessible (mostly) via the EU journal. Consequently, no information is provided on their peer review or pre-print policies, for instance.</t>
  </si>
  <si>
    <t>Standard questions</t>
  </si>
  <si>
    <t>OPR characteristics</t>
  </si>
  <si>
    <t>Preprint citation</t>
  </si>
  <si>
    <t>Version that can be posted</t>
  </si>
  <si>
    <t>Attributes</t>
  </si>
  <si>
    <t>Have date</t>
  </si>
  <si>
    <t>Have DOI</t>
  </si>
  <si>
    <t>Free to read (not paywalled)</t>
  </si>
  <si>
    <t>Under a Creative Commons License</t>
  </si>
  <si>
    <t>Deposited into PubMed Central</t>
  </si>
  <si>
    <t>0016-5085</t>
  </si>
  <si>
    <t>After peer review; accepted manuscripts will be indexed on PubMed soon after acceptance. Within three to five business days, they will be uploaded to Gastroenterology online (http://www.gastrojournal.org/) under "Articles in Press" for preprint viewing by subscribers. Once authors have had the opportunity to review proofs of their manuscripts, these author-corrected proofs will replace the uncorrected proofs, followed by the final articles on PubMed.</t>
  </si>
  <si>
    <t>There is a press embargo for all studies published in Gastroenterology until they are posted online in our Articles in Press section. Please forward your acceptance email to your institution press officer for promotional consideration. We ask that your PR contacts share promotion plans and/or address any questions to media@gastro.org. Please see our embargo policy athttp://www.gastrojournal.org/content/embargo for more details.</t>
  </si>
  <si>
    <t>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t>
  </si>
  <si>
    <t>preprint-version: (This is a different use of the term preprint, what we would call postprint. I'd replace this with "No preprint policy" because of sentences like this: "The publication of abstracts or posters is not considered duplicate publication but should be disclosed in the cover letter accompanying the manuscript submission." )</t>
  </si>
  <si>
    <t>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 Preprint-version: (Put "No preprint policy" because of sentences like this: "The publication of abstracts or posters is not considered duplicate publication but should be disclosed in the cover letter accompanying the manuscript submission." )</t>
  </si>
  <si>
    <t>1552-3977</t>
  </si>
  <si>
    <t>The journal does not employ a specific co-reviewing policy</t>
  </si>
  <si>
    <t>CC-BY-NC</t>
  </si>
  <si>
    <t>Gender &amp; Society is published by SAGE, but as with journal versus publisher policies generally, it is not clear which rules specified by SAGE apply to this particular journal. E.g. Concerning preprint policies, the SAGE website offers author information that is linked in a circular way to preprint policies (i.e. the preprint policy page refers to the author guidelines and vice versa).</t>
  </si>
  <si>
    <t>I can't find where the CC BY-NC preprint licensing policy is? Suggest removing if there is no link</t>
  </si>
  <si>
    <t>1944-8007</t>
  </si>
  <si>
    <t>After peer review</t>
  </si>
  <si>
    <t>GRL is an invitation-only journal, meaning that potential authors may submit plans for contributions which will then be evauluated by the editors. In light of this, it still seems to be fairly explicit concerning its peer review policies, at least as far as preprints and licensing is concerned.</t>
  </si>
  <si>
    <t>0959-3780</t>
  </si>
  <si>
    <t>Authors transfer copyright to the publisher as part of a journal publishing agreement, but have the right to: Share their article for Personal Use, Internal Institutional Use and Scholarly Sharing purposes, with a DOI link to the version of record on ScienceDirect (and with the Creative Commons CC-BY-NC- ND license for author manuscript versions). Retain patent, trademark and other intellectual property rights (including research data). Proper attribution and credit for the published work.</t>
  </si>
  <si>
    <t>GEC is an Elsevier journal, but provides hardly any links to Elsevier's "usual" policies concerning peer review and pre-prints. The peer-review process is described in some detail, though.</t>
  </si>
  <si>
    <t>Changed nos to not specified, changed preprint policy to more appropriate link, changed preprint version, and license</t>
  </si>
  <si>
    <t>0740-624X</t>
  </si>
  <si>
    <t>https://www.elsevier.com/journals/government-information-quarterly/0740-624x/guide-for-authors#16000</t>
  </si>
  <si>
    <t>Authors can share their preprint anywhere at any time … Authors can update their preprints on arXiv or RePEc with their accepted manuscript</t>
  </si>
  <si>
    <t>No specifictions except "Authors can share their accepted manuscript… by updating a preprint in arXiv or RePEc with the accepted manuscript" But, then must "bear a CC-BY-NC-ND license"</t>
  </si>
  <si>
    <t>Startlingly little information about peer review - only a note that invited papers, just like other submissions, will be subject to double blind review. No other information on peer review policy.</t>
  </si>
  <si>
    <t>35 mins</t>
  </si>
  <si>
    <t>Journal does not appear to provide any information about the peer review process</t>
  </si>
  <si>
    <t>Changed peer review policy url; copied reviewer instructions from other Elsevier record</t>
  </si>
  <si>
    <t>1468-3288</t>
  </si>
  <si>
    <t>With the exception of BMJ Open (see below) and BMJ Open Science, journals from BMJ do not publish peer reviews. Depending on a journal’s editorial policy, you may be offered the opportunity to make additional confidential comments to the editor. Unless the reviewer has been offered confidentiality, reviews will usually be passed on in full to authors and other reviewers when an editorial decision is made. Reviews should be civil and constructive and editors reserve the right to edit or remove any comments felt to be inappropriate</t>
  </si>
  <si>
    <t>Version Of Record</t>
  </si>
  <si>
    <t>Any, but authors must retain copyright of their work when posting to a preprint server. Authors must include a link to the preprint version of their manuscript when submitting to a BMJ journal.</t>
  </si>
  <si>
    <t>The editors of Gut seem to have given the matter of peer review as well as preprints a lot of thought, given the extent to which these issues are treated on the website. The relevant information is also relatively easy to find, most of it is stored in one place.</t>
  </si>
  <si>
    <t>30mins</t>
  </si>
  <si>
    <t>Co-reviewers are specified in https://authors.bmj.com/policies/peer-review-terms-and-conditions/ as such: 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t>
  </si>
  <si>
    <t>Changed preprint version and license</t>
  </si>
  <si>
    <t>1544-5208</t>
  </si>
  <si>
    <t>The wish to include co-reviewers needs to be discussed with the editor(s).</t>
  </si>
  <si>
    <t>https://www.healthaffairs.org/help-for-authors#embargopolicy</t>
  </si>
  <si>
    <t>Authors are requested not to share their findings with any members of the media when an article is being considered for publication, up until the time that the article is either rejected or published (not simply accepted for publication). If an author's organization is planning a press release or other media strategy, these activities should be coordinated with the Health Affairs staff.</t>
  </si>
  <si>
    <t>All papers are embargoed for release until a specified date. No story may be released to the public until 12:01 a.m. on the embargo date (this means that news stories may be printed, aired, or released electronically in that day's morning editions).</t>
  </si>
  <si>
    <t>Not specified; however, given the embargo period there is no need for scoop protection</t>
  </si>
  <si>
    <t>Health Affairs has little information regarding the peer review process (it seems to be unblinded, and authors are given the option to block/suggest reviewers). The same goes for preprint policies which seem to be non-existent.</t>
  </si>
  <si>
    <t>35mins</t>
  </si>
  <si>
    <t>Suggest form of peer review (i.e. blinded) unknown; suggests may be single-blind</t>
  </si>
  <si>
    <t>Changed to double blind review, removed irrelevant urls for review form &amp; transfer. Reviewers see each others' comments but don't interact, changed preprint  url &amp; policies</t>
  </si>
  <si>
    <t>1527-3350</t>
  </si>
  <si>
    <t>Double blind (anonymous PR)</t>
  </si>
  <si>
    <t>Submitted Version</t>
  </si>
  <si>
    <t>Non-commercial such as arXiv/BioArXiv</t>
  </si>
  <si>
    <t>Hepatology offers some information on peer review (anonymous) and preprints (can be uploaded to non-commercial servers. However, like many of the journals reviewed here, the policies do not seem to follow a common rationale (i.e. informing authors about these issues was clearly not a priority).</t>
  </si>
  <si>
    <t>20mins</t>
  </si>
  <si>
    <t>Unsure (says only "The Journal uses anonymous peer review in evaluating manuscripts for publication." - which could mean single- or double-blind)</t>
  </si>
  <si>
    <t>Yes (https://authorservices.wiley.com/Reviewers/journal-reviewers/recognition-for-reviewers/index.html)</t>
  </si>
  <si>
    <t>0163-6804</t>
  </si>
  <si>
    <t>https://www.comsoc.org/publications/magazines/ieee-communications-magazine/author-guidelines/manuscript-publishing</t>
  </si>
  <si>
    <t>IEEE Communications features surprisingly little information on PRand preprint policies. It is very hard to determine whether e.g. it is allowed to publish a preprint version of a manuscript and if so, which.</t>
  </si>
  <si>
    <t>15mins</t>
  </si>
  <si>
    <t>No clear statement on the PR model for the journal - just a general statement for all IEEE journals "The most common types of peer review are single-blind and double-blind review.... Most IEEE publications use the single-blind review format." https://journals.ieeeauthorcenter.ieee.org/submit-article-for-peer-review/about-the-peer-review-process/; Deep information on preprints was pretty hard to find, referring to a very long, very technical document that applies to all IEEE publications ("ops manual: https://pspb.ieee.org/images/files/files/opsmanual.pdf")</t>
  </si>
  <si>
    <t>Migrated text from "preprints in citations list" to "acceptable characteristics of servers"</t>
  </si>
  <si>
    <t>1553-877X</t>
  </si>
  <si>
    <t>Engineering &amp; Computer Science</t>
  </si>
  <si>
    <t>Only ISBN available, counts as a book</t>
  </si>
  <si>
    <t>This seems to be a recurring event, not a journal.</t>
  </si>
  <si>
    <t>2mins</t>
  </si>
  <si>
    <t>This is a conference, so the review policy is listed on the conf website (updated each year)</t>
  </si>
  <si>
    <t>Added coreview policies; preprint citation policy seems to be specifically for calling attention to duplicate/highly related work during submission process?</t>
  </si>
  <si>
    <t>2380-7504</t>
  </si>
  <si>
    <t>Found the review information for this conference</t>
  </si>
  <si>
    <t>Conf proceedings for annual event - information taken from conf website - unsure how often this info changes year to year.</t>
  </si>
  <si>
    <t>0018-9286</t>
  </si>
  <si>
    <t>arXiv.org; personal website; institutional website</t>
  </si>
  <si>
    <t>The journal is published by IEEE as well but the guidelines seem to be much more comprehensive than those of other IEEE Communications reviewed here.</t>
  </si>
  <si>
    <t>0278-0046</t>
  </si>
  <si>
    <t>5 mins</t>
  </si>
  <si>
    <t>0162-8828</t>
  </si>
  <si>
    <t>0885-8993</t>
  </si>
  <si>
    <t>No information on journal-specific sites: https://www.ieee-pels.org/images/files/governing_documents/Publications/New-Guidelines-for-Manuscript-Submission-to-IEEE-TPEL.pdf or https://www.ieee-pels.org/publications/ieee-transactions-on-power-electronics. Expanding on conference papers is described (https://ieeeauthorcenter.ieee.org/publishing-ethics/publish-original-research/) but nothing about preprints. IEEE journal generic expectations for peer review found at https://ieeeauthorcenter.ieee.org/peer-review-at-ieee/become-an-ieee-reviewer/ and preprint policy is also generic</t>
  </si>
  <si>
    <t>1053-587X</t>
  </si>
  <si>
    <t>No information on journal-specific sites: https://signalprocessingsociety.org/publications-resources/information-authors. Expanding on conference papers is described (https://ieeeauthorcenter.ieee.org/publishing-ethics/publish-original-research/) but nothing about preprints. IEEE journal generic expectations for peer review found at https://ieeeauthorcenter.ieee.org/peer-review-at-ieee/become-an-ieee-reviewer/ and preprint policy is also generic</t>
  </si>
  <si>
    <t>1074-7613</t>
  </si>
  <si>
    <t>Only the original submission (before review)not final, copyedited version</t>
  </si>
  <si>
    <t>arXiv, BioarXiv, BioRN, ChemarXiv, ChemRN</t>
  </si>
  <si>
    <t>Immunity is published by Elsevier, but it features separate guidelines which apply to cell press journals. The information given is more or less complete; however, providing information about co-reviewing and peer review transfer does not seem to have been an issue.</t>
  </si>
  <si>
    <t>&amp; include https://www.cell.com/immunity/articletransfer ?</t>
  </si>
  <si>
    <t>irst submission only (before peer review)</t>
  </si>
  <si>
    <t>Media coverage policy (which also applies to preprints) https://www.cell.com/immunity/authors?code=cell-site#prepub</t>
  </si>
  <si>
    <t>1932-8036</t>
  </si>
  <si>
    <t>None; articles are archived by the University of Southern California</t>
  </si>
  <si>
    <t>The International Journal of Communication does not offer any information on PR or preprints on its website, so it's very hard to tell what their policies are.</t>
  </si>
  <si>
    <t>No information about peer review or preprints found at https://ijoc.org/index.php/ijoc/about/editorialPolicies or https://ijoc.org/index.php/ijoc/information/authors</t>
  </si>
  <si>
    <t>0925-5273</t>
  </si>
  <si>
    <t>The International Journal of Production Economics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t>
  </si>
  <si>
    <t>1538-3598</t>
  </si>
  <si>
    <t>Not specified; the editors' primary consideration is not the protection of author rights but whether the novelty of a submitted manuscript might have been compromised through earlier publication</t>
  </si>
  <si>
    <t>When going through the JAMA Network's preprint policy it is evident that the policy is tailored to a very specific epistemic and publishing culture of presenting path-breaking work at upcoming conferences while simultanoeusly submitting said work to journals. This might explain why the JAMA editors assign priority to this form of pre-publication publicity (i.e. why there is even a policy for that).</t>
  </si>
  <si>
    <t>0091-6749</t>
  </si>
  <si>
    <t>Accepted manuscripts can be shared via non-commercial repositories; preprints on arXiv or RePec may be updated with the accepted version; preprints can be shared via authors' institutional repositories for internal use only; after the embargo period preprints may be shared with commercial websites which signed an agreement with Elsevier</t>
  </si>
  <si>
    <t>The Journal of Allergy and Clinical Immunology is published by Elsevier, but offers unique guidelines on peer review policies and preprint policies. However, the exact peer review process is nowhere specified, so it is difficult for prospective authors to assess.</t>
  </si>
  <si>
    <t>https://www.jacionline.org/article/S0091-6749(05)02623-0/fulltext</t>
  </si>
  <si>
    <t>0378-4266</t>
  </si>
  <si>
    <t>The Journal of Banking and Finance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t>
  </si>
  <si>
    <t>I've replaced the preprint url with Elsevier's general policy, but cannot find anythign specific for this journal.</t>
  </si>
  <si>
    <t>1573-0697</t>
  </si>
  <si>
    <t>Business, Economics &amp; Management,
Social Sciences</t>
  </si>
  <si>
    <t>The Journal of Business Ethics is published by SpringerNature, and offers a rather comprehensive list of policies. However, the peer review process is not described in great detail (one only learns that the journal employs a double blind peer review), and their pre-print policy is non-existent.</t>
  </si>
  <si>
    <t>Not specified?</t>
  </si>
  <si>
    <t>0148-2963</t>
  </si>
  <si>
    <t>The JoBR is an Elsevier journal, so most of Elsevier's policies apply. However, these policies (the documents describing them) are not easy to locate on the journal's website. Links are provided to Elsevier's standard documents, though, but it is not always clear which general provisions apply in this specific case.</t>
  </si>
  <si>
    <t>Yes? (Reviewer recognition platform)</t>
  </si>
  <si>
    <t>Above info is for accepted manuscripts, not preprints.</t>
  </si>
  <si>
    <t>0959-6526</t>
  </si>
  <si>
    <t>The journal of cleaner production is published by Elsevier, so many of their general policies apply. As you go through many Elsevier journals, it becomes easier to locate and understand their policies which frequently overlap.</t>
  </si>
  <si>
    <t>Yes, Reviewer recognition platform??</t>
  </si>
  <si>
    <t>Not Specified?</t>
  </si>
  <si>
    <t>1527-7755</t>
  </si>
  <si>
    <t>The journal details its review process, but it is very difficult to locate the information. No information on co-reviewing and/or open peer review is provided (which is taken to mean that these are not a priority for the editors).</t>
  </si>
  <si>
    <t>Not specified ??</t>
  </si>
  <si>
    <t>Their preprint policy states that they allow preprints but only if they are substantially different to the version submitted to the journal. They also mention in two separate places on the same page that work must be original and not made available elsewhere!! Hmmm...</t>
  </si>
  <si>
    <t>The journal details its review process, but it is very difficult to locate the information. No information on co-reviewing and/or open peer review is provided (which is taken to mean that these are not a priority for the editors). Their preprint policy states that they allow preprints but only if they are substantially different to the version submitted to the journal. They also mention in two separate places on the same page that work must be original and not made available elsewhere!! Hmmm...</t>
  </si>
  <si>
    <t>1460-2466</t>
  </si>
  <si>
    <t>https://onlinelibrary.wiley.com/page/journal/14602466/homepage/forauthors.html</t>
  </si>
  <si>
    <t>A number of Wiley Open Access journals participate in a Manuscript Transfer Program. After review in a supporting journal, rejected articles of suitable quality can be identified by the Editor as candidates for publication in a Wiley Open Access journal. Authors will have the option to automatically transfer their manuscript to the Wiley Open Access journal and complete the submission process. The Wiley Open Access journal will then undertake further editorial evaluation. Importantly, authors will not need to make any changes to their manuscript at this stage. Authors should note that referees' comments are transferred to the editor of the Wiley Open Access journal along with the manuscript. The journal editors will take the previous reviews into account when making their decision, although in some cases the editors may choose to take advice from additional referees.</t>
  </si>
  <si>
    <t>https://authorservices.wiley.com/open-science/open-access/about-wiley-open-access/manuscript-transfer-program.html</t>
  </si>
  <si>
    <t>The Journal of Communication website includes information on peer review that is fairly easily accessible. The peer review process is described not for that particular journal, but for the publisher (Wiley) as a whole.</t>
  </si>
  <si>
    <t>institutional or non-commercial subject based repositories, commercial platforms websites or repositories</t>
  </si>
  <si>
    <t>Note as journal no longer with Wiley, cannot assume the journal still follows that model. The information on preprints is under the section on self-archiving https://academic.oup.com/journals/pages/access_purchase/rights_and_permissions/self_archiving_policy_f</t>
  </si>
  <si>
    <t>Having trouble finding info about "Nos" in OPR - TRH, changed to not spec'd</t>
  </si>
  <si>
    <t>1475-7516</t>
  </si>
  <si>
    <t>International School for Advanced Studies and IOP Publishing</t>
  </si>
  <si>
    <t>None of our journals conduct any form of open peer review (in which the identity of the reviewer is revealed, the peer review contents are made publicly available or anyone interested in reviewing the article can do so post-publication).</t>
  </si>
  <si>
    <t>ArXiv</t>
  </si>
  <si>
    <t>Single blind: note "Editors and referees operate anonymously, but they can reveal their identity to the author if they so wish." found here: http://iopscience.iop.org/journal/1475-7516/page/Editorial%20Information. For F12, it's not clear whether they deposit their reviewin activity into ORCID and Publons or whether they are just saying these services are free and available: "Track all your reviewing activity through free services like ORCID and Publons" at same weblink as above, under Benefits for reviewing for IOP journals. F30: As manuscripts must be deposited in ArXiv before submission to the journal, and revsed (after acceptance) manuscripts can be sent to the journl via ArXiv, it appears any version can be deposited on ArXiv: "
 Revised versions can be submitted only if requested by the editor, contributions must therefore be originally submitted in their final form.
 Once accepted, revised preprints will be labelled as "revised"...The revised preprints must be uploaded from the preprint page by clicking "submit revision" or "submit minor revision". You can make your resubmission using the submission via the arXiv or by web upload."</t>
  </si>
  <si>
    <t>60 mins</t>
  </si>
  <si>
    <t>Added reference for statement about no OPR at IOP journals, and link for coreviewing policy, and note about preprint requirement</t>
  </si>
  <si>
    <t>"It is required to provide an ArXiv id to submit an article to the journal." - https://jcap.sissa.it/jcap/help/helpLoader.jsp?pgType=flow#general</t>
  </si>
  <si>
    <t>1944-7965</t>
  </si>
  <si>
    <t>See notes for G8</t>
  </si>
  <si>
    <t>G8: This journal does not appear to send out mansucripts for review. Instead the editors/managing editors provide feedback. Note, the majority of submissions are solicited by the editor. "This draft will receive detailed comments from the editors as well as a full set of suggested edits from JEP's Managing Editor. Articles may undergo more than one round of comment and revision prior to publication." From: https://www.aeaweb.org/journals/jep/submissions</t>
  </si>
  <si>
    <t>Minimal information available is available for this journal. Seems they invite proposals and commission full papers - the review process thereafter is a blackbox (perhaps editorial review?) . "Articles appearing in the journal are primarily solicited by the editors and associate editors... Historically, about 10-15 percent of the articles appearing in our pages originate as unsolicited proposals. We always prefer to receive a 2-5 page article proposal rather than a completed manuscript so that we can determine the suitability of an idea before the author makes a large time investment."</t>
  </si>
  <si>
    <t>Where is info about not allowing coreviewers? [Changed to unsure] Also changed preprint data to reflect no preprint policy (unsure whether they can be cited) [ok]</t>
  </si>
  <si>
    <t>1939-2176</t>
  </si>
  <si>
    <t>https://www.apa.org/pubs/journals/edu/?tab=4, https://www.apa.org/pubs/journals/reviewer-instructions.pdf</t>
  </si>
  <si>
    <t>Note: Doesn't having a double blind review process prevent posting on a preprint server like PsyArXiv? Isn't this a contradiction in their policies?</t>
  </si>
  <si>
    <t>&lt;I think the link above is a mistake, as this isnt an ELS journal?&gt;</t>
  </si>
  <si>
    <t>Yes!</t>
  </si>
  <si>
    <t>Label</t>
  </si>
  <si>
    <t>Search string</t>
  </si>
  <si>
    <t>All journals</t>
  </si>
  <si>
    <t>0304-405X</t>
  </si>
  <si>
    <t>Not*</t>
  </si>
  <si>
    <t>Doesn't state for "preprints" but Elsevier sharing policy does state that "In all cases accepted manuscripts should:...bear a CC-BY-NC-ND license" and as they allow posting of accepted mansucripts, this suggests a CC-BY-NC-ND license is required for that version.</t>
  </si>
  <si>
    <t>I12: Reviewers have a profile on Elsevier's Reviewer recognition platform. I'm not sure this counts as an open database. I30: note, it sounds like authors can post/share their VOR if they publish gold open access. I32: Not specified but does state: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</si>
  <si>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Preprints: "Preprints 
Please note that preprints can be shared anywhere at any time, in line with Elsevier's sharing policy. Sharing your preprints e.g. on a preprint server will not count as prior publication (see 'Multiple, redundant or concurrent publication' for more information)." in https://www.elsevier.com/journals/journal-of-financial-economics/0304-405x/guide-for-authors</t>
  </si>
  <si>
    <t>Single*</t>
  </si>
  <si>
    <t>2156-2202</t>
  </si>
  <si>
    <t>Double*</t>
  </si>
  <si>
    <t>Unsure*</t>
  </si>
  <si>
    <t>Other*</t>
  </si>
  <si>
    <t>NOTE: policies are from AGU publisher, not specific journal website). J30: Note, "AGU allows authors to post a draft their accepted manuscripts on Earth and Space Science Open Archive (ESSOAr) or another not-for-profit preprint server that is designed to facilitate community engagement and discovery across the sciences." J32: citation of preprints is unclear. It states "Every reference must be available publicly online or in print before a paper can be accepted. Thus “unpublished” or “in press” references are not allowed" so your guess is as good as mine.</t>
  </si>
  <si>
    <t>40 mins</t>
  </si>
  <si>
    <t>Does not appear to actually contain any information about the peer review process, rather discusses use of their online system. Links under peer review questions do not appear relevant.</t>
  </si>
  <si>
    <t>Total</t>
  </si>
  <si>
    <t>Sum of searches</t>
  </si>
  <si>
    <t>0168-8278</t>
  </si>
  <si>
    <t>European Association for the Study of the Liver (EASL), Elsevier</t>
  </si>
  <si>
    <t>Of interest for the peer review section: "Fast-track peer review offers a rapid peer review and publication of major original articles that are seen as important for public health. Authors who wish their articles to be considered for fast-track peer review should send the manuscript title and abstract along with a letter request to the journal office jhepatology@easloffice.eu."</t>
  </si>
  <si>
    <t>No details about review process in particular for journal but is part of Elsevier group, and so general Elsevier policies likely apply.</t>
  </si>
  <si>
    <t>1029-8479</t>
  </si>
  <si>
    <t>Unsure (preprits are allowed, but it's not clear what version)</t>
  </si>
  <si>
    <t>States that the work is "not subject to any
 copyright protection" as they publish under a CC-BY license</t>
  </si>
  <si>
    <t>Note, all submissions require an ArXiv ID, which is probably why they don't have a specific preprint policy (or I couldn’t find one) as it's implued that they accept preprints. Also, I couldn't find any reference to peer review except on their homepage: "Editors are in charge and take full responsibility for the peer-review of submissions. They can assess preprints themselves or send it to one or more referees and take the final decision on whether or not to publish them. JHEP has a large Editorial Board, in order to provide competent coverage for all the areas indicated by the keywords and thus avoid generic decisions or the inappropriate selection of referees." so I have put their homepage as the peer review policy URL in L9.</t>
  </si>
  <si>
    <t>Does not appear to have peer review info, link supplied is not appropriate</t>
  </si>
  <si>
    <t>preprints are mentioned in terms of manuscript review perhaps simply as a term for the manuscript, but it is also closely linked with the arXiv. Appears that submission from preprint form is a standard here.</t>
  </si>
  <si>
    <t>Review process is single-blind on orignal peer review URL, added preprint link and changed preprint policies accordingly</t>
  </si>
  <si>
    <t>1557-1211</t>
  </si>
  <si>
    <t>Note: most of the info here is from the parent (SAGE) website as this is where the journal homepage linked to. Also, for M32: Journal's author guidelines suggests citation format for "working papers" so maybe this applies to preprints, though they are not specifically referred to.</t>
  </si>
  <si>
    <t>Note: most of the info here is from the parent (SAGE) website as this is where the journal homepage linked to. Also, re preprint citation - Journal's author guidelines suggests citation format for "working papers" so maybe this applies to preprints, though they are not specifically referred to.</t>
  </si>
  <si>
    <t>2050-7488</t>
  </si>
  <si>
    <t>No (inferred)</t>
  </si>
  <si>
    <t>"Through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t>
  </si>
  <si>
    <t>Most sources of info are from the RSC website</t>
  </si>
  <si>
    <t>Journal of Materials Chemistry A</t>
  </si>
  <si>
    <t>Preprints: citation style example at http://www.rsc.org/journals-books-databases/journal-authors-reviewers/prepare-your-article/#format-layout</t>
  </si>
  <si>
    <t>0378-2166</t>
  </si>
  <si>
    <t>CC BY-NC-ND</t>
  </si>
  <si>
    <t>O30: "You are always able to share the preprint version or a link to your article. For authors who have published their article open access under a commercial license (CC BY) you can also post your final article."</t>
  </si>
  <si>
    <t>No specific journal policy - should we trust the Elsevier parent policy, which does say that society &amp; double blind journals may have different policies?</t>
  </si>
  <si>
    <t>1520-5126</t>
  </si>
  <si>
    <t>"Journal of the American Chemical Society authors may deposit an initial draft of their manuscript in a
 preprint service such as ChemRxiv, bioRxiv, arXiv, or the applicable repository for their discipline before 
 14 | Page
 the manuscript is accepted for publication in JACS"</t>
  </si>
  <si>
    <t>P8: is based on "Reviewer identities are confidential, and the names of reviewers will not be
 revealed to an author." P30: May be ok to post accepted version too (Typeset version?): "There are many ways in which your Journal Publishing Agreement with the American Chemical Society enables you to share your published research with colleagues. Here are just a few:
 Deposit a copy of your accepted peer-reviewed manuscript to online repositories for non-commercial purposes;"</t>
  </si>
  <si>
    <t>https://pubs.acs.org/page/jacsat/submission/prior.html</t>
  </si>
  <si>
    <t>0735-1097</t>
  </si>
  <si>
    <t>None (preprints are not allowed) !!!</t>
  </si>
  <si>
    <t>NONE (preprints are not allowed) !!!</t>
  </si>
  <si>
    <t>Not specified, but will hazard a guess that the answer is "NO"</t>
  </si>
  <si>
    <t>Preprints are not allowed</t>
  </si>
  <si>
    <t>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t>
  </si>
  <si>
    <t xml:space="preserve">pr-policy: (there seems to be a new one every issue?!) http://www.onlinejacc.org/content/73/14/A18
</t>
  </si>
  <si>
    <t>opr-additional: "as a general rule, although there are exceptions, the reviewers are blinded to each other. " suggests reviewers may interact</t>
  </si>
  <si>
    <t>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 Interesting interactive model for PR on editorial side (editors make group decisions on manuscripts).</t>
  </si>
  <si>
    <t>1573-6601</t>
  </si>
  <si>
    <t>No preprint policy??</t>
  </si>
  <si>
    <t>Couldn't find any info about preprints</t>
  </si>
  <si>
    <t>1741-3001</t>
  </si>
  <si>
    <t>S8: very easy to find the peer review type. S30: SAGE policy</t>
  </si>
  <si>
    <t>1751-2786</t>
  </si>
  <si>
    <t>T8: general T&amp;F peer review policy. T24: here is the link for the text - not really a co-reviewer policy but might suggest it's ok with them at T&amp;F generally: "https://editorresources.taylorandfrancis.com/reviewer-guidelines/"</t>
  </si>
  <si>
    <t>coreviewer-policy: Replace with actual text: "Ask a senior colleague, who has plenty of experience of reviewing, whether you could work with them on a review. You could even ask the editor’s permission to take over leading on a review that they had assigned to your colleague."</t>
  </si>
  <si>
    <t>coreviewer-url: https://authorservices.taylorandfrancis.com/how-to-become-a-peer-reviewer/</t>
  </si>
  <si>
    <t>1461-670X</t>
  </si>
  <si>
    <t>U8: general T&amp;F peer review policy</t>
  </si>
  <si>
    <t>0264-8377</t>
  </si>
  <si>
    <t>V12: they have a Reviewer Recognition Platform that appears to be public. V32: "References concerning unpublished data, theses, and "personal communications" should not be
 cited in the reference list but may be mentioned in the text." They don't specifically state preprints, but maybe this covers them. For the section about OPR, the "No (inferred)" refer to the fact that the journal performs double blind review.</t>
  </si>
  <si>
    <t>(also online version at https://www.elsevier.com/journals/land-use-policy/0264-8377/guide-for-authors)</t>
  </si>
  <si>
    <t>posted manuscripts should link back to the final published article on ScienceDirect and should have a non-commercial user license attached (CC BY-NC-ND).</t>
  </si>
  <si>
    <t>1467-9922</t>
  </si>
  <si>
    <t>Single or double blind (unsure which)</t>
  </si>
  <si>
    <t>Language Learning is published by Wiley, but for the most part employs its own guidelines and procedures concerning peer review and preprints. Concerning the latter, no specifications are made on the website, however.</t>
  </si>
  <si>
    <t>(author choice of the above)</t>
  </si>
  <si>
    <t>https://onlinelibrary.wiley.com/page/journal/14679922/homepage/forauthors.html [states "The names of all reviewers consulted are printed in the journal annually."]</t>
  </si>
  <si>
    <t>Can't find cited text for peer review credit in info for authors</t>
  </si>
  <si>
    <t>0024-3841</t>
  </si>
  <si>
    <t>Lingua is published by Elsevier which means many of Elsevier's general policies regarding peer review and pre-prints apply. However, each Elsevier journal so far has employed a slightly different blinding process. In the case of Lingua, authors are expected to replace citations to their own work in the text simply by "Author" to ensure anonymity. As with other Elsevier journals, double-blind peer review means that no aspect of the peer review process is made public.</t>
  </si>
  <si>
    <t>Please note that preprints can be shared anywhere at any time, in line with Elsevier's sharing policy. [Authors can share their preprint anywhere at any time....Authors can update their preprints on arXiv or RePEc with their accepted manuscript.]</t>
  </si>
  <si>
    <t>Accepted manuscript version must be CC-BY-NC-ND</t>
  </si>
  <si>
    <t>In response to SH's comment re OPR: double blind review process but I don't know that this necessarily infers the review materials aren't open after the fact. I could not find explicit information about this online.</t>
  </si>
  <si>
    <t>2162-9730</t>
  </si>
  <si>
    <t>Management Information Systems Quarterly does not offer any information on its website regarding peer review/pre-print policies.</t>
  </si>
  <si>
    <t>No (double blind)</t>
  </si>
  <si>
    <t>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t>
  </si>
  <si>
    <t xml:space="preserve">Management Information Systems Quarterly does not offer any information on its website regarding peer review/pre-print policies. // 
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
</t>
  </si>
  <si>
    <t>1526-5501</t>
  </si>
  <si>
    <t>https://pubsonline.informs.org/page/mnsc/submission-guidelines#review</t>
  </si>
  <si>
    <t>The information found on the Management Science website is not very comprehensive in general. However, the review process is detailed, as is the procedure to blind reviewers.</t>
  </si>
  <si>
    <t>?</t>
  </si>
  <si>
    <t>NNo (double blind)</t>
  </si>
  <si>
    <t>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t>
  </si>
  <si>
    <t>The information found on the Management Science website is not very comprehensive in general. However, the review process is detailed, as is the procedure to blind reviewers. // 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t>
  </si>
  <si>
    <t>1460-3675</t>
  </si>
  <si>
    <t>First submission or accepted version, depending on the kind of preprint server (ninstitutional repository or non-commercial repository before or after a 12-month embargo period)</t>
  </si>
  <si>
    <t>Insitutional repositories/not-for profit servers outside own institution with/without 12-month-embargo period</t>
  </si>
  <si>
    <t>SAGE offers comprehensive author guidelines which are specified for the journal in question (in this case, Media, Communication &amp; Society). This information is spread out across a host of documents, which makes it somewhat difficult to retrieve. It's also not very specific about issues of open peer review, but SAGE's guidelines on preprints (prior publication) are comprehensive and fairly easily accessible.</t>
  </si>
  <si>
    <t>1097-2765</t>
  </si>
  <si>
    <t>Unsure (possibly not blinded)</t>
  </si>
  <si>
    <t>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t>
  </si>
  <si>
    <t>Unsure (doesn't state)</t>
  </si>
  <si>
    <t>I agree with the above though it doesn't specifically call out preprints: "References should include only articles that are published or in press.....Unpublished data, submitted manuscripts, abstracts, and personal communications should be cited within the text only and not included in the References list."</t>
  </si>
  <si>
    <t>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 Regarding preprint citation: although it doesn't specifically call out preprints: "References should include only articles that are published or in press.....Unpublished data, submitted manuscripts, abstracts, and personal communications should be cited within the text only and not included in the References list."</t>
  </si>
  <si>
    <t>1365-2966</t>
  </si>
  <si>
    <t>Unsure; Reviewers may choose whether to reveal their identity to the authors; Scientific Editors usually remain anonymous</t>
  </si>
  <si>
    <t>MNRAS is rather unclear with respect to their review process. In the first instance, it is referred to as "editor review", only to then indicate that editors do consult external reviewers. However, the nature of the peer review process remains unclear. The website does not clearly allow differentiation between the journal's policies and OUP's general regulations. There is no information on open peer review, and the information on prepint policies is difficult to locate (which might indicate that the editors of this journal have not given this a lot of thought).</t>
  </si>
  <si>
    <t>Single blind review; Reviewers may reveal identities if they so choose.</t>
  </si>
  <si>
    <t>Preprints can be cited in the references.</t>
  </si>
  <si>
    <t>Updated with journal-specific preprint policy and related records</t>
  </si>
  <si>
    <t>1530-6992</t>
  </si>
  <si>
    <t>Unsure; authors are asked to provide names of referees</t>
  </si>
  <si>
    <t>Upon publication in Nano Letters, authors are advised to add a link from the preprint to the published paper via the Digital Object Identifier (DOI). For further details, see Author Guidelines [PDF] or contact the Editorial Office.</t>
  </si>
  <si>
    <t>CC-BY and CC-BY-NC-ND for immediate or delayed open access (12-month embargo)</t>
  </si>
  <si>
    <t>Nano Letters is not very specific as to what happens to peer reviews (i.e. Whether the process is open). ACS provides fairly clear policies on peer review transfer and preprints, though, to which links can be found on the Nano Letters website.</t>
  </si>
  <si>
    <t>Added co-reviewer policy, Changed preprint policy</t>
  </si>
  <si>
    <t>No p*</t>
  </si>
  <si>
    <t>None*</t>
  </si>
  <si>
    <t>First*</t>
  </si>
  <si>
    <t>2040-3372</t>
  </si>
  <si>
    <t>Single blind (possibly double blind)</t>
  </si>
  <si>
    <t>After*</t>
  </si>
  <si>
    <t>Any*</t>
  </si>
  <si>
    <t>Un*</t>
  </si>
  <si>
    <t>Unsure, but the information given suggests not</t>
  </si>
  <si>
    <t>Non-commercial repositories</t>
  </si>
  <si>
    <t>Nanoscale offers comprehensive information on author and peer reviewer responsibilites. When it comes to preprints, the information offered is scarce(r), even though the editors explicitly encourage posting of preprints.</t>
  </si>
  <si>
    <t>For co-reviewing: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t>
  </si>
  <si>
    <t>Links to Publons</t>
  </si>
  <si>
    <t>Added transfer information, rearranged preprint info</t>
  </si>
  <si>
    <t>1476-4687</t>
  </si>
  <si>
    <t>Double blind; Nature offers reviewers the option to sign their reviews, however.</t>
  </si>
  <si>
    <t>The original submitted version of the manuscript (the version that has not undergone peer review) may be posted at any time. Authors should disclose details of preprint posting, including DOI, upon submission of the manuscript to a Nature Research journal. For subscription journals, the Author's Accepted Manuscript (author's accepted version of the manuscript) of the manuscript may only be posted 6 months after the paper is published, consistent with our self-archiving embargo (http://www.nature.com/authors/policies/license.html). Please note that the Author's Accepted Manuscript may not be released under a Creative Commons license. For Nature Research's Terms of Reuse of archived manuscripts please see: http://www.nature.com/authors/policies/license.html#terms. For subscription journals, the published PDF must not be posted on a preprint server or any other website. However, authors are encouraged to obtain a free SharedIt link of their paper, which can be posted online and allows read-only access. SharedIt links can be obtained by submitting the published article DOI at http://authors.springernature.com/share For open access content published under a Creative Commons license, the accepted version of the manuscript may be posted immediately following publication. Authors may post the final published version at publication as long as a publication reference and URL to the published version on the journal website are provided (http://www.nature.com/authors/policies/license.html)</t>
  </si>
  <si>
    <t>CC licenses not allowed for accepted manuscripts</t>
  </si>
  <si>
    <t>The Nature Research journals believe that their media embargo serves scientists, authors, journalists and the public. Our policy is to release information about our content in a way that provides fair and equal access to the media, allowing it to provide informed comment based on the complete and final version of the paper that is to be published. Authors and their institutions' press offices are able then to interact with the media ahead of publication, and benefit from the subsequent coverage. The benefits of peer review as a means of giving journalists confidence in new work published in journals are self-evident. Premature release to the media denies journalists that confidence. It also removes journalists' ability to obtain informed reactions about the work from independent researchers in the field.</t>
  </si>
  <si>
    <t>Nature offers a variety of journals, and some of them may feature special rules regarding PR and preprints. The information offered on Nature's general website is comprehensive and fairly easily accessible. Nature seems to be among the few journals in this study offering an explicit policy on e.g. preprint licensing.</t>
  </si>
  <si>
    <t>Single blind is standard (but authors can choose Double blind, and reviewers can sign their names if they wish)</t>
  </si>
  <si>
    <t>Leave blank</t>
  </si>
  <si>
    <t xml:space="preserve">No </t>
  </si>
  <si>
    <t>No restrictions noted</t>
  </si>
  <si>
    <t>1546-1696</t>
  </si>
  <si>
    <t>Assuming there was a copy-paste offset in  pr section (compare to nature above; have corrected in 2nd line to make compiling easier) - please check this &amp; your reviewed Nature records below</t>
  </si>
  <si>
    <t>1476-4679</t>
  </si>
  <si>
    <t>1755-4349</t>
  </si>
  <si>
    <t>1758-6798</t>
  </si>
  <si>
    <t>2041-1723</t>
  </si>
  <si>
    <t>https://www.nature.com/ncomms/journal-policies/editorial-process, https://www.nature.com/documents/ncomms-reviewer-information.pdf</t>
  </si>
  <si>
    <t>Yes?</t>
  </si>
  <si>
    <t>Nature comms is different to other Nature jrnls - missed this in the last round - now updated the 2nd row accordingly, but pls chk again</t>
  </si>
  <si>
    <t>1546-1718</t>
  </si>
  <si>
    <t>Health &amp; Medical Sciences,
Life Sciences &amp; Earth Sciences</t>
  </si>
  <si>
    <t>1529-2916</t>
  </si>
  <si>
    <t>1476-4660</t>
  </si>
  <si>
    <t>1546-170X</t>
  </si>
  <si>
    <t>SIngle blind, though for all Nature journals, they offer double blind option to the authors. Reviewers can decide to sign their reviews if they wish, but Nature's preference is that they don't.</t>
  </si>
  <si>
    <t>https://www.nature.com/authors/peer_review/index.html</t>
  </si>
  <si>
    <t>No (not specified) "We thank our referees for their continued commitment to our publication process and to help recognize this effort we provide each Nature referee with an official refereeing activity report. This can be found on the ‘Manuscript(s)’ tab of a referee’s ‘My Nature Research Account’ page, accessible through a link at the bottom of the author home page in the manuscript tracking system of any Nature journal."</t>
  </si>
  <si>
    <t>No "Reviewers should be aware that it is our policy to keep their names confidential and that we do our utmost to ensure this confidentiality."</t>
  </si>
  <si>
    <t xml:space="preserve">? </t>
  </si>
  <si>
    <t>1548-7105</t>
  </si>
  <si>
    <t>1748-3395</t>
  </si>
  <si>
    <t>1546-1726</t>
  </si>
  <si>
    <t>1749-4893</t>
  </si>
  <si>
    <t>Engineering &amp; Computer Science,
Physics &amp; Mathematics</t>
  </si>
  <si>
    <t>^^ &amp; https://www.nature.com/nphoton/for-authors/peer-review-and-publication</t>
  </si>
  <si>
    <t>Not form but structure: https://www.nature.com/nphoton/for-referees/how-to-write-a-report</t>
  </si>
  <si>
    <t>If the decision is negative, the author can choose to transfer their manuscript to another journal. If the manuscript was peer reviewed the referee comments are also transferred. Please see our Manuscript Transfer FAQ for more information about this service.</t>
  </si>
  <si>
    <t>https://www.nature.com/nphoton/for-authors/relationship &amp; https://www.nature.com/authors/author_resources/transfer_manuscripts.html</t>
  </si>
  <si>
    <t>Optional - mediated by editor not open</t>
  </si>
  <si>
    <t>^^ &amp; https://www.nature.com/nphoton/for-authors/preparing-your-submission &amp; https://www.nature.com/authors/policies/duplicate.html</t>
  </si>
  <si>
    <t>First submission only (before peer review) [AAM can also be posted 6 months after publication]</t>
  </si>
  <si>
    <t xml:space="preserve">recognized community preprint servers </t>
  </si>
  <si>
    <t>https://www.nature.com/authors/policies/embargo.html -- Researchers may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however that such coverage may reduce or pre-empt coverage by other media at the time of publication. We also advise that researchers approached by reporters in response to a preprint make it clear that the paper has not yet undergone peer review, that the findings are provisional and that the conclusions may change. Authors are expected to keep the details of the peer review and editorial process confidential.
We believe it important that the peer-reviewed and published version of a paper should be available when the work is discussed in the public media, allowing the press to provide informed comment based on this version. For that reason, we strongly discourage the direct soliciting of media coverage to appear ahead of publication of the final version of a paper.</t>
  </si>
  <si>
    <t>Not specified for first version; the AAM cannot be posted under a CC license</t>
  </si>
  <si>
    <t>Combination of general and specific journal policies used-- actually quite confusing to work out which journal does what based on general info and specific pages,</t>
  </si>
  <si>
    <t>1745-2481</t>
  </si>
  <si>
    <t>If a reviewer wishes to seek advice from colleagues while assessing a manuscript, the reviewer must consult with the editor and should ensure that confidentiality is maintained and that the names of any such colleagues are provided to the journal with the final report.</t>
  </si>
  <si>
    <t>First submission anytime, after submission only after a 6-month embargo period; papers published in subscription journals may not be posted on pre-print servers</t>
  </si>
  <si>
    <t>Nature Research journals support posting of primary research manuscripts on preprint servers and open communications between researchers whether on a recognised community preprint server or preprint commenting platforms. Preprint posting is not considered prior publication and will not jeopardize consideration at Nature Research journals.</t>
  </si>
  <si>
    <t>Nature Physics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</si>
  <si>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30 min</t>
  </si>
  <si>
    <t>^^ &amp; https://www.nature.com/nphys/for-referees/policies-and-processes</t>
  </si>
  <si>
    <t>Not form but structure: https://www.nature.com/nphys/for-referees/how-to-write-a-report</t>
  </si>
  <si>
    <t>https://www.nature.com/nphys/for-authors/preprint-servers &amp; https://www.nature.com/authors/policies/preprints.html</t>
  </si>
  <si>
    <t>Nature Physics supports the posting of submitted manuscripts on community preprint servers such as arXiv and bioRxiv</t>
  </si>
  <si>
    <t>1474-1768</t>
  </si>
  <si>
    <t>Nature Reviews Cancer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</si>
  <si>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Unsure [Single blind, inferred]</t>
  </si>
  <si>
    <t>Generic policies are for Nature Research journals, unable to find any preprint policy or more detailed peer review policy for Nature Reviews, only this guide: http://images.nature.com/full/nature-assets/reviews/pdf/naturereviews.pdf</t>
  </si>
  <si>
    <t>1471-0064</t>
  </si>
  <si>
    <t>Nature Reviews Genetics offers a very comprehensive peer review policy (like all other Nature journals scrutinized here)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</si>
  <si>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1474-1733</t>
  </si>
  <si>
    <t>Yes*</t>
  </si>
  <si>
    <t>pr-type: Double blind
pr-url: https://www.nature.com/nri/for-referees (Note: General Nature peer review policy currently linked says "The peer-review policies of the Nature Reviews journals can be found on their websites.")
coreview-policy: It is acceptable to consult with laboratory colleagues, but please identify them to the editors.
coreview-url: https://www.nature.com/nri/for-referees
pr-transfer-policy: I can't find this text in the link provided
All opr fields should be UNCLEAR
preprint-url: This link is about "primary research manuscripts" which the content of the Reviews journals are not. Preprints are not mentioned in the guide to authors for these journals but I think this link is more appropriate: https://media.nature.com/full/nature-assets/reviews/pdf/naturereviews.pdf
preprint-policy: These policies should all be unknown/unclear</t>
  </si>
  <si>
    <t>pr-url: https://www.nature.com/nri/for-referees (Note: General Nature peer review policy currently linked says "The peer-review policies of the Nature Reviews journals can be found on their websites.")</t>
  </si>
  <si>
    <t xml:space="preserve">pr-transfer-policy: I can't find this text in the link provided
</t>
  </si>
  <si>
    <t>All opr fields should be UNCLEAR</t>
  </si>
  <si>
    <t>coreview-policy: It is acceptable to consult with laboratory colleagues, but please identify them to the editors.</t>
  </si>
  <si>
    <t xml:space="preserve">coreview-url: https://www.nature.com/nri/for-referees
</t>
  </si>
  <si>
    <t>preprint-url: This link is about "primary research manuscripts" which the content of the Reviews journals are not. Preprints are not mentioned in the guide to authors for these journals but I think this link is more appropriate: https://media.nature.com/full/nature-assets/reviews/pdf/naturereviews.pdf</t>
  </si>
  <si>
    <t>preprint-policy: These policies should all be unknown/unclear</t>
  </si>
  <si>
    <t>No*</t>
  </si>
  <si>
    <t>1471-0048</t>
  </si>
  <si>
    <t>Coreviewer policy</t>
  </si>
  <si>
    <t>1474-1784</t>
  </si>
  <si>
    <t>Nature Reviews Drug Discovery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</si>
  <si>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pr-url: https://www.nature.com/nrd/for-referees (Note: General Nature peer review policy currently linked says "The peer-review policies of the Nature Reviews journals can be found on their websites.")</t>
  </si>
  <si>
    <t xml:space="preserve">coreview-url: https://www.nature.com/nrd/for-referees
</t>
  </si>
  <si>
    <t>1471-0080</t>
  </si>
  <si>
    <t>Nature Reviews Molecular Cell Biology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</si>
  <si>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pr-url: https://www.nature.com/nrm/for-referees (Note: General Nature peer review policy currently linked says "The peer-review policies of the Nature Reviews journals can be found on their websites.")</t>
  </si>
  <si>
    <t xml:space="preserve">coreview-url: https://www.nature.com/nrm/for-referees
</t>
  </si>
  <si>
    <t>1053-8119</t>
  </si>
  <si>
    <t>The journal NeuroImage is published by Elsevier, so many of their general policies apply. As you go through many Elsevier journals, it becomes easier to locate and understand their policies which frequently overlap.</t>
  </si>
  <si>
    <t>7 mins</t>
  </si>
  <si>
    <t>GSM</t>
  </si>
  <si>
    <t>1097-4199</t>
  </si>
  <si>
    <t>Preprint media policy is from https://www.cell.com/rights-sharing-embargoes</t>
  </si>
  <si>
    <t>1461-7315</t>
  </si>
  <si>
    <t>Important: 
 At present, this service is only for authors working in the fields of medicine and life sciences.
 Of SAGE’s 400+ journals in the medical and life science fields, we currently have 100+ journals that are participating in this service and to which we are able to offer a direct transfer link.
 List of participating journals can be found here
 No paper is transferred to SAGE Path or to another SAGE journal without the author’s approval. The author will have the option to accept or decline the recommended service or journal. Further, the manuscript can be withdrawn at any time during the process. 
 With so many journal options to choose from in medicine and life sciences, sometimes it can be hard to decide the best fit for your manuscript. SAGE Path, a free-of-charge service for authors, is here to address this.
 SAGE Path quickly provides expert advice on the SAGE journal that is the best fit for your manuscript based on your preferences and a SAGE Managing Editor’s knowledge of the relevant discipline and SAGE Path-participating journals in our portfolio.</t>
  </si>
  <si>
    <t>https://us.sagepub.com/en-us/nam/sage-publishing-article-transfer-hub</t>
  </si>
  <si>
    <t>Other (see note)</t>
  </si>
  <si>
    <t>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t>
  </si>
  <si>
    <t>Since notice says transfer policy only applies to medicine/life sci, I am leaving blank. [OK - trh]</t>
  </si>
  <si>
    <t>1468-0068</t>
  </si>
  <si>
    <t>Social Sciences, Humanities, Literature &amp; Arts</t>
  </si>
  <si>
    <t>Triple blind</t>
  </si>
  <si>
    <t>https://authorservices.wiley.com/Reviewers/journal-reviewers/index.html</t>
  </si>
  <si>
    <t>Regarding preprint policy - this is Wiley's general policy, which is not very clearly linked from the journal homepage. But the general policy states "The above sections detail Wiley's general policy for preprint submissions. A number of Wiley journals have set policies independently and authors should refer to the policy on the individual journal pages.", so in the absence of any other statement, this policy should be assumed to apply (but who knows if it actually does). On citation of preprints: "Wiley encourages researchers and academics who reference preprints (like other peer reviewed and non-peer reviewed sources) to continue to cite these sources accurately.", which i interpret to mean they can be in reference list (but, again, unclear).</t>
  </si>
  <si>
    <t>1362-4962</t>
  </si>
  <si>
    <t>Other: arXiv and bioarXiv; not PLoS Currents; see https://academic.oup.com/nar/article/47/1/1/5281443</t>
  </si>
  <si>
    <t>Re. preprint citation, no clear statement but instructions on citation includes this example: "Fan,X., Yang,Y. and Wang,Z. (2018) Pervasive translation of circular RNAs driven by short IRES-like elements. biorXiv, 10.1101/473207, 18-November-2018, pre-print: not peer-reviewed." https://academic.oup.com/nar/pages/Ms_Prep_Submission</t>
  </si>
  <si>
    <t>1533-9866</t>
  </si>
  <si>
    <t>Almost no information on the site.</t>
  </si>
  <si>
    <t>On preprint citation, this is in author instructions. "Cite unpublished data, such as papers submitted but not yet accepted for publication or personal communications, in parentheses in the text."</t>
  </si>
  <si>
    <t>1094-4087</t>
  </si>
  <si>
    <t>No form but detailed instructions: https://www.osapublishing.org/oe/submit/review/pdf/Optics_Expres_Research_Article_Letter_criteria.pdf</t>
  </si>
  <si>
    <t>Detailed criteria are similar to what is offered by Cell; should how strict we want to be on criteria re form. Also see "After consulting with the editor, a reviewer may voluntarily reveal his or her identity to the author." - https://www.osapublishing.org/submit/review/peer_review.cfm#overview // TRH - 1) if its not actually the form, leave it out; (2) fine about open IDs</t>
  </si>
  <si>
    <t>1098-4275</t>
  </si>
  <si>
    <t>No changes, but I think the PR model is not completely clear, but can be inferred. Couldnt find explicit mention, but there is info that reviewers anon and as no info on anonymising manuscript for review, can prob safely assume Single blind. But, we need to think whether to categorise these strictly according to what is stated on the website, or what can be reasonably inferred.</t>
  </si>
  <si>
    <t>1573-0883</t>
  </si>
  <si>
    <t>No changes</t>
  </si>
  <si>
    <t>1550-235X</t>
  </si>
  <si>
    <t>Other: It may also be necessary for authors to cite unpublished work, such as e-prints, preprints, internal reports, or results which have been reported only orally at meetings (even though an abstract may have been published). Unpublished work that appears during the review process may require citation as well. Unpublished work has not been fully vetted by the community, and considerable judgment on the part of the editors will be employed in determining the need to cite such work.</t>
  </si>
  <si>
    <t>I think the PR model is not completely clear, but can be inferred. Couldnt find explicit mention, but there is info that reviewers anon and as no info on anonymising manuscript for review, can prob safely assume Single blind. But, we need to think whether to categorise these strictly according to what is stated on the website, or what can be reasonably inferred.</t>
  </si>
  <si>
    <t>https://journals.aps.org/prb/referees/referee-response-physical-review</t>
  </si>
  <si>
    <t>Really remarkable that APS journals have NO official preprint policies - no mention of arXiv - worth mentioning in write-up!</t>
  </si>
  <si>
    <t>1550- 2368</t>
  </si>
  <si>
    <t>Changed url in preprint citation policies</t>
  </si>
  <si>
    <t>1079-7114</t>
  </si>
  <si>
    <t>Restricted: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t>
  </si>
  <si>
    <t>No "the identities of our referees are not released to authors or other referees throughout or after the review process." ...so suggests they are not revealed at any stage</t>
  </si>
  <si>
    <t>No "the identities of our referees are not released to authors or other referees throughout or after the review process."</t>
  </si>
  <si>
    <t>Yes [not sure where] "Authors may cite unpublished work, such as e-prints, preprints, internal reports, or results that have been reported only orally at meetings (even though an abstract may have been published). Unpublished work that appears during the review process may require a citation. Unpublished work has not been fully vetted by the community, and editorial judgment will be employed in determining the need to cite such work."</t>
  </si>
  <si>
    <t>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t>
  </si>
  <si>
    <t>2160-3308</t>
  </si>
  <si>
    <t>https://journals.aps.org/prx/referees/guidelines-for-referees</t>
  </si>
  <si>
    <t>Yes, in the reference list?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t>
  </si>
  <si>
    <t>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 // Preprint citation: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t>
  </si>
  <si>
    <t>0375-9601</t>
  </si>
  <si>
    <t>Any: "Authors can share their preprint anywhere at any time...Authors can share their accepted manuscript by updating a preprint in arXiv or RePEc with the accepted manuscript"</t>
  </si>
  <si>
    <t>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</si>
  <si>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1932-6203</t>
  </si>
  <si>
    <t>Unsure: their definition of a preprint suggests only pre-peer review, but they do state that authors can submit revised versions to bioRxiv "Once a manuscript has been posted as a preprint on bioRxiv, authors may submit updates or revisions on bioRxiv directly. "</t>
  </si>
  <si>
    <t>Yes, in reference list: "Any and all available works can be cited in the reference list. Acceptable sources include:
Published or accepted manuscripts
Manuscripts on preprint servers, providing the manuscript has a citable DOI or arXiv URL."</t>
  </si>
  <si>
    <t>Re. preprint citation: Any and all available works can be cited in the reference list. Acceptable sources include: .. Published or accepted manuscripts ... Manuscripts on preprint servers, providing the manuscript has a citable DOI or arXiv URL."</t>
  </si>
  <si>
    <t>1091-6490</t>
  </si>
  <si>
    <t>bioRxiv/arXiv</t>
  </si>
  <si>
    <t>The review process is conducted anonymously for all submissions, except NAS members’ own contributions where the reviewers are known to the member author and their names are published.</t>
  </si>
  <si>
    <t>Single blind peer review inferred: referee must disclose COI based on author relationship (knows identity) but typically referee identity is not disclosed // Peer review credit: reviewers listed and credited in an editorial at the end of the year (e.g. https://www.pnas.org/content/115/52/E12466) // Preprint policy spread over several pages/editorials</t>
  </si>
  <si>
    <t>Added url for additional peer review info; replaced acceptable servers w quote; moved peer review credit url from notes to field</t>
  </si>
  <si>
    <t>1477-0288</t>
  </si>
  <si>
    <t>https://journals.sagepub.com/page/resources/reviewers</t>
  </si>
  <si>
    <t>No form but generic structure at https://uk.sagepub.com/en-gb/eur/how-to-review-articles</t>
  </si>
  <si>
    <t>See comments --&gt;</t>
  </si>
  <si>
    <t>Preprint policies: generic for SAGE - check each journal individually (https://uk.sagepub.com/en-gb/eur/node/1476415); this journal is included in listing of journals accepting preprints but not sure if that means they do (https://journals.sagepub.com/pb-assets/Journals-Accepting-PrePrints.pdf); Submission Guidelines do not say anything about preprints: https://uk.sagepub.com/en-gb/eur/journal/progress-human-geography#submission-guidelines</t>
  </si>
  <si>
    <t>Revised preprint policies according to comments; one of the links now redirects to a blanket preprint policy for SAGE</t>
  </si>
  <si>
    <t>1537-5331</t>
  </si>
  <si>
    <t>1360-0591</t>
  </si>
  <si>
    <t>https://authorservices.taylorandfrancis.com/what-to-expect-during-peer-review/</t>
  </si>
  <si>
    <t>Regional Studies is not very specific as to its peer review and preprint policies. While there is some general information on the peer review process, none is provided on preprints, which can mean that the editors either did not consider preprints at all or do not deem them a viable form of publication.</t>
  </si>
  <si>
    <t>Aims and Scope at https://www.tandfonline.com/action/journalInformation?show=aimsScope&amp;journalCode=cres20; Author guidelines at https://www.tandfonline.com/action/authorSubmission?show=instructions&amp;journalCode=cres20 -- neither mention anything beyond anonymity during peer review</t>
  </si>
  <si>
    <t>1364-0321</t>
  </si>
  <si>
    <t>The journal Renewable &amp; Sustainable Energy Reviews is published by Elsevier, so presumably many of Elsevier's general policies apply. However, no journal specific materials are offered on their website.</t>
  </si>
  <si>
    <t>coreview-policy: 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t>
  </si>
  <si>
    <t xml:space="preserve">
coreview-url: https://www.elsevier.com/reviewers/how-to-review
</t>
  </si>
  <si>
    <t xml:space="preserve">preprint-url: https://www.elsevier.com/journals/research-policy/0048-7333/guide-for-authors#20920, https://www.elsevier.com/authors/journal-authors/submit-your-paper/sharing-and-promoting-your-article
</t>
  </si>
  <si>
    <t>0048-7333</t>
  </si>
  <si>
    <t>Research Policy is published by Elsevier, so many of their general policies apply. In general, it can be difficult with Elsevier journals to locate the journal specific policies.</t>
  </si>
  <si>
    <t>0034-6535</t>
  </si>
  <si>
    <t>https://www.mitpressjournals.org/for_authors#authorreprints</t>
  </si>
  <si>
    <t>First submission can be freely posted anywhere; unpublished (but peer reviewed) version may be archived; peer-reviewed, typeset version may be posted on approved cites iff it includes a full citation, a copyright statement, and a link to the journal's homepage</t>
  </si>
  <si>
    <t>The MIT Press does not offer very transparent information concerning its review process. No information can be found on the journal website regarding its review process (whether blinded or not, e.g.).</t>
  </si>
  <si>
    <t xml:space="preserve">preprint-url: https://www.mitpressjournals.org/for_authors#authorposting
</t>
  </si>
  <si>
    <t>preprint-version: After peer review"</t>
  </si>
  <si>
    <t>1539-0756</t>
  </si>
  <si>
    <t>Authors of solicited and encouraged articles are encouraged to distribute or to post their articles electronically for comment, with one of the following notations on the cover, as appropriate: Submitted to Reviews of Modern Physics/To be submitted to Reviews of Modern Physics.</t>
  </si>
  <si>
    <t>Reviews of Modern Physics is a peer reviewd journal employing a single blind peer review process, but placing high value on not making the review process public (i.e. Names and comments of reviewers). Accordingly, the journal does not offer peer review transfer.</t>
  </si>
  <si>
    <t>pr-policy: https://journals.aps.org/rmp/authors#review, https://journals.aps.org/peer-review-materials-policy</t>
  </si>
  <si>
    <t>https://journals.aps.org/rmp/referees/guidelines-for-referees</t>
  </si>
  <si>
    <t>Any?</t>
  </si>
  <si>
    <t>1095-9203</t>
  </si>
  <si>
    <t>Unsure; at least single blind</t>
  </si>
  <si>
    <t>Once all reviews are in, we initiate a cross-review process in which we invite all reviewers to read the other (still anonymous) reviews and make additional comments within 2 business days. Cross-review is encouraged, but not required.</t>
  </si>
  <si>
    <t>No; peer review reports are never revealed to the authors, but might be shared (anonymized) with the other reviewers of a given paper</t>
  </si>
  <si>
    <t>Optional; Science employs cross-review</t>
  </si>
  <si>
    <t>Yes; the process is anonymous, however</t>
  </si>
  <si>
    <t>Once all reviews are in, we initiate a cross-review process in which we invite all reviewers to read the other (still anonymous) reviews and make additional comments within 2 business days. Cross-review is encouraged, but not required. We are able to expedite the review process significantly for papers that require rapid assessment. Manuscripts selected for publication are edited to improve accuracy and clarity, as well as for length. Rejected papers cannot be resubmitted over a disagreement on novelty, interest, or relative merit. If a paper was rejected on the basis of serious reviewer error, resubmission may be considered.</t>
  </si>
  <si>
    <t>Science offers a rather comprehensive, easily accessible peer review policy on its website. It is the first journal surveyed during the first round to employ a cross-review policy.</t>
  </si>
  <si>
    <t>Once all reviews are in, we initiate a cross-review process in which we invite all reviewers to read the other (still anonymous) reviews and make additional comments within 2 business days. Cross-review is encouraged, but not required.        http://www.sciencemag.org/authors/science-information-authors</t>
  </si>
  <si>
    <t>Science offers a rather comprehensive, easily accessible peer review policy on its website. It is the first journal surveyed during the first round to employ a cross-review policy. PR model not known - but not open identities (so single or double blind). Anon open interaction: "Once all reviews are in, we initiate a cross-review process in which we invite all reviewers to read the other (still anonymous) reviews and make additional comments within 2 business days. Cross-review is encouraged, but not required."</t>
  </si>
  <si>
    <t>1946-6234</t>
  </si>
  <si>
    <t>http://www.sciencemag.org/authors/science-translational-medicine-information-authors</t>
  </si>
  <si>
    <t>I don't think STM does cross-reviewing like Science</t>
  </si>
  <si>
    <t>2045-2322</t>
  </si>
  <si>
    <t>Nature Scientific Reports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t>
  </si>
  <si>
    <t>Preprint citation example:  https://www.nature.com/srep/publish/guidelines#references  preprint media policy: https://www.nature.com/srep/journal-policies/editorial-policies?draft=journal&amp;target=content#confidentiality</t>
  </si>
  <si>
    <t>JKP</t>
  </si>
  <si>
    <t>0277-9536</t>
  </si>
  <si>
    <t>1097-0266</t>
  </si>
  <si>
    <t>Wiley lists some interesting resources on their general pages (eg https://authorservices.wiley.com/Reviewers/journal-reviewers/recognition-for-reviewers/index.html) but do not provide lists for statements such as "Get your Reviewer Recognition Certificate after you review (available from over 250 Wiley journals)"</t>
  </si>
  <si>
    <t>Standard Wiley Reviewer guidelines: https://authorservices.wiley.com/Reviewers/index.html</t>
  </si>
  <si>
    <t>New link does not contiain form; added coreviewer policy</t>
  </si>
  <si>
    <t>1573-0964</t>
  </si>
  <si>
    <t>Policies are extremely vague. For instance, instructions to authors page (https://www.springer.com/philosophy/epistemology+and+philosophy+of+science/journal/11229) is self-contradictory (in one place indicating a requirement for LaTeX; in another, for either LaTeX or Word)</t>
  </si>
  <si>
    <t>Other than the double-blind policy on peer review, no details on peer review process or preprint policies seem to be provided.</t>
  </si>
  <si>
    <t>0346-251X</t>
  </si>
  <si>
    <t>https://www.journals.elsevier.com/system, https://www.elsevier.com/journals/system/0346-251x/guide-for-authors</t>
  </si>
  <si>
    <t>0742-051X</t>
  </si>
  <si>
    <t>1545-7249</t>
  </si>
  <si>
    <t>1538-4357</t>
  </si>
  <si>
    <t>Website does not list even the most basic info about journal policies: http://iopscience.iop.org/journal/0004-637X</t>
  </si>
  <si>
    <t>Absence of PR and preprint policies (the latter esp puzzling b/c arXiv) - worth noting this in writing up</t>
  </si>
  <si>
    <t>1468-2648</t>
  </si>
  <si>
    <t>Cambridge University Press, School of Oriental and African Studies</t>
  </si>
  <si>
    <t>Very little information on the website</t>
  </si>
  <si>
    <t>1469-493X</t>
  </si>
  <si>
    <t>The Cochrane Database comprises work from many different review groups: https://www.cochranelibrary.com/about/cochrane-review-groups</t>
  </si>
  <si>
    <t>1434-6052</t>
  </si>
  <si>
    <t>1558-8238</t>
  </si>
  <si>
    <t>Reviewer rewards. Frequent reviewers are provided the opportunity to submit a new manuscript, as corresponding author, with a guarantee of external review. The Reviewer Reward is granted in January to reviewers who have completed on-time reviews for at least 3 separate manuscripts within the preceding 18 months. Only 1 reward may be used per calendar year. Submissions using the reward must fit within the scope of the journal and will be held to the same standard for publication as other manuscripts considered by the Editorial Board. Note: ASCI members whose dues are current receive a separate benefit for guaranteed external review and may not earn Reviewer Rewards in addition. More details are available here. (from https://www.jci.org/kiosks/authors#Editorial_Policies ) (There is some further info at: http://cofactorscience.com/blog/journal/journal-of-clinical-investigation/ )</t>
  </si>
  <si>
    <t>1540-6261</t>
  </si>
  <si>
    <t>1948-7185</t>
  </si>
  <si>
    <t>Physics &amp; Mathematics, Chemical &amp; Materials Sciences</t>
  </si>
  <si>
    <t>Note - had to unmerge some cells - think this has happened in a few places - need to fix all before analysis</t>
  </si>
  <si>
    <t>Re review identities revealed - if the editor has control over whether this is possible, I would mark this as conditional [ok - trh]</t>
  </si>
  <si>
    <t>1474-547X</t>
  </si>
  <si>
    <t>https://www.thelancet.com/lancet/about</t>
  </si>
  <si>
    <t>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t>
  </si>
  <si>
    <t>When revising papers for publication, authors might want to take the comments their papers have received into account.</t>
  </si>
  <si>
    <t>Its really remarkable that the Lancet has so little info about their peer review processes online - especially given the Wakefield case, the push for transparency in medical publishing, and the more positive example of the BMJ</t>
  </si>
  <si>
    <t>1474-4422</t>
  </si>
  <si>
    <t>https://www.thelancet.com/preprints</t>
  </si>
  <si>
    <t>The Lancet launched a specific preprint server this year.</t>
  </si>
  <si>
    <t>Preprints with The Lancet is a platform for sharing early stage non-peer-reviewed research within the medical and research community. As such, we ask that authors and their institutions refrain from actively seeking media attention for this type of work. If contacted by the press, authors should acknowledge that the content has not been peer reviewed.</t>
  </si>
  <si>
    <t>The Lancet's website is not specific as to the kind of peer review system employed. However, it does offer rich information on preprints.</t>
  </si>
  <si>
    <t>Note - the lancet was running a 6-month trial from mid-2018, where they automatically offered preprint publication via SSRN</t>
  </si>
  <si>
    <t>Copied pr policy link into transfer link</t>
  </si>
  <si>
    <t>1470-2045</t>
  </si>
  <si>
    <t>https://els-jbs-prod-cdn.literatumonline.com/pb/assets/raw/Lancet/authors/tlo-info-for-authors-1553790033677.pdf</t>
  </si>
  <si>
    <t>1540-4781</t>
  </si>
  <si>
    <t>https://onlinelibrary.wiley.com/page/journal/15404781/homepage/forauthors.html#Manuscript</t>
  </si>
  <si>
    <t>The Modern Language Journal is published by Wiley, but for the most part employs its own guidelines and procedures concerning peer review and preprints. Concerning the latter, no specifications are made on the website, however.</t>
  </si>
  <si>
    <t>https://authorservices.wiley.com/Reviewers/journal-reviewers/how-to-perform-a-peer-review/step-by-step-guide-to-reviewing-a-manuscript.html</t>
  </si>
  <si>
    <t>Nothing about preprints in author guidelines (https://onlinelibrary.wiley.com/page/journal/15404781/homepage/forauthors.html)</t>
  </si>
  <si>
    <t>Removed form link as it goes to a general guide</t>
  </si>
  <si>
    <t>1533-4406</t>
  </si>
  <si>
    <t>https://www.nejm.org/media-center/publication-process</t>
  </si>
  <si>
    <t>The NEJM is not very specific with respect to its peer review process. Its preprint policy is explicit and very restrictive (and easily accessible).</t>
  </si>
  <si>
    <t>^^ &amp; https://www.nejm.org/about-nejm/editorial-policies</t>
  </si>
  <si>
    <t>Agree, policy is: "NEJM expects that the articles it publishes will not have been published or released elsewhere."</t>
  </si>
  <si>
    <t>N/A (not specified)</t>
  </si>
  <si>
    <t xml:space="preserve">^^ Agree, further info: It's not specifically for preprints: "The rule also requires that author-researchers not release details of their research findings to mass media before the work can undergo peer review and be published." https://www.nejm.org/about-nejm/editorial-policies^^ </t>
  </si>
  <si>
    <t>1531-4650</t>
  </si>
  <si>
    <t>CC-BY-NC or CC-BY-NC-ND</t>
  </si>
  <si>
    <t>The Quarterly Journal of Economics is published by OUP, so many of their general policies apply. The website is not very specific regarding the peer review process, though.</t>
  </si>
  <si>
    <t>Not found (link above is not for this journal)</t>
  </si>
  <si>
    <t>Note preprint policy is generic to OUP, linked from this journal</t>
  </si>
  <si>
    <t>1467-937X</t>
  </si>
  <si>
    <t>The Author’s Original Version (AOV) is defined here as the un-refereed author version of an article completed before submission of the article to the journal. This is sometimes referred to as the “preprint” version. The author accepts full responsibility for the article, and the content and layout is set out by the author. 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 The accepted manuscript (AM) is the final draft author manuscript, as accepted for publication by a journal, including modifications based on referees’ suggestions, before it has undergone copyediting, typesetting and proof correction. This is sometimes referred to as the post-print version. Immediately upon publication authors may: Immediately upload their AM to their own personal webpage (excluding commercial websites and repositories). Immediately upload their AM to their institutional or other non-commercial subject based repositories on the proviso that it is not made publicly available until after the specified embargo period. After the embargo period authors may: Upload their AM to institutional repository or other non-commercial repositories and make it publicly available. Accepted Manuscripts may not be uploaded or shared on commercial websites or repositories, unless the website or repository has signed a licensing agreement with OUP permitting such uploading or sharing. Embargo periods may vary between journals. For details of a journal’s specific embargo period, please see the information for each individual title on our Accepted Manuscript embargo page. When uploading an accepted manuscript to a repository, authors should include the following acknowledgment as well as a link to the version of record. This will connect the published version to the AM version in the repository and help ensure that the article is cited correctly. This is a pre-copyedited, author-produced version of an article accepted for publication in [insert journal title] following peer review. The version of record [insert complete citation information here] is available online at: xxxxxxx [insert URL and DOI of the article on the OUP website]. The Version of Record (VOR) is defined here as the final typeset and edited version of the journal article that has been made available by OUP by formally and exclusively declaring the article “published”. This includes any ‘advanced access’ article even before the compilation of a volume issue. The VOR as it appears in the journal following copyediting and proof correction may not be deposited by authors in institutional repositories or posted to third party websites and made publicly available unless the article is published on an Open Access model licence that allows for such posting. Authors may share their VOR with private groups within their institution or through private groups on non-commercial repositories that are signatories to the STM Voluntary principles for article sharing on Scholarly Collaboration Networks (SCN). The VOR may not be uploaded or shared on commercial websites or repositories unless the website or repository has signed an agreement with OUP permitting such uploading or sharing.</t>
  </si>
  <si>
    <t>Although The Review of Economic Studies is an Oxford Journal (a publisher which has been analyzed before during this round) it was impossible to locate the required information on the journal websit. In keeping with the study protocol, this is duely noted and no further attempts at locating the information have been made.</t>
  </si>
  <si>
    <t>Not much information about peer review or preprints for this journal, e.g. author guidelines:  https://academic.oup.com/restud/pages/General_Instructions.  While no specific reviewer credit policy for Publons / ORCID, they do aware an 'excellence in reviewing' prize annually &amp; list names on the website (until 2017 at least): https://academic.oup.com/restud/pages/excellence_in_refereeing // Preprint policyn is generic but linked from this journal's website</t>
  </si>
  <si>
    <t>1465-7368</t>
  </si>
  <si>
    <t>The Review of Financial Studies does not accept papers that have been previously published elsewhere with the exception of working papers series.</t>
  </si>
  <si>
    <t>The Review of Financial Studies is published by Oxford University Press. However, it seems exceedingly hard to locate their policies on peer review despite the fact that I previously managed to find them on other OUP journals' websites.</t>
  </si>
  <si>
    <t xml:space="preserve">
pr-policy: http://rfssfs.org/advice-for-referees/, https://editorialexpress.com/cgi-bin/e-editor/e-review_v18.cgi?dbase=rfs&amp;stage=0&amp;stage_completed=&amp;user_id=&amp;sub_id=&amp;password=F7ObH75z is probably the closest</t>
  </si>
  <si>
    <t xml:space="preserve">preprint-url: Add https://academic.oup.com/rfs/pages/Instructions_To_Authors
</t>
  </si>
  <si>
    <t xml:space="preserve">preprint-version: Could be coded as "After peer review" since they only disallow posting after acceptance
</t>
  </si>
  <si>
    <t xml:space="preserve">preprint-servers: Working paper series
</t>
  </si>
  <si>
    <t>preprint-link: yes (Authors are requested to append the appropriate citation to the working paper version on acceptance by the Journal (if the working paper series allows this).)</t>
  </si>
  <si>
    <t>The Review of Financial Studies is published by Oxford University Press. However, it seems exceedingly hard to locate their policies on peer review despite the fact that I previously managed to find them on other OUP journals' websites. /// preprint-version: Could be coded as "After peer review" since they only disallow posting after acceptance</t>
  </si>
  <si>
    <t>0261-5177</t>
  </si>
  <si>
    <t>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t>
  </si>
  <si>
    <t>"Elsevier’s reviewer recognition platform provides reviewers with a means of publicly showcasing their efforts and receiving credit for their work."</t>
  </si>
  <si>
    <t>Any ("Authors can share their preprint anywhere at any time.")</t>
  </si>
  <si>
    <t>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</si>
  <si>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Aboce refers to the accepted manuscript, if posted on a preprint server</t>
  </si>
  <si>
    <t>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 On preprint citation: 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t>
  </si>
  <si>
    <t>1873-5991</t>
  </si>
  <si>
    <t>World Development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In this case, the journal employs a double-blind process which means that at no stage in the process reviewer identities and/or comments are made publicly available (except to the editors and authors, respectively).</t>
  </si>
  <si>
    <t>Fixed preprint policy link and related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</si>
</sst>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yyyy\-mm\-dd"/>
    <numFmt numFmtId="166" formatCode="yyyy\-m\-d"/>
    <numFmt numFmtId="167" formatCode="mm/dd/yy"/>
  </numFmts>
  <fonts count="117">
    <font>
      <sz val="10"/>
      <color rgb="FF000000"/>
      <name val="Arial"/>
    </font>
    <font>
      <sz val="10"/>
      <color rgb="FFFFFFFF"/>
      <name val="Arial"/>
    </font>
    <font>
      <sz val="10"/>
      <name val="Arial"/>
    </font>
    <font>
      <b/>
      <sz val="10"/>
      <name val="Arial"/>
    </font>
    <font>
      <sz val="10"/>
      <color rgb="FF666666"/>
      <name val="Arial"/>
    </font>
    <font>
      <sz val="11"/>
      <color rgb="FF000000"/>
      <name val="Arial"/>
    </font>
    <font>
      <u/>
      <sz val="10"/>
      <color rgb="FF0000FF"/>
      <name val="Arial"/>
    </font>
    <font>
      <sz val="10"/>
      <color rgb="FF000000"/>
      <name val="Arial"/>
    </font>
    <font>
      <sz val="10"/>
      <name val="Arial"/>
    </font>
    <font>
      <sz val="11"/>
      <color rgb="FF000000"/>
      <name val="Calibri"/>
    </font>
    <font>
      <b/>
      <sz val="10"/>
      <color rgb="FF000000"/>
      <name val="Arial"/>
    </font>
    <font>
      <u/>
      <sz val="10"/>
      <color rgb="FF0000FF"/>
      <name val="Arial"/>
    </font>
    <font>
      <b/>
      <sz val="10"/>
      <color rgb="FF0000FF"/>
      <name val="Arial"/>
    </font>
    <font>
      <u/>
      <sz val="10"/>
      <color rgb="FF000000"/>
      <name val="Arial"/>
    </font>
    <font>
      <u/>
      <sz val="10"/>
      <color rgb="FF0000FF"/>
      <name val="Arial"/>
    </font>
    <font>
      <u/>
      <sz val="10"/>
      <color rgb="FF666666"/>
      <name val="Arial"/>
    </font>
    <font>
      <u/>
      <sz val="10"/>
      <color rgb="FF000000"/>
      <name val="Arial"/>
    </font>
    <font>
      <sz val="10"/>
      <color rgb="FF222222"/>
      <name val="Arial"/>
    </font>
    <font>
      <u/>
      <sz val="10"/>
      <color rgb="FF0563C1"/>
      <name val="Arial"/>
    </font>
    <font>
      <sz val="10"/>
      <color rgb="FF333333"/>
      <name val="Arial"/>
    </font>
    <font>
      <b/>
      <u/>
      <sz val="10"/>
      <color rgb="FF0563C1"/>
      <name val="Arial"/>
    </font>
    <font>
      <u/>
      <sz val="10"/>
      <color rgb="FF0000FF"/>
      <name val="Arial"/>
    </font>
    <font>
      <b/>
      <u/>
      <sz val="10"/>
      <color rgb="FF000000"/>
      <name val="Arial"/>
    </font>
    <font>
      <b/>
      <u/>
      <sz val="10"/>
      <color rgb="FF000000"/>
      <name val="Arial"/>
    </font>
    <font>
      <b/>
      <sz val="10"/>
      <color rgb="FF333333"/>
      <name val="Arial"/>
    </font>
    <font>
      <sz val="10"/>
      <color rgb="FF000000"/>
      <name val="Roboto"/>
    </font>
    <font>
      <b/>
      <sz val="10"/>
      <name val="Arial"/>
    </font>
    <font>
      <b/>
      <sz val="10"/>
      <color rgb="FF000000"/>
      <name val="Roboto"/>
    </font>
    <font>
      <b/>
      <sz val="11"/>
      <color rgb="FF000000"/>
      <name val="Calibri"/>
    </font>
    <font>
      <sz val="10"/>
      <color rgb="FF434343"/>
      <name val="Arial"/>
    </font>
    <font>
      <u/>
      <sz val="10"/>
      <color rgb="FF434343"/>
      <name val="Arial"/>
    </font>
    <font>
      <sz val="11"/>
      <color rgb="FF434343"/>
      <name val="Calibri"/>
    </font>
    <font>
      <b/>
      <sz val="10"/>
      <color rgb="FFFFFFFF"/>
      <name val="Arial"/>
    </font>
    <font>
      <b/>
      <sz val="10"/>
      <color rgb="FF222222"/>
      <name val="Arial"/>
    </font>
    <font>
      <b/>
      <u/>
      <sz val="10"/>
      <color rgb="FF0000FF"/>
      <name val="Arial"/>
    </font>
    <font>
      <i/>
      <sz val="10"/>
      <color rgb="FF000000"/>
      <name val="Arial"/>
    </font>
    <font>
      <b/>
      <u/>
      <sz val="10"/>
      <color rgb="FF000000"/>
      <name val="Roboto"/>
    </font>
    <font>
      <sz val="10"/>
      <color rgb="FF1C1D1E"/>
      <name val="Arial"/>
    </font>
    <font>
      <b/>
      <sz val="10"/>
      <color rgb="FF1C1D1E"/>
      <name val="Arial"/>
    </font>
    <font>
      <i/>
      <sz val="10"/>
      <color rgb="FF404040"/>
      <name val="Arial"/>
    </font>
    <font>
      <b/>
      <sz val="10"/>
      <color rgb="FF404040"/>
      <name val="Arial"/>
    </font>
    <font>
      <u/>
      <sz val="10"/>
      <color rgb="FF000000"/>
      <name val="Arial"/>
    </font>
    <font>
      <sz val="10"/>
      <color rgb="FF505050"/>
      <name val="Arial"/>
    </font>
    <font>
      <u/>
      <sz val="10"/>
      <color rgb="FF000000"/>
      <name val="Roboto"/>
    </font>
    <font>
      <u/>
      <sz val="10"/>
      <color rgb="FF000000"/>
      <name val="Arial"/>
    </font>
    <font>
      <sz val="10"/>
      <color rgb="FF2A2A2A"/>
      <name val="Arial"/>
    </font>
    <font>
      <b/>
      <u/>
      <sz val="10"/>
      <color rgb="FF000000"/>
      <name val="Arial"/>
    </font>
    <font>
      <u/>
      <sz val="10"/>
      <color rgb="FF000000"/>
      <name val="Arial"/>
    </font>
    <font>
      <b/>
      <u/>
      <sz val="10"/>
      <color rgb="FF000000"/>
      <name val="Arial"/>
    </font>
    <font>
      <u/>
      <sz val="10"/>
      <color rgb="FF000000"/>
      <name val="Arial"/>
    </font>
    <font>
      <b/>
      <u/>
      <sz val="10"/>
      <color rgb="FF000000"/>
      <name val="Arial"/>
    </font>
    <font>
      <b/>
      <sz val="10"/>
      <color rgb="FF505050"/>
      <name val="Arial"/>
    </font>
    <font>
      <b/>
      <sz val="10"/>
      <color rgb="FF53565A"/>
      <name val="Arial"/>
    </font>
    <font>
      <b/>
      <sz val="10"/>
      <color rgb="FF53565A"/>
      <name val="Nexussans"/>
    </font>
    <font>
      <b/>
      <u/>
      <sz val="10"/>
      <color rgb="FF000000"/>
      <name val="Arial"/>
    </font>
    <font>
      <b/>
      <u/>
      <sz val="10"/>
      <color rgb="FF000000"/>
      <name val="Arial"/>
    </font>
    <font>
      <b/>
      <sz val="11"/>
      <color rgb="FF4F4F4F"/>
      <name val="Lucida Sans Unicode"/>
    </font>
    <font>
      <b/>
      <u/>
      <sz val="10"/>
      <color rgb="FF1155CC"/>
      <name val="Arial"/>
    </font>
    <font>
      <b/>
      <u/>
      <sz val="10"/>
      <color rgb="FF1155CC"/>
      <name val="Arial"/>
    </font>
    <font>
      <u/>
      <sz val="10"/>
      <color rgb="FF0563C1"/>
      <name val="Arial"/>
    </font>
    <font>
      <u/>
      <sz val="10"/>
      <color rgb="FF000000"/>
      <name val="Arial"/>
    </font>
    <font>
      <u/>
      <sz val="10"/>
      <color rgb="FF0563C1"/>
      <name val="Arial"/>
    </font>
    <font>
      <u/>
      <sz val="10"/>
      <color rgb="FF000000"/>
      <name val="Arial"/>
    </font>
    <font>
      <u/>
      <sz val="10"/>
      <color rgb="FF000000"/>
      <name val="Arial"/>
    </font>
    <font>
      <u/>
      <sz val="10"/>
      <color rgb="FF0563C1"/>
      <name val="Arial"/>
    </font>
    <font>
      <b/>
      <u/>
      <sz val="10"/>
      <color rgb="FF0563C1"/>
      <name val="Arial"/>
    </font>
    <font>
      <b/>
      <u/>
      <sz val="10"/>
      <color rgb="FF0563C1"/>
      <name val="Arial"/>
    </font>
    <font>
      <b/>
      <u/>
      <sz val="10"/>
      <color rgb="FF000000"/>
      <name val="Arial"/>
    </font>
    <font>
      <b/>
      <u/>
      <sz val="10"/>
      <color rgb="FF000000"/>
      <name val="Arial"/>
    </font>
    <font>
      <u/>
      <sz val="10"/>
      <color rgb="FF0563C1"/>
      <name val="Arial"/>
    </font>
    <font>
      <b/>
      <u/>
      <sz val="10"/>
      <color rgb="FF000000"/>
      <name val="Arial"/>
    </font>
    <font>
      <b/>
      <u/>
      <sz val="10"/>
      <color rgb="FF0563C1"/>
      <name val="Arial"/>
    </font>
    <font>
      <u/>
      <sz val="10"/>
      <color rgb="FF000000"/>
      <name val="Arial"/>
    </font>
    <font>
      <u/>
      <sz val="10"/>
      <color rgb="FF000000"/>
      <name val="Arial"/>
    </font>
    <font>
      <u/>
      <sz val="10"/>
      <color rgb="FF666666"/>
      <name val="Arial"/>
    </font>
    <font>
      <u/>
      <sz val="10"/>
      <color rgb="FF0563C1"/>
      <name val="Arial"/>
    </font>
    <font>
      <u/>
      <sz val="10"/>
      <color rgb="FF000000"/>
      <name val="Arial"/>
    </font>
    <font>
      <u/>
      <sz val="10"/>
      <color rgb="FF0563C1"/>
      <name val="Arial"/>
    </font>
    <font>
      <u/>
      <sz val="11"/>
      <color rgb="FF000000"/>
      <name val="Calibri"/>
    </font>
    <font>
      <u/>
      <sz val="10"/>
      <color rgb="FF000000"/>
      <name val="Calibri"/>
    </font>
    <font>
      <u/>
      <sz val="11"/>
      <color rgb="FF0563C1"/>
      <name val="Calibri"/>
    </font>
    <font>
      <u/>
      <sz val="10"/>
      <color rgb="FF0563C1"/>
      <name val="Calibri"/>
    </font>
    <font>
      <u/>
      <sz val="11"/>
      <color rgb="FF0563C1"/>
      <name val="Calibri"/>
    </font>
    <font>
      <u/>
      <sz val="11"/>
      <color rgb="FF000000"/>
      <name val="Calibri"/>
    </font>
    <font>
      <u/>
      <sz val="11"/>
      <color rgb="FF0563C1"/>
      <name val="Calibri"/>
    </font>
    <font>
      <sz val="10"/>
      <color rgb="FF1C1D1E"/>
      <name val="Arial"/>
    </font>
    <font>
      <u/>
      <sz val="10"/>
      <color rgb="FF0563C1"/>
      <name val="Arial"/>
    </font>
    <font>
      <u/>
      <sz val="10"/>
      <color rgb="FF000000"/>
      <name val="Arial"/>
    </font>
    <font>
      <b/>
      <u/>
      <sz val="11"/>
      <color rgb="FF0563C1"/>
      <name val="Calibri"/>
    </font>
    <font>
      <sz val="11"/>
      <color rgb="FF333333"/>
      <name val="Helvetica"/>
    </font>
    <font>
      <sz val="11"/>
      <color rgb="FF333333"/>
      <name val="Arial"/>
    </font>
    <font>
      <u/>
      <sz val="10"/>
      <color rgb="FF0563C1"/>
      <name val="Arial"/>
    </font>
    <font>
      <sz val="11"/>
      <color rgb="FF000000"/>
      <name val="Inconsolata"/>
    </font>
    <font>
      <u/>
      <sz val="10"/>
      <color rgb="FF000000"/>
      <name val="Arial"/>
    </font>
    <font>
      <sz val="12"/>
      <color rgb="FF575756"/>
      <name val="Arial"/>
    </font>
    <font>
      <u/>
      <sz val="11"/>
      <color rgb="FF0000FF"/>
      <name val="Calibri"/>
    </font>
    <font>
      <sz val="11"/>
      <name val="Calibri"/>
    </font>
    <font>
      <u/>
      <sz val="11"/>
      <color rgb="FF000000"/>
      <name val="Calibri"/>
    </font>
    <font>
      <sz val="14"/>
      <name val="Arial"/>
    </font>
    <font>
      <sz val="10"/>
      <color rgb="FFFF0000"/>
      <name val="Arial"/>
    </font>
    <font>
      <u/>
      <sz val="10"/>
      <color rgb="FF1155CC"/>
      <name val="Arial"/>
    </font>
    <font>
      <u/>
      <sz val="10"/>
      <color rgb="FF1155CC"/>
      <name val="Arial"/>
    </font>
    <font>
      <u/>
      <sz val="10"/>
      <color rgb="FF006DAB"/>
      <name val="Arial"/>
    </font>
    <font>
      <sz val="10"/>
      <color rgb="FF006DAB"/>
      <name val="Arial"/>
    </font>
    <font>
      <u/>
      <sz val="11"/>
      <color rgb="FF333333"/>
      <name val="Arial"/>
    </font>
    <font>
      <i/>
      <u/>
      <sz val="10"/>
      <color rgb="FF2A2A2A"/>
      <name val="Arial"/>
    </font>
    <font>
      <u/>
      <sz val="10"/>
      <color rgb="FF000000"/>
      <name val="Arial"/>
    </font>
    <font>
      <i/>
      <sz val="10"/>
      <color rgb="FF2A2A2A"/>
      <name val="Arial"/>
    </font>
    <font>
      <sz val="10"/>
      <color rgb="FF000000"/>
      <name val="Arial"/>
    </font>
    <font>
      <u/>
      <sz val="10"/>
      <color rgb="FF0000FF"/>
      <name val="Arial"/>
    </font>
    <font>
      <sz val="10"/>
      <color rgb="FF222222"/>
      <name val="Arial"/>
    </font>
    <font>
      <u/>
      <sz val="10"/>
      <color rgb="FF222222"/>
      <name val="Arial"/>
    </font>
    <font>
      <b/>
      <u/>
      <sz val="10"/>
      <color rgb="FF222222"/>
      <name val="Arial"/>
    </font>
    <font>
      <u/>
      <sz val="10"/>
      <color rgb="FF000000"/>
      <name val="Arial"/>
    </font>
    <font>
      <u/>
      <sz val="10"/>
      <color rgb="FF0563C1"/>
      <name val="Arial"/>
    </font>
    <font>
      <u/>
      <sz val="10"/>
      <color rgb="FF000000"/>
      <name val="Arial"/>
    </font>
    <font>
      <u/>
      <sz val="10"/>
      <color rgb="FF000000"/>
      <name val="Arial"/>
    </font>
  </fonts>
  <fills count="24">
    <fill>
      <patternFill patternType="none"/>
    </fill>
    <fill>
      <patternFill patternType="gray125"/>
    </fill>
    <fill>
      <patternFill patternType="solid">
        <fgColor rgb="FF000000"/>
        <bgColor rgb="FF000000"/>
      </patternFill>
    </fill>
    <fill>
      <patternFill patternType="solid">
        <fgColor rgb="FF9966FF"/>
        <bgColor rgb="FF9966FF"/>
      </patternFill>
    </fill>
    <fill>
      <patternFill patternType="solid">
        <fgColor rgb="FFB4A7D6"/>
        <bgColor rgb="FFB4A7D6"/>
      </patternFill>
    </fill>
    <fill>
      <patternFill patternType="solid">
        <fgColor rgb="FFFFFFFF"/>
        <bgColor rgb="FFFFFFFF"/>
      </patternFill>
    </fill>
    <fill>
      <patternFill patternType="solid">
        <fgColor rgb="FF999999"/>
        <bgColor rgb="FF999999"/>
      </patternFill>
    </fill>
    <fill>
      <patternFill patternType="solid">
        <fgColor rgb="FFE06666"/>
        <bgColor rgb="FFE06666"/>
      </patternFill>
    </fill>
    <fill>
      <patternFill patternType="solid">
        <fgColor rgb="FFB6D7A8"/>
        <bgColor rgb="FFB6D7A8"/>
      </patternFill>
    </fill>
    <fill>
      <patternFill patternType="solid">
        <fgColor rgb="FFD9D2E9"/>
        <bgColor rgb="FFD9D2E9"/>
      </patternFill>
    </fill>
    <fill>
      <patternFill patternType="solid">
        <fgColor rgb="FFF9CB9C"/>
        <bgColor rgb="FFF9CB9C"/>
      </patternFill>
    </fill>
    <fill>
      <patternFill patternType="solid">
        <fgColor rgb="FFC9DAF8"/>
        <bgColor rgb="FFC9DAF8"/>
      </patternFill>
    </fill>
    <fill>
      <patternFill patternType="solid">
        <fgColor rgb="FFE69138"/>
        <bgColor rgb="FFE69138"/>
      </patternFill>
    </fill>
    <fill>
      <patternFill patternType="solid">
        <fgColor rgb="FF969696"/>
        <bgColor rgb="FF969696"/>
      </patternFill>
    </fill>
    <fill>
      <patternFill patternType="solid">
        <fgColor rgb="FFF4CCCC"/>
        <bgColor rgb="FFF4CCCC"/>
      </patternFill>
    </fill>
    <fill>
      <patternFill patternType="solid">
        <fgColor rgb="FFD9D9D9"/>
        <bgColor rgb="FFD9D9D9"/>
      </patternFill>
    </fill>
    <fill>
      <patternFill patternType="solid">
        <fgColor rgb="FFFFE599"/>
        <bgColor rgb="FFFFE599"/>
      </patternFill>
    </fill>
    <fill>
      <patternFill patternType="solid">
        <fgColor rgb="FFDD7E6B"/>
        <bgColor rgb="FFDD7E6B"/>
      </patternFill>
    </fill>
    <fill>
      <patternFill patternType="solid">
        <fgColor rgb="FFA4C2F4"/>
        <bgColor rgb="FFA4C2F4"/>
      </patternFill>
    </fill>
    <fill>
      <patternFill patternType="solid">
        <fgColor rgb="FF9FC5E8"/>
        <bgColor rgb="FF9FC5E8"/>
      </patternFill>
    </fill>
    <fill>
      <patternFill patternType="solid">
        <fgColor rgb="FFEA9999"/>
        <bgColor rgb="FFEA9999"/>
      </patternFill>
    </fill>
    <fill>
      <patternFill patternType="solid">
        <fgColor rgb="FFA5A5A5"/>
        <bgColor rgb="FFA5A5A5"/>
      </patternFill>
    </fill>
    <fill>
      <patternFill patternType="solid">
        <fgColor rgb="FFFFFF00"/>
        <bgColor indexed="64"/>
      </patternFill>
    </fill>
    <fill>
      <patternFill patternType="solid">
        <fgColor rgb="FFFFFF00"/>
        <bgColor rgb="FFD9D9D9"/>
      </patternFill>
    </fill>
  </fills>
  <borders count="58">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ck">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right/>
      <top/>
      <bottom/>
      <diagonal/>
    </border>
    <border>
      <left/>
      <right style="thick">
        <color rgb="FF000000"/>
      </right>
      <top/>
      <bottom/>
      <diagonal/>
    </border>
    <border>
      <left/>
      <right/>
      <top/>
      <bottom style="thin">
        <color rgb="FF969696"/>
      </bottom>
      <diagonal/>
    </border>
    <border>
      <left style="thin">
        <color rgb="FF969696"/>
      </left>
      <right style="thin">
        <color rgb="FF969696"/>
      </right>
      <top/>
      <bottom style="thin">
        <color rgb="FF969696"/>
      </bottom>
      <diagonal/>
    </border>
    <border>
      <left/>
      <right style="thin">
        <color rgb="FFD0CECE"/>
      </right>
      <top/>
      <bottom style="thin">
        <color rgb="FFD0CECE"/>
      </bottom>
      <diagonal/>
    </border>
    <border>
      <left/>
      <right style="thin">
        <color rgb="FFD0CECE"/>
      </right>
      <top/>
      <bottom/>
      <diagonal/>
    </border>
    <border>
      <left/>
      <right/>
      <top/>
      <bottom style="thin">
        <color rgb="FFD0CECE"/>
      </bottom>
      <diagonal/>
    </border>
    <border>
      <left style="thin">
        <color rgb="FF969696"/>
      </left>
      <right style="thin">
        <color rgb="FF969696"/>
      </right>
      <top/>
      <bottom/>
      <diagonal/>
    </border>
    <border>
      <left style="thin">
        <color rgb="FFD0CECE"/>
      </left>
      <right style="thin">
        <color rgb="FFD0CECE"/>
      </right>
      <top style="thin">
        <color rgb="FFD0CECE"/>
      </top>
      <bottom style="thin">
        <color rgb="FFD0CECE"/>
      </bottom>
      <diagonal/>
    </border>
    <border>
      <left/>
      <right style="thin">
        <color rgb="FF969696"/>
      </right>
      <top/>
      <bottom/>
      <diagonal/>
    </border>
    <border>
      <left style="thin">
        <color rgb="FFD0CECE"/>
      </left>
      <right/>
      <top/>
      <bottom/>
      <diagonal/>
    </border>
    <border>
      <left style="thin">
        <color rgb="FF000000"/>
      </left>
      <right style="thin">
        <color rgb="FF000000"/>
      </right>
      <top/>
      <bottom style="thin">
        <color rgb="FFAAAAAA"/>
      </bottom>
      <diagonal/>
    </border>
    <border>
      <left/>
      <right/>
      <top/>
      <bottom style="thin">
        <color rgb="FFAAAAAA"/>
      </bottom>
      <diagonal/>
    </border>
    <border>
      <left/>
      <right style="thin">
        <color rgb="FF000000"/>
      </right>
      <top/>
      <bottom style="thin">
        <color rgb="FFAAAAAA"/>
      </bottom>
      <diagonal/>
    </border>
    <border>
      <left/>
      <right style="thin">
        <color rgb="FF000000"/>
      </right>
      <top style="thin">
        <color rgb="FFAAAAAA"/>
      </top>
      <bottom style="thin">
        <color rgb="FFAAAAAA"/>
      </bottom>
      <diagonal/>
    </border>
    <border>
      <left/>
      <right/>
      <top style="thin">
        <color rgb="FFAAAAAA"/>
      </top>
      <bottom style="thin">
        <color rgb="FFAAAAAA"/>
      </bottom>
      <diagonal/>
    </border>
    <border>
      <left/>
      <right/>
      <top style="thin">
        <color rgb="FFAAAAAA"/>
      </top>
      <bottom style="thin">
        <color rgb="FFAAAAAA"/>
      </bottom>
      <diagonal/>
    </border>
    <border>
      <left/>
      <right/>
      <top style="thin">
        <color rgb="FF969696"/>
      </top>
      <bottom style="thin">
        <color rgb="FF969696"/>
      </bottom>
      <diagonal/>
    </border>
    <border>
      <left style="thin">
        <color rgb="FFAAAAAA"/>
      </left>
      <right/>
      <top/>
      <bottom/>
      <diagonal/>
    </border>
    <border>
      <left/>
      <right style="thin">
        <color rgb="FFAAAAAA"/>
      </right>
      <top style="thin">
        <color rgb="FFAAAAAA"/>
      </top>
      <bottom style="thin">
        <color rgb="FFAAAAAA"/>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969696"/>
      </bottom>
      <diagonal/>
    </border>
    <border>
      <left style="thin">
        <color rgb="FF969696"/>
      </left>
      <right style="thin">
        <color rgb="FF969696"/>
      </right>
      <top style="thin">
        <color rgb="FF969696"/>
      </top>
      <bottom style="thin">
        <color rgb="FF969696"/>
      </bottom>
      <diagonal/>
    </border>
    <border>
      <left style="thin">
        <color rgb="FFAAAAAA"/>
      </left>
      <right style="thin">
        <color rgb="FFAAAAAA"/>
      </right>
      <top style="thin">
        <color rgb="FF969696"/>
      </top>
      <bottom style="thin">
        <color rgb="FFAAAAAA"/>
      </bottom>
      <diagonal/>
    </border>
    <border>
      <left/>
      <right style="thin">
        <color rgb="FFAAAAAA"/>
      </right>
      <top style="thin">
        <color rgb="FFAAAAAA"/>
      </top>
      <bottom/>
      <diagonal/>
    </border>
    <border>
      <left style="thin">
        <color rgb="FFAAAAAA"/>
      </left>
      <right style="thin">
        <color rgb="FFAAAAAA"/>
      </right>
      <top/>
      <bottom style="thin">
        <color rgb="FFAAAAAA"/>
      </bottom>
      <diagonal/>
    </border>
    <border>
      <left style="thin">
        <color rgb="FF969696"/>
      </left>
      <right style="thin">
        <color rgb="FFAAAAAA"/>
      </right>
      <top style="thin">
        <color rgb="FFAAAAAA"/>
      </top>
      <bottom style="thin">
        <color rgb="FFAAAAAA"/>
      </bottom>
      <diagonal/>
    </border>
    <border>
      <left/>
      <right style="thin">
        <color rgb="FFAAAAAA"/>
      </right>
      <top/>
      <bottom style="thin">
        <color rgb="FFAAAAAA"/>
      </bottom>
      <diagonal/>
    </border>
    <border>
      <left style="thin">
        <color rgb="FF969696"/>
      </left>
      <right style="thin">
        <color rgb="FF969696"/>
      </right>
      <top style="thin">
        <color rgb="FFAAAAAA"/>
      </top>
      <bottom style="thin">
        <color rgb="FFAAAAAA"/>
      </bottom>
      <diagonal/>
    </border>
    <border>
      <left style="thin">
        <color rgb="FF969696"/>
      </left>
      <right style="thin">
        <color rgb="FF969696"/>
      </right>
      <top/>
      <bottom style="thin">
        <color rgb="FFAAAAAA"/>
      </bottom>
      <diagonal/>
    </border>
    <border>
      <left/>
      <right style="thin">
        <color rgb="FFAAAAAA"/>
      </right>
      <top/>
      <bottom/>
      <diagonal/>
    </border>
    <border>
      <left style="thin">
        <color rgb="FF969696"/>
      </left>
      <right style="thin">
        <color rgb="FFAAAAAA"/>
      </right>
      <top/>
      <bottom style="thin">
        <color rgb="FFAAAAAA"/>
      </bottom>
      <diagonal/>
    </border>
    <border>
      <left style="thin">
        <color rgb="FF000000"/>
      </left>
      <right style="thin">
        <color rgb="FF000000"/>
      </right>
      <top style="thin">
        <color rgb="FFAAAAAA"/>
      </top>
      <bottom style="thin">
        <color rgb="FFAAAAAA"/>
      </bottom>
      <diagonal/>
    </border>
    <border>
      <left style="thin">
        <color rgb="FF000000"/>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000000"/>
      </left>
      <right/>
      <top/>
      <bottom style="thin">
        <color rgb="FFCCCCCC"/>
      </bottom>
      <diagonal/>
    </border>
    <border>
      <left style="thin">
        <color rgb="FF000000"/>
      </left>
      <right/>
      <top style="thin">
        <color rgb="FFCCCCCC"/>
      </top>
      <bottom style="thin">
        <color rgb="FFCCCCCC"/>
      </bottom>
      <diagonal/>
    </border>
    <border>
      <left style="thin">
        <color rgb="FF969696"/>
      </left>
      <right/>
      <top/>
      <bottom/>
      <diagonal/>
    </border>
    <border>
      <left/>
      <right/>
      <top style="thin">
        <color rgb="FF969696"/>
      </top>
      <bottom/>
      <diagonal/>
    </border>
    <border>
      <left style="thin">
        <color rgb="FF000000"/>
      </left>
      <right style="thin">
        <color rgb="FF000000"/>
      </right>
      <top style="thin">
        <color rgb="FFCCCCCC"/>
      </top>
      <bottom style="thin">
        <color rgb="FFCCCCCC"/>
      </bottom>
      <diagonal/>
    </border>
    <border>
      <left/>
      <right style="thin">
        <color rgb="FF000000"/>
      </right>
      <top style="thin">
        <color rgb="FFCCCCCC"/>
      </top>
      <bottom style="thin">
        <color rgb="FFAAAAAA"/>
      </bottom>
      <diagonal/>
    </border>
    <border>
      <left style="thin">
        <color rgb="FF000000"/>
      </left>
      <right style="thin">
        <color rgb="FF000000"/>
      </right>
      <top/>
      <bottom style="thin">
        <color rgb="FFCCCCCC"/>
      </bottom>
      <diagonal/>
    </border>
    <border>
      <left style="thin">
        <color rgb="FF000000"/>
      </left>
      <right style="thin">
        <color rgb="FF000000"/>
      </right>
      <top style="thin">
        <color rgb="FFBBBBBB"/>
      </top>
      <bottom style="thin">
        <color rgb="FFCCCCCC"/>
      </bottom>
      <diagonal/>
    </border>
    <border>
      <left style="thin">
        <color rgb="FFAAAAAA"/>
      </left>
      <right style="thin">
        <color rgb="FF000000"/>
      </right>
      <top/>
      <bottom style="thin">
        <color rgb="FFAAAAAA"/>
      </bottom>
      <diagonal/>
    </border>
    <border>
      <left/>
      <right style="thin">
        <color rgb="FFAAAAAA"/>
      </right>
      <top style="thin">
        <color rgb="FF969696"/>
      </top>
      <bottom style="thin">
        <color rgb="FFAAAAAA"/>
      </bottom>
      <diagonal/>
    </border>
    <border>
      <left style="thin">
        <color rgb="FF000000"/>
      </left>
      <right style="thin">
        <color rgb="FF000000"/>
      </right>
      <top/>
      <bottom style="thin">
        <color rgb="FF000000"/>
      </bottom>
      <diagonal/>
    </border>
  </borders>
  <cellStyleXfs count="1">
    <xf numFmtId="0" fontId="0" fillId="0" borderId="0"/>
  </cellStyleXfs>
  <cellXfs count="648">
    <xf numFmtId="0" fontId="0" fillId="0" borderId="0" xfId="0" applyFont="1" applyAlignment="1"/>
    <xf numFmtId="0" fontId="1" fillId="2" borderId="0" xfId="0" applyFont="1" applyFill="1" applyAlignment="1"/>
    <xf numFmtId="0" fontId="2" fillId="3" borderId="1" xfId="0" applyFont="1" applyFill="1" applyBorder="1" applyAlignment="1">
      <alignment vertical="top"/>
    </xf>
    <xf numFmtId="0" fontId="1" fillId="2" borderId="0" xfId="0" applyFont="1" applyFill="1" applyAlignment="1">
      <alignment wrapText="1"/>
    </xf>
    <xf numFmtId="0" fontId="2" fillId="3" borderId="1" xfId="0" applyFont="1" applyFill="1" applyBorder="1" applyAlignment="1">
      <alignment horizontal="left"/>
    </xf>
    <xf numFmtId="0" fontId="2" fillId="4" borderId="0" xfId="0" applyFont="1" applyFill="1" applyAlignment="1">
      <alignment vertical="top"/>
    </xf>
    <xf numFmtId="0" fontId="2" fillId="5" borderId="2" xfId="0" applyFont="1" applyFill="1" applyBorder="1" applyAlignment="1">
      <alignment vertical="top"/>
    </xf>
    <xf numFmtId="0" fontId="2" fillId="4" borderId="0" xfId="0" applyFont="1" applyFill="1" applyAlignment="1">
      <alignment vertical="top" wrapText="1"/>
    </xf>
    <xf numFmtId="0" fontId="2" fillId="5" borderId="1" xfId="0" applyFont="1" applyFill="1" applyBorder="1" applyAlignment="1">
      <alignment horizontal="left"/>
    </xf>
    <xf numFmtId="0" fontId="3" fillId="4" borderId="0" xfId="0" applyFont="1" applyFill="1" applyAlignment="1">
      <alignment vertical="top" wrapText="1"/>
    </xf>
    <xf numFmtId="0" fontId="2" fillId="6" borderId="1" xfId="0" applyFont="1" applyFill="1" applyBorder="1" applyAlignment="1">
      <alignment vertical="top"/>
    </xf>
    <xf numFmtId="0" fontId="4" fillId="4" borderId="3" xfId="0" applyFont="1" applyFill="1" applyBorder="1" applyAlignment="1">
      <alignment vertical="top"/>
    </xf>
    <xf numFmtId="0" fontId="2" fillId="7" borderId="4" xfId="0" applyFont="1" applyFill="1" applyBorder="1" applyAlignment="1">
      <alignment vertical="top"/>
    </xf>
    <xf numFmtId="0" fontId="1" fillId="0" borderId="2" xfId="0" applyFont="1" applyBorder="1" applyAlignment="1">
      <alignment vertical="top"/>
    </xf>
    <xf numFmtId="0" fontId="5" fillId="5" borderId="0" xfId="0" applyFont="1" applyFill="1" applyAlignment="1"/>
    <xf numFmtId="0" fontId="6" fillId="0" borderId="0" xfId="0" applyFont="1" applyAlignment="1"/>
    <xf numFmtId="0" fontId="2" fillId="7" borderId="5" xfId="0" applyFont="1" applyFill="1" applyBorder="1" applyAlignment="1">
      <alignment vertical="top"/>
    </xf>
    <xf numFmtId="164" fontId="2" fillId="4" borderId="0" xfId="0" applyNumberFormat="1" applyFont="1" applyFill="1" applyAlignment="1">
      <alignment vertical="top"/>
    </xf>
    <xf numFmtId="0" fontId="2" fillId="8" borderId="1" xfId="0" applyFont="1" applyFill="1" applyBorder="1" applyAlignment="1">
      <alignment vertical="top"/>
    </xf>
    <xf numFmtId="164" fontId="2" fillId="4" borderId="0" xfId="0" applyNumberFormat="1" applyFont="1" applyFill="1" applyAlignment="1">
      <alignment vertical="top" wrapText="1"/>
    </xf>
    <xf numFmtId="0" fontId="7" fillId="9" borderId="1" xfId="0" applyFont="1" applyFill="1" applyBorder="1" applyAlignment="1">
      <alignment vertical="top"/>
    </xf>
    <xf numFmtId="164" fontId="3" fillId="4" borderId="0" xfId="0" applyNumberFormat="1" applyFont="1" applyFill="1" applyAlignment="1">
      <alignment vertical="top" wrapText="1"/>
    </xf>
    <xf numFmtId="0" fontId="2" fillId="9" borderId="1" xfId="0" applyFont="1" applyFill="1" applyBorder="1" applyAlignment="1">
      <alignment vertical="top"/>
    </xf>
    <xf numFmtId="164" fontId="4" fillId="4" borderId="3" xfId="0" applyNumberFormat="1" applyFont="1" applyFill="1" applyBorder="1" applyAlignment="1">
      <alignment horizontal="right" vertical="top"/>
    </xf>
    <xf numFmtId="0" fontId="2" fillId="10" borderId="1" xfId="0" applyFont="1" applyFill="1" applyBorder="1" applyAlignment="1">
      <alignment vertical="top"/>
    </xf>
    <xf numFmtId="0" fontId="2" fillId="11" borderId="1" xfId="0" applyFont="1" applyFill="1" applyBorder="1" applyAlignment="1">
      <alignment vertical="top"/>
    </xf>
    <xf numFmtId="0" fontId="2" fillId="0" borderId="1" xfId="0" applyFont="1" applyBorder="1" applyAlignment="1"/>
    <xf numFmtId="0" fontId="2" fillId="0" borderId="5" xfId="0" applyFont="1" applyBorder="1" applyAlignment="1">
      <alignment horizontal="right"/>
    </xf>
    <xf numFmtId="165" fontId="8" fillId="0" borderId="0" xfId="0" applyNumberFormat="1" applyFont="1"/>
    <xf numFmtId="0" fontId="9" fillId="12" borderId="0" xfId="0" applyFont="1" applyFill="1" applyAlignment="1"/>
    <xf numFmtId="0" fontId="1" fillId="0" borderId="6" xfId="0" applyFont="1" applyBorder="1" applyAlignment="1">
      <alignment vertical="top" wrapText="1"/>
    </xf>
    <xf numFmtId="0" fontId="3" fillId="3" borderId="7" xfId="0" applyFont="1" applyFill="1" applyBorder="1" applyAlignment="1">
      <alignment vertical="top" wrapText="1"/>
    </xf>
    <xf numFmtId="166" fontId="8" fillId="0" borderId="0" xfId="0" applyNumberFormat="1" applyFont="1"/>
    <xf numFmtId="0" fontId="3" fillId="3" borderId="7" xfId="0" applyFont="1" applyFill="1" applyBorder="1" applyAlignment="1">
      <alignment horizontal="left" wrapText="1"/>
    </xf>
    <xf numFmtId="0" fontId="8" fillId="0" borderId="0" xfId="0" applyFont="1"/>
    <xf numFmtId="0" fontId="3" fillId="5" borderId="6" xfId="0" applyFont="1" applyFill="1" applyBorder="1" applyAlignment="1">
      <alignment vertical="top" wrapText="1"/>
    </xf>
    <xf numFmtId="0" fontId="3" fillId="5" borderId="7" xfId="0" applyFont="1" applyFill="1" applyBorder="1" applyAlignment="1">
      <alignment horizontal="left" wrapText="1"/>
    </xf>
    <xf numFmtId="0" fontId="3" fillId="6" borderId="7" xfId="0" applyFont="1" applyFill="1" applyBorder="1" applyAlignment="1">
      <alignment vertical="top" wrapText="1"/>
    </xf>
    <xf numFmtId="0" fontId="3" fillId="7" borderId="4" xfId="0" applyFont="1" applyFill="1" applyBorder="1" applyAlignment="1">
      <alignment vertical="top" wrapText="1"/>
    </xf>
    <xf numFmtId="167" fontId="8" fillId="0" borderId="0" xfId="0" applyNumberFormat="1" applyFont="1"/>
    <xf numFmtId="0" fontId="3" fillId="8" borderId="7" xfId="0" applyFont="1" applyFill="1" applyBorder="1" applyAlignment="1">
      <alignment vertical="top" wrapText="1"/>
    </xf>
    <xf numFmtId="14" fontId="8" fillId="0" borderId="0" xfId="0" applyNumberFormat="1" applyFont="1"/>
    <xf numFmtId="0" fontId="3" fillId="9" borderId="7" xfId="0" applyFont="1" applyFill="1" applyBorder="1" applyAlignment="1">
      <alignment vertical="top" wrapText="1"/>
    </xf>
    <xf numFmtId="0" fontId="10" fillId="9" borderId="7" xfId="0" applyFont="1" applyFill="1" applyBorder="1" applyAlignment="1">
      <alignment vertical="top" wrapText="1"/>
    </xf>
    <xf numFmtId="0" fontId="3" fillId="10" borderId="7" xfId="0" applyFont="1" applyFill="1" applyBorder="1" applyAlignment="1">
      <alignment vertical="top" wrapText="1"/>
    </xf>
    <xf numFmtId="0" fontId="3" fillId="11" borderId="7" xfId="0" applyFont="1" applyFill="1" applyBorder="1" applyAlignment="1">
      <alignment vertical="top" wrapText="1"/>
    </xf>
    <xf numFmtId="0" fontId="4" fillId="4" borderId="3" xfId="0" applyFont="1" applyFill="1" applyBorder="1" applyAlignment="1">
      <alignment vertical="top"/>
    </xf>
    <xf numFmtId="0" fontId="2" fillId="11" borderId="7" xfId="0" applyFont="1" applyFill="1" applyBorder="1" applyAlignment="1">
      <alignment vertical="top" wrapText="1"/>
    </xf>
    <xf numFmtId="0" fontId="4" fillId="4" borderId="3" xfId="0" applyFont="1" applyFill="1" applyBorder="1" applyAlignment="1">
      <alignment vertical="top" wrapText="1"/>
    </xf>
    <xf numFmtId="0" fontId="2" fillId="0" borderId="7" xfId="0" applyFont="1" applyBorder="1" applyAlignment="1">
      <alignment wrapText="1"/>
    </xf>
    <xf numFmtId="0" fontId="2" fillId="0" borderId="8" xfId="0" applyFont="1" applyBorder="1" applyAlignment="1">
      <alignment horizontal="right" wrapText="1"/>
    </xf>
    <xf numFmtId="0" fontId="9" fillId="12" borderId="0" xfId="0" applyFont="1" applyFill="1" applyAlignment="1">
      <alignment wrapText="1"/>
    </xf>
    <xf numFmtId="0" fontId="1" fillId="0" borderId="6" xfId="0" applyFont="1" applyBorder="1" applyAlignment="1">
      <alignment vertical="top"/>
    </xf>
    <xf numFmtId="0" fontId="2" fillId="3" borderId="7" xfId="0" applyFont="1" applyFill="1" applyBorder="1" applyAlignment="1">
      <alignment vertical="top"/>
    </xf>
    <xf numFmtId="0" fontId="2" fillId="3" borderId="7" xfId="0" applyFont="1" applyFill="1" applyBorder="1" applyAlignment="1">
      <alignment horizontal="left"/>
    </xf>
    <xf numFmtId="0" fontId="2" fillId="5" borderId="6" xfId="0" applyFont="1" applyFill="1" applyBorder="1" applyAlignment="1">
      <alignment vertical="top"/>
    </xf>
    <xf numFmtId="0" fontId="11" fillId="0" borderId="0" xfId="0" applyFont="1"/>
    <xf numFmtId="0" fontId="2" fillId="5" borderId="7" xfId="0" applyFont="1" applyFill="1" applyBorder="1" applyAlignment="1">
      <alignment horizontal="left"/>
    </xf>
    <xf numFmtId="0" fontId="2" fillId="6" borderId="7" xfId="0" applyFont="1" applyFill="1" applyBorder="1" applyAlignment="1">
      <alignment vertical="top"/>
    </xf>
    <xf numFmtId="0" fontId="2" fillId="8" borderId="7" xfId="0" applyFont="1" applyFill="1" applyBorder="1" applyAlignment="1">
      <alignment vertical="top"/>
    </xf>
    <xf numFmtId="0" fontId="12" fillId="4" borderId="0" xfId="0" applyFont="1" applyFill="1" applyAlignment="1">
      <alignment vertical="top" wrapText="1"/>
    </xf>
    <xf numFmtId="0" fontId="3" fillId="4" borderId="0" xfId="0" applyFont="1" applyFill="1" applyAlignment="1">
      <alignment vertical="top" wrapText="1"/>
    </xf>
    <xf numFmtId="0" fontId="2" fillId="9" borderId="7" xfId="0" applyFont="1" applyFill="1" applyBorder="1" applyAlignment="1">
      <alignment vertical="top"/>
    </xf>
    <xf numFmtId="0" fontId="2" fillId="10" borderId="7" xfId="0" applyFont="1" applyFill="1" applyBorder="1" applyAlignment="1">
      <alignment vertical="top"/>
    </xf>
    <xf numFmtId="0" fontId="2" fillId="11" borderId="7" xfId="0" applyFont="1" applyFill="1" applyBorder="1" applyAlignment="1">
      <alignment vertical="top"/>
    </xf>
    <xf numFmtId="0" fontId="2" fillId="0" borderId="7" xfId="0" applyFont="1" applyBorder="1" applyAlignment="1"/>
    <xf numFmtId="0" fontId="2" fillId="0" borderId="8" xfId="0" applyFont="1" applyBorder="1" applyAlignment="1">
      <alignment horizontal="right"/>
    </xf>
    <xf numFmtId="0" fontId="9" fillId="12" borderId="0" xfId="0" applyFont="1" applyFill="1" applyAlignment="1"/>
    <xf numFmtId="0" fontId="7" fillId="0" borderId="9" xfId="0" applyFont="1" applyBorder="1" applyAlignment="1"/>
    <xf numFmtId="0" fontId="8" fillId="0" borderId="0" xfId="0" applyFont="1" applyAlignment="1"/>
    <xf numFmtId="0" fontId="7" fillId="3" borderId="0" xfId="0" applyFont="1" applyFill="1" applyAlignment="1"/>
    <xf numFmtId="0" fontId="7" fillId="4" borderId="0" xfId="0" applyFont="1" applyFill="1" applyAlignment="1">
      <alignment vertical="top" wrapText="1"/>
    </xf>
    <xf numFmtId="14" fontId="7" fillId="3" borderId="0" xfId="0" applyNumberFormat="1" applyFont="1" applyFill="1" applyAlignment="1">
      <alignment horizontal="left"/>
    </xf>
    <xf numFmtId="0" fontId="2" fillId="9" borderId="0" xfId="0" applyFont="1" applyFill="1" applyAlignment="1">
      <alignment vertical="top"/>
    </xf>
    <xf numFmtId="0" fontId="7" fillId="5" borderId="9" xfId="0" applyFont="1" applyFill="1" applyBorder="1" applyAlignment="1">
      <alignment horizontal="left"/>
    </xf>
    <xf numFmtId="0" fontId="7" fillId="9" borderId="0" xfId="0" applyFont="1" applyFill="1" applyAlignment="1">
      <alignment vertical="top" wrapText="1"/>
    </xf>
    <xf numFmtId="165" fontId="7" fillId="5" borderId="0" xfId="0" applyNumberFormat="1" applyFont="1" applyFill="1" applyAlignment="1">
      <alignment horizontal="left"/>
    </xf>
    <xf numFmtId="0" fontId="12" fillId="9" borderId="0" xfId="0" applyFont="1" applyFill="1" applyAlignment="1">
      <alignment vertical="top" wrapText="1"/>
    </xf>
    <xf numFmtId="0" fontId="7" fillId="5" borderId="0" xfId="0" applyFont="1" applyFill="1" applyAlignment="1">
      <alignment horizontal="left"/>
    </xf>
    <xf numFmtId="0" fontId="2" fillId="9" borderId="3" xfId="0" applyFont="1" applyFill="1" applyBorder="1" applyAlignment="1">
      <alignment vertical="top"/>
    </xf>
    <xf numFmtId="0" fontId="7" fillId="13" borderId="0" xfId="0" applyFont="1" applyFill="1" applyAlignment="1"/>
    <xf numFmtId="165" fontId="8" fillId="0" borderId="0" xfId="0" applyNumberFormat="1" applyFont="1" applyAlignment="1"/>
    <xf numFmtId="0" fontId="7" fillId="0" borderId="10" xfId="0" applyFont="1" applyBorder="1" applyAlignment="1"/>
    <xf numFmtId="0" fontId="7" fillId="14" borderId="0" xfId="0" applyFont="1" applyFill="1" applyAlignment="1">
      <alignment horizontal="left" wrapText="1"/>
    </xf>
    <xf numFmtId="0" fontId="7" fillId="0" borderId="11" xfId="0" applyFont="1" applyBorder="1" applyAlignment="1"/>
    <xf numFmtId="0" fontId="7" fillId="0" borderId="0" xfId="0" applyFont="1" applyAlignment="1"/>
    <xf numFmtId="0" fontId="2" fillId="8" borderId="0" xfId="0" applyFont="1" applyFill="1" applyAlignment="1">
      <alignment vertical="top"/>
    </xf>
    <xf numFmtId="0" fontId="2" fillId="8" borderId="0" xfId="0" applyFont="1" applyFill="1" applyAlignment="1">
      <alignment vertical="top" wrapText="1"/>
    </xf>
    <xf numFmtId="0" fontId="3" fillId="8" borderId="0" xfId="0" applyFont="1" applyFill="1" applyAlignment="1">
      <alignment vertical="top" wrapText="1"/>
    </xf>
    <xf numFmtId="0" fontId="2" fillId="8" borderId="12" xfId="0" applyFont="1" applyFill="1" applyBorder="1" applyAlignment="1">
      <alignment vertical="top" wrapText="1"/>
    </xf>
    <xf numFmtId="0" fontId="4" fillId="8" borderId="13" xfId="0" applyFont="1" applyFill="1" applyBorder="1" applyAlignment="1">
      <alignment vertical="top"/>
    </xf>
    <xf numFmtId="0" fontId="13" fillId="0" borderId="0" xfId="0" applyFont="1" applyAlignment="1"/>
    <xf numFmtId="0" fontId="7" fillId="0" borderId="14" xfId="0" applyFont="1" applyBorder="1" applyAlignment="1"/>
    <xf numFmtId="0" fontId="14" fillId="0" borderId="0" xfId="0" applyFont="1"/>
    <xf numFmtId="0" fontId="7" fillId="5" borderId="15" xfId="0" applyFont="1" applyFill="1" applyBorder="1" applyAlignment="1">
      <alignment vertical="top"/>
    </xf>
    <xf numFmtId="0" fontId="3" fillId="8" borderId="0" xfId="0" applyFont="1" applyFill="1" applyAlignment="1">
      <alignment vertical="top" wrapText="1"/>
    </xf>
    <xf numFmtId="0" fontId="7" fillId="0" borderId="0" xfId="0" applyFont="1" applyAlignment="1"/>
    <xf numFmtId="0" fontId="7" fillId="5" borderId="16" xfId="0" applyFont="1" applyFill="1" applyBorder="1" applyAlignment="1"/>
    <xf numFmtId="0" fontId="15" fillId="8" borderId="3" xfId="0" applyFont="1" applyFill="1" applyBorder="1" applyAlignment="1">
      <alignment vertical="top"/>
    </xf>
    <xf numFmtId="0" fontId="16" fillId="0" borderId="17" xfId="0" applyFont="1" applyBorder="1" applyAlignment="1"/>
    <xf numFmtId="0" fontId="7" fillId="0" borderId="18" xfId="0" applyFont="1" applyBorder="1" applyAlignment="1"/>
    <xf numFmtId="0" fontId="7" fillId="5" borderId="19" xfId="0" applyFont="1" applyFill="1" applyBorder="1" applyAlignment="1">
      <alignment vertical="top"/>
    </xf>
    <xf numFmtId="0" fontId="7" fillId="0" borderId="0" xfId="0" applyFont="1" applyAlignment="1"/>
    <xf numFmtId="0" fontId="1" fillId="0" borderId="9" xfId="0" applyFont="1" applyBorder="1" applyAlignment="1"/>
    <xf numFmtId="0" fontId="7" fillId="5" borderId="0" xfId="0" applyFont="1" applyFill="1" applyAlignment="1">
      <alignment horizontal="left"/>
    </xf>
    <xf numFmtId="0" fontId="17" fillId="0" borderId="10" xfId="0" applyFont="1" applyBorder="1" applyAlignment="1"/>
    <xf numFmtId="0" fontId="17" fillId="0" borderId="11" xfId="0" applyFont="1" applyBorder="1" applyAlignment="1"/>
    <xf numFmtId="0" fontId="18" fillId="0" borderId="0" xfId="0" applyFont="1" applyAlignment="1"/>
    <xf numFmtId="0" fontId="2" fillId="5" borderId="0" xfId="0" applyFont="1" applyFill="1" applyAlignment="1">
      <alignment vertical="top"/>
    </xf>
    <xf numFmtId="0" fontId="2" fillId="5" borderId="16" xfId="0" applyFont="1" applyFill="1" applyBorder="1" applyAlignment="1"/>
    <xf numFmtId="0" fontId="19" fillId="0" borderId="0" xfId="0" applyFont="1" applyAlignment="1"/>
    <xf numFmtId="0" fontId="19" fillId="0" borderId="0" xfId="0" applyFont="1" applyAlignment="1"/>
    <xf numFmtId="0" fontId="10" fillId="0" borderId="0" xfId="0" applyFont="1" applyAlignment="1"/>
    <xf numFmtId="0" fontId="20" fillId="0" borderId="0" xfId="0" applyFont="1" applyAlignment="1"/>
    <xf numFmtId="0" fontId="10" fillId="0" borderId="14" xfId="0" applyFont="1" applyBorder="1" applyAlignment="1"/>
    <xf numFmtId="0" fontId="3" fillId="5" borderId="15" xfId="0" applyFont="1" applyFill="1" applyBorder="1" applyAlignment="1">
      <alignment vertical="top"/>
    </xf>
    <xf numFmtId="0" fontId="10" fillId="0" borderId="0" xfId="0" applyFont="1" applyAlignment="1"/>
    <xf numFmtId="0" fontId="3" fillId="5" borderId="16" xfId="0" applyFont="1" applyFill="1" applyBorder="1" applyAlignment="1"/>
    <xf numFmtId="165" fontId="21" fillId="0" borderId="0" xfId="0" applyNumberFormat="1" applyFont="1"/>
    <xf numFmtId="0" fontId="22" fillId="0" borderId="17" xfId="0" applyFont="1" applyBorder="1" applyAlignment="1"/>
    <xf numFmtId="0" fontId="23" fillId="0" borderId="0" xfId="0" applyFont="1" applyAlignment="1"/>
    <xf numFmtId="0" fontId="3" fillId="5" borderId="19" xfId="0" applyFont="1" applyFill="1" applyBorder="1" applyAlignment="1">
      <alignment vertical="top"/>
    </xf>
    <xf numFmtId="0" fontId="24" fillId="0" borderId="0" xfId="0" applyFont="1" applyAlignment="1"/>
    <xf numFmtId="0" fontId="24" fillId="0" borderId="0" xfId="0" applyFont="1" applyAlignment="1"/>
    <xf numFmtId="0" fontId="10" fillId="0" borderId="11" xfId="0" applyFont="1" applyBorder="1" applyAlignment="1"/>
    <xf numFmtId="0" fontId="7" fillId="6" borderId="0" xfId="0" applyFont="1" applyFill="1" applyAlignment="1"/>
    <xf numFmtId="0" fontId="17" fillId="14" borderId="0" xfId="0" applyFont="1" applyFill="1" applyAlignment="1">
      <alignment horizontal="left" wrapText="1"/>
    </xf>
    <xf numFmtId="0" fontId="7" fillId="5" borderId="20" xfId="0" applyFont="1" applyFill="1" applyBorder="1" applyAlignment="1"/>
    <xf numFmtId="0" fontId="7" fillId="0" borderId="11" xfId="0" applyFont="1" applyBorder="1" applyAlignment="1">
      <alignment horizontal="right"/>
    </xf>
    <xf numFmtId="0" fontId="2" fillId="6" borderId="0" xfId="0" applyFont="1" applyFill="1" applyAlignment="1"/>
    <xf numFmtId="0" fontId="25" fillId="5" borderId="0" xfId="0" applyFont="1" applyFill="1" applyAlignment="1"/>
    <xf numFmtId="0" fontId="26" fillId="0" borderId="0" xfId="0" applyFont="1" applyAlignment="1"/>
    <xf numFmtId="0" fontId="27" fillId="5" borderId="0" xfId="0" applyFont="1" applyFill="1" applyAlignment="1"/>
    <xf numFmtId="0" fontId="7" fillId="0" borderId="17" xfId="0" applyFont="1" applyBorder="1" applyAlignment="1"/>
    <xf numFmtId="0" fontId="7" fillId="0" borderId="16" xfId="0" applyFont="1" applyBorder="1" applyAlignment="1"/>
    <xf numFmtId="0" fontId="7" fillId="0" borderId="0" xfId="0" applyFont="1" applyAlignment="1">
      <alignment vertical="top"/>
    </xf>
    <xf numFmtId="0" fontId="2" fillId="0" borderId="0" xfId="0" applyFont="1" applyAlignment="1">
      <alignment vertical="top"/>
    </xf>
    <xf numFmtId="0" fontId="10" fillId="0" borderId="16" xfId="0" applyFont="1" applyBorder="1" applyAlignment="1"/>
    <xf numFmtId="0" fontId="3" fillId="0" borderId="0" xfId="0" applyFont="1" applyAlignment="1">
      <alignment vertical="top"/>
    </xf>
    <xf numFmtId="0" fontId="10" fillId="0" borderId="11" xfId="0" applyFont="1" applyBorder="1" applyAlignment="1">
      <alignment horizontal="right"/>
    </xf>
    <xf numFmtId="0" fontId="28" fillId="12" borderId="0" xfId="0" applyFont="1" applyFill="1" applyAlignment="1"/>
    <xf numFmtId="0" fontId="29" fillId="0" borderId="9" xfId="0" applyFont="1" applyBorder="1" applyAlignment="1"/>
    <xf numFmtId="0" fontId="29" fillId="3" borderId="0" xfId="0" applyFont="1" applyFill="1" applyAlignment="1"/>
    <xf numFmtId="14" fontId="29" fillId="3" borderId="0" xfId="0" applyNumberFormat="1" applyFont="1" applyFill="1" applyAlignment="1">
      <alignment horizontal="left"/>
    </xf>
    <xf numFmtId="0" fontId="29" fillId="5" borderId="9" xfId="0" applyFont="1" applyFill="1" applyBorder="1" applyAlignment="1">
      <alignment horizontal="left"/>
    </xf>
    <xf numFmtId="165" fontId="29" fillId="5" borderId="0" xfId="0" applyNumberFormat="1" applyFont="1" applyFill="1" applyAlignment="1">
      <alignment horizontal="left"/>
    </xf>
    <xf numFmtId="0" fontId="29" fillId="5" borderId="0" xfId="0" applyFont="1" applyFill="1" applyAlignment="1">
      <alignment horizontal="left"/>
    </xf>
    <xf numFmtId="0" fontId="29" fillId="6" borderId="0" xfId="0" applyFont="1" applyFill="1" applyAlignment="1"/>
    <xf numFmtId="0" fontId="29" fillId="0" borderId="10" xfId="0" applyFont="1" applyBorder="1" applyAlignment="1"/>
    <xf numFmtId="0" fontId="29" fillId="0" borderId="11" xfId="0" applyFont="1" applyBorder="1" applyAlignment="1"/>
    <xf numFmtId="0" fontId="29" fillId="0" borderId="0" xfId="0" applyFont="1" applyAlignment="1"/>
    <xf numFmtId="0" fontId="30" fillId="0" borderId="0" xfId="0" applyFont="1" applyAlignment="1"/>
    <xf numFmtId="0" fontId="29" fillId="0" borderId="0" xfId="0" applyFont="1" applyAlignment="1"/>
    <xf numFmtId="0" fontId="29" fillId="5" borderId="20" xfId="0" applyFont="1" applyFill="1" applyBorder="1" applyAlignment="1"/>
    <xf numFmtId="0" fontId="29" fillId="0" borderId="19" xfId="0" applyFont="1" applyBorder="1" applyAlignment="1"/>
    <xf numFmtId="0" fontId="29" fillId="0" borderId="20" xfId="0" applyFont="1" applyBorder="1" applyAlignment="1"/>
    <xf numFmtId="0" fontId="29" fillId="0" borderId="11" xfId="0" applyFont="1" applyBorder="1" applyAlignment="1">
      <alignment horizontal="right"/>
    </xf>
    <xf numFmtId="0" fontId="31" fillId="12" borderId="0" xfId="0" applyFont="1" applyFill="1" applyAlignment="1"/>
    <xf numFmtId="0" fontId="2" fillId="5" borderId="20" xfId="0" applyFont="1" applyFill="1" applyBorder="1" applyAlignment="1"/>
    <xf numFmtId="0" fontId="7" fillId="0" borderId="0" xfId="0" quotePrefix="1" applyFont="1" applyAlignment="1"/>
    <xf numFmtId="0" fontId="3" fillId="5" borderId="20" xfId="0" applyFont="1" applyFill="1" applyBorder="1" applyAlignment="1"/>
    <xf numFmtId="0" fontId="10" fillId="0" borderId="18" xfId="0" applyFont="1" applyBorder="1" applyAlignment="1"/>
    <xf numFmtId="0" fontId="7" fillId="0" borderId="21" xfId="0" applyFont="1" applyBorder="1" applyAlignment="1"/>
    <xf numFmtId="0" fontId="32" fillId="0" borderId="9" xfId="0" applyFont="1" applyBorder="1" applyAlignment="1"/>
    <xf numFmtId="0" fontId="10" fillId="3" borderId="0" xfId="0" applyFont="1" applyFill="1" applyAlignment="1"/>
    <xf numFmtId="14" fontId="10" fillId="3" borderId="0" xfId="0" applyNumberFormat="1" applyFont="1" applyFill="1" applyAlignment="1">
      <alignment horizontal="left"/>
    </xf>
    <xf numFmtId="0" fontId="10" fillId="5" borderId="9" xfId="0" applyFont="1" applyFill="1" applyBorder="1" applyAlignment="1">
      <alignment horizontal="left"/>
    </xf>
    <xf numFmtId="0" fontId="10" fillId="5" borderId="0" xfId="0" applyFont="1" applyFill="1" applyAlignment="1">
      <alignment horizontal="left"/>
    </xf>
    <xf numFmtId="0" fontId="3" fillId="6" borderId="0" xfId="0" applyFont="1" applyFill="1" applyAlignment="1"/>
    <xf numFmtId="0" fontId="33" fillId="0" borderId="10" xfId="0" applyFont="1" applyBorder="1" applyAlignment="1"/>
    <xf numFmtId="0" fontId="33" fillId="0" borderId="11" xfId="0" applyFont="1" applyBorder="1" applyAlignment="1"/>
    <xf numFmtId="0" fontId="34" fillId="0" borderId="0" xfId="0" applyFont="1" applyAlignment="1"/>
    <xf numFmtId="0" fontId="28" fillId="12" borderId="0" xfId="0" applyFont="1" applyFill="1" applyAlignment="1"/>
    <xf numFmtId="0" fontId="35" fillId="0" borderId="0" xfId="0" applyFont="1" applyAlignment="1"/>
    <xf numFmtId="0" fontId="2" fillId="5" borderId="0" xfId="0" applyFont="1" applyFill="1" applyAlignment="1"/>
    <xf numFmtId="0" fontId="3" fillId="5" borderId="0" xfId="0" applyFont="1" applyFill="1" applyAlignment="1"/>
    <xf numFmtId="0" fontId="10" fillId="5" borderId="0" xfId="0" applyFont="1" applyFill="1" applyAlignment="1">
      <alignment horizontal="left"/>
    </xf>
    <xf numFmtId="0" fontId="2" fillId="0" borderId="0" xfId="0" applyFont="1" applyAlignment="1"/>
    <xf numFmtId="0" fontId="3" fillId="0" borderId="0" xfId="0" applyFont="1" applyAlignment="1"/>
    <xf numFmtId="0" fontId="7" fillId="0" borderId="22" xfId="0" applyFont="1" applyBorder="1" applyAlignment="1"/>
    <xf numFmtId="0" fontId="7" fillId="0" borderId="17" xfId="0" applyFont="1" applyBorder="1" applyAlignment="1"/>
    <xf numFmtId="0" fontId="10" fillId="0" borderId="17" xfId="0" applyFont="1" applyBorder="1" applyAlignment="1"/>
    <xf numFmtId="167" fontId="7" fillId="5" borderId="0" xfId="0" applyNumberFormat="1" applyFont="1" applyFill="1" applyAlignment="1">
      <alignment horizontal="left"/>
    </xf>
    <xf numFmtId="0" fontId="7" fillId="0" borderId="20" xfId="0" applyFont="1" applyBorder="1" applyAlignment="1"/>
    <xf numFmtId="0" fontId="36" fillId="5" borderId="0" xfId="0" applyFont="1" applyFill="1" applyAlignment="1"/>
    <xf numFmtId="0" fontId="37" fillId="0" borderId="0" xfId="0" applyFont="1" applyAlignment="1"/>
    <xf numFmtId="0" fontId="37" fillId="0" borderId="0" xfId="0" applyFont="1" applyAlignment="1">
      <alignment horizontal="left"/>
    </xf>
    <xf numFmtId="0" fontId="37" fillId="0" borderId="0" xfId="0" applyFont="1" applyAlignment="1"/>
    <xf numFmtId="0" fontId="38" fillId="0" borderId="0" xfId="0" applyFont="1" applyAlignment="1">
      <alignment horizontal="left"/>
    </xf>
    <xf numFmtId="0" fontId="38" fillId="0" borderId="0" xfId="0" applyFont="1" applyAlignment="1"/>
    <xf numFmtId="0" fontId="38" fillId="0" borderId="0" xfId="0" applyFont="1" applyAlignment="1"/>
    <xf numFmtId="0" fontId="39" fillId="0" borderId="0" xfId="0" applyFont="1" applyAlignment="1"/>
    <xf numFmtId="0" fontId="40" fillId="0" borderId="0" xfId="0" applyFont="1" applyAlignment="1"/>
    <xf numFmtId="165" fontId="10" fillId="5" borderId="0" xfId="0" applyNumberFormat="1" applyFont="1" applyFill="1" applyAlignment="1">
      <alignment horizontal="left"/>
    </xf>
    <xf numFmtId="0" fontId="41" fillId="0" borderId="0" xfId="0" applyFont="1" applyAlignment="1"/>
    <xf numFmtId="0" fontId="42" fillId="0" borderId="0" xfId="0" applyFont="1" applyAlignment="1"/>
    <xf numFmtId="0" fontId="43" fillId="5" borderId="0" xfId="0" applyFont="1" applyFill="1" applyAlignment="1"/>
    <xf numFmtId="0" fontId="7" fillId="15" borderId="10" xfId="0" applyFont="1" applyFill="1" applyBorder="1" applyAlignment="1"/>
    <xf numFmtId="0" fontId="7" fillId="15" borderId="0" xfId="0" applyFont="1" applyFill="1" applyAlignment="1"/>
    <xf numFmtId="0" fontId="44" fillId="15" borderId="0" xfId="0" applyFont="1" applyFill="1" applyAlignment="1"/>
    <xf numFmtId="0" fontId="7" fillId="15" borderId="0" xfId="0" applyFont="1" applyFill="1" applyAlignment="1"/>
    <xf numFmtId="0" fontId="12" fillId="8" borderId="0" xfId="0" applyFont="1" applyFill="1" applyAlignment="1">
      <alignment vertical="top" wrapText="1"/>
    </xf>
    <xf numFmtId="0" fontId="4" fillId="8" borderId="3" xfId="0" applyFont="1" applyFill="1" applyBorder="1" applyAlignment="1">
      <alignment vertical="top"/>
    </xf>
    <xf numFmtId="0" fontId="7" fillId="15" borderId="11" xfId="0" applyFont="1" applyFill="1" applyBorder="1" applyAlignment="1">
      <alignment horizontal="right"/>
    </xf>
    <xf numFmtId="0" fontId="2" fillId="15" borderId="0" xfId="0" applyFont="1" applyFill="1" applyAlignment="1"/>
    <xf numFmtId="0" fontId="45" fillId="15" borderId="0" xfId="0" applyFont="1" applyFill="1" applyAlignment="1"/>
    <xf numFmtId="0" fontId="10" fillId="0" borderId="9" xfId="0" applyFont="1" applyBorder="1" applyAlignment="1"/>
    <xf numFmtId="0" fontId="10" fillId="3" borderId="0" xfId="0" applyFont="1" applyFill="1" applyAlignment="1"/>
    <xf numFmtId="14" fontId="10" fillId="3" borderId="11" xfId="0" applyNumberFormat="1" applyFont="1" applyFill="1" applyBorder="1" applyAlignment="1"/>
    <xf numFmtId="0" fontId="10" fillId="15" borderId="0" xfId="0" applyFont="1" applyFill="1" applyAlignment="1"/>
    <xf numFmtId="0" fontId="10" fillId="15" borderId="0" xfId="0" applyFont="1" applyFill="1" applyAlignment="1"/>
    <xf numFmtId="0" fontId="10" fillId="15" borderId="12" xfId="0" applyFont="1" applyFill="1" applyBorder="1" applyAlignment="1"/>
    <xf numFmtId="0" fontId="10" fillId="15" borderId="12" xfId="0" applyFont="1" applyFill="1" applyBorder="1" applyAlignment="1"/>
    <xf numFmtId="0" fontId="10" fillId="15" borderId="11" xfId="0" applyFont="1" applyFill="1" applyBorder="1" applyAlignment="1"/>
    <xf numFmtId="0" fontId="10" fillId="15" borderId="11" xfId="0" applyFont="1" applyFill="1" applyBorder="1" applyAlignment="1"/>
    <xf numFmtId="0" fontId="10" fillId="15" borderId="0" xfId="0" applyFont="1" applyFill="1" applyAlignment="1"/>
    <xf numFmtId="0" fontId="46" fillId="15" borderId="0" xfId="0" applyFont="1" applyFill="1" applyAlignment="1"/>
    <xf numFmtId="0" fontId="10" fillId="15" borderId="0" xfId="0" applyFont="1" applyFill="1" applyAlignment="1"/>
    <xf numFmtId="0" fontId="27" fillId="15" borderId="12" xfId="0" applyFont="1" applyFill="1" applyBorder="1" applyAlignment="1"/>
    <xf numFmtId="0" fontId="7" fillId="0" borderId="10" xfId="0" applyFont="1" applyBorder="1" applyAlignment="1"/>
    <xf numFmtId="0" fontId="7" fillId="0" borderId="0" xfId="0" applyFont="1" applyAlignment="1"/>
    <xf numFmtId="0" fontId="47" fillId="0" borderId="0" xfId="0" applyFont="1" applyAlignment="1"/>
    <xf numFmtId="0" fontId="2" fillId="0" borderId="0" xfId="0" applyFont="1" applyAlignment="1"/>
    <xf numFmtId="0" fontId="7" fillId="0" borderId="17" xfId="0" applyFont="1" applyBorder="1" applyAlignment="1"/>
    <xf numFmtId="0" fontId="7" fillId="0" borderId="11" xfId="0" applyFont="1" applyBorder="1" applyAlignment="1">
      <alignment horizontal="right"/>
    </xf>
    <xf numFmtId="0" fontId="2" fillId="12" borderId="0" xfId="0" applyFont="1" applyFill="1" applyAlignment="1"/>
    <xf numFmtId="0" fontId="2" fillId="0" borderId="9" xfId="0" applyFont="1" applyBorder="1" applyAlignment="1"/>
    <xf numFmtId="0" fontId="2" fillId="3" borderId="0" xfId="0" applyFont="1" applyFill="1" applyAlignment="1"/>
    <xf numFmtId="14" fontId="2" fillId="3" borderId="11" xfId="0" applyNumberFormat="1" applyFont="1" applyFill="1" applyBorder="1" applyAlignment="1"/>
    <xf numFmtId="0" fontId="2" fillId="5" borderId="0" xfId="0" applyFont="1" applyFill="1" applyAlignment="1"/>
    <xf numFmtId="0" fontId="2" fillId="5" borderId="0" xfId="0" applyFont="1" applyFill="1" applyAlignment="1"/>
    <xf numFmtId="0" fontId="2" fillId="6" borderId="11" xfId="0" applyFont="1" applyFill="1" applyBorder="1" applyAlignment="1"/>
    <xf numFmtId="0" fontId="2" fillId="0" borderId="11" xfId="0" applyFont="1" applyBorder="1" applyAlignment="1"/>
    <xf numFmtId="0" fontId="10" fillId="0" borderId="11" xfId="0" applyFont="1" applyBorder="1" applyAlignment="1"/>
    <xf numFmtId="0" fontId="10" fillId="0" borderId="0" xfId="0" applyFont="1" applyAlignment="1"/>
    <xf numFmtId="0" fontId="48" fillId="0" borderId="0" xfId="0" applyFont="1" applyAlignment="1"/>
    <xf numFmtId="0" fontId="10" fillId="0" borderId="17" xfId="0" applyFont="1" applyBorder="1" applyAlignment="1"/>
    <xf numFmtId="0" fontId="10" fillId="0" borderId="11" xfId="0" applyFont="1" applyBorder="1" applyAlignment="1">
      <alignment horizontal="right"/>
    </xf>
    <xf numFmtId="0" fontId="7" fillId="2" borderId="9" xfId="0" applyFont="1" applyFill="1" applyBorder="1" applyAlignment="1"/>
    <xf numFmtId="0" fontId="9" fillId="15" borderId="0" xfId="0" applyFont="1" applyFill="1" applyAlignment="1"/>
    <xf numFmtId="0" fontId="2" fillId="2" borderId="9" xfId="0" applyFont="1" applyFill="1" applyBorder="1" applyAlignment="1"/>
    <xf numFmtId="0" fontId="2" fillId="15" borderId="0" xfId="0" applyFont="1" applyFill="1" applyAlignment="1"/>
    <xf numFmtId="0" fontId="10" fillId="15" borderId="12" xfId="0" applyFont="1" applyFill="1" applyBorder="1" applyAlignment="1"/>
    <xf numFmtId="0" fontId="2" fillId="15" borderId="12" xfId="0" applyFont="1" applyFill="1" applyBorder="1" applyAlignment="1"/>
    <xf numFmtId="0" fontId="2" fillId="15" borderId="11" xfId="0" applyFont="1" applyFill="1" applyBorder="1" applyAlignment="1"/>
    <xf numFmtId="0" fontId="25" fillId="15" borderId="12" xfId="0" applyFont="1" applyFill="1" applyBorder="1" applyAlignment="1"/>
    <xf numFmtId="0" fontId="2" fillId="15" borderId="12" xfId="0" applyFont="1" applyFill="1" applyBorder="1" applyAlignment="1"/>
    <xf numFmtId="0" fontId="10" fillId="15" borderId="11" xfId="0" applyFont="1" applyFill="1" applyBorder="1" applyAlignment="1">
      <alignment horizontal="right"/>
    </xf>
    <xf numFmtId="0" fontId="28" fillId="15" borderId="0" xfId="0" applyFont="1" applyFill="1" applyAlignment="1"/>
    <xf numFmtId="0" fontId="49" fillId="0" borderId="12" xfId="0" applyFont="1" applyBorder="1" applyAlignment="1"/>
    <xf numFmtId="0" fontId="7" fillId="0" borderId="0" xfId="0" applyFont="1" applyAlignment="1"/>
    <xf numFmtId="0" fontId="9" fillId="12" borderId="0" xfId="0" applyFont="1" applyFill="1" applyAlignment="1"/>
    <xf numFmtId="0" fontId="42" fillId="0" borderId="0" xfId="0" applyFont="1" applyAlignment="1"/>
    <xf numFmtId="0" fontId="2" fillId="0" borderId="0" xfId="0" applyFont="1" applyAlignment="1"/>
    <xf numFmtId="0" fontId="9" fillId="5" borderId="0" xfId="0" applyFont="1" applyFill="1" applyAlignment="1"/>
    <xf numFmtId="0" fontId="10" fillId="5" borderId="12" xfId="0" applyFont="1" applyFill="1" applyBorder="1" applyAlignment="1"/>
    <xf numFmtId="0" fontId="2" fillId="13" borderId="12" xfId="0" applyFont="1" applyFill="1" applyBorder="1" applyAlignment="1"/>
    <xf numFmtId="0" fontId="50" fillId="0" borderId="12" xfId="0" applyFont="1" applyBorder="1" applyAlignment="1"/>
    <xf numFmtId="0" fontId="51" fillId="0" borderId="0" xfId="0" applyFont="1" applyAlignment="1"/>
    <xf numFmtId="0" fontId="3" fillId="0" borderId="0" xfId="0" applyFont="1" applyAlignment="1"/>
    <xf numFmtId="0" fontId="27" fillId="5" borderId="0" xfId="0" applyFont="1" applyFill="1" applyAlignment="1"/>
    <xf numFmtId="0" fontId="52" fillId="5" borderId="0" xfId="0" applyFont="1" applyFill="1" applyAlignment="1"/>
    <xf numFmtId="0" fontId="53" fillId="5" borderId="0" xfId="0" applyFont="1" applyFill="1" applyAlignment="1"/>
    <xf numFmtId="0" fontId="2" fillId="0" borderId="0" xfId="0" applyFont="1" applyAlignment="1"/>
    <xf numFmtId="0" fontId="7" fillId="15" borderId="23" xfId="0" applyFont="1" applyFill="1" applyBorder="1" applyAlignment="1"/>
    <xf numFmtId="0" fontId="7" fillId="15" borderId="24" xfId="0" applyFont="1" applyFill="1" applyBorder="1" applyAlignment="1"/>
    <xf numFmtId="0" fontId="7" fillId="15" borderId="14" xfId="0" applyFont="1" applyFill="1" applyBorder="1" applyAlignment="1"/>
    <xf numFmtId="0" fontId="2" fillId="15" borderId="24" xfId="0" applyFont="1" applyFill="1" applyBorder="1" applyAlignment="1"/>
    <xf numFmtId="0" fontId="2" fillId="15" borderId="0" xfId="0" applyFont="1" applyFill="1" applyAlignment="1"/>
    <xf numFmtId="0" fontId="7" fillId="15" borderId="25" xfId="0" applyFont="1" applyFill="1" applyBorder="1" applyAlignment="1">
      <alignment horizontal="right"/>
    </xf>
    <xf numFmtId="0" fontId="2" fillId="15" borderId="26" xfId="0" applyFont="1" applyFill="1" applyBorder="1" applyAlignment="1"/>
    <xf numFmtId="0" fontId="10" fillId="15" borderId="27" xfId="0" applyFont="1" applyFill="1" applyBorder="1" applyAlignment="1"/>
    <xf numFmtId="0" fontId="54" fillId="15" borderId="28" xfId="0" applyFont="1" applyFill="1" applyBorder="1" applyAlignment="1"/>
    <xf numFmtId="0" fontId="2" fillId="15" borderId="27" xfId="0" applyFont="1" applyFill="1" applyBorder="1" applyAlignment="1"/>
    <xf numFmtId="0" fontId="55" fillId="15" borderId="27" xfId="0" applyFont="1" applyFill="1" applyBorder="1" applyAlignment="1"/>
    <xf numFmtId="0" fontId="10" fillId="15" borderId="29" xfId="0" applyFont="1" applyFill="1" applyBorder="1" applyAlignment="1"/>
    <xf numFmtId="0" fontId="2" fillId="15" borderId="27" xfId="0" applyFont="1" applyFill="1" applyBorder="1" applyAlignment="1"/>
    <xf numFmtId="0" fontId="56" fillId="15" borderId="0" xfId="0" applyFont="1" applyFill="1" applyAlignment="1"/>
    <xf numFmtId="0" fontId="57" fillId="15" borderId="12" xfId="0" applyFont="1" applyFill="1" applyBorder="1" applyAlignment="1"/>
    <xf numFmtId="0" fontId="58" fillId="15" borderId="27" xfId="0" applyFont="1" applyFill="1" applyBorder="1" applyAlignment="1"/>
    <xf numFmtId="0" fontId="2" fillId="15" borderId="28" xfId="0" applyFont="1" applyFill="1" applyBorder="1" applyAlignment="1"/>
    <xf numFmtId="0" fontId="27" fillId="15" borderId="28" xfId="0" applyFont="1" applyFill="1" applyBorder="1" applyAlignment="1"/>
    <xf numFmtId="0" fontId="2" fillId="15" borderId="28" xfId="0" applyFont="1" applyFill="1" applyBorder="1" applyAlignment="1"/>
    <xf numFmtId="0" fontId="7" fillId="3" borderId="30" xfId="0" applyFont="1" applyFill="1" applyBorder="1" applyAlignment="1"/>
    <xf numFmtId="165" fontId="7" fillId="3" borderId="0" xfId="0" applyNumberFormat="1" applyFont="1" applyFill="1" applyAlignment="1">
      <alignment horizontal="left"/>
    </xf>
    <xf numFmtId="0" fontId="17" fillId="0" borderId="23" xfId="0" applyFont="1" applyBorder="1" applyAlignment="1"/>
    <xf numFmtId="0" fontId="7" fillId="0" borderId="26" xfId="0" applyFont="1" applyBorder="1" applyAlignment="1"/>
    <xf numFmtId="0" fontId="7" fillId="0" borderId="31" xfId="0" applyFont="1" applyBorder="1" applyAlignment="1"/>
    <xf numFmtId="0" fontId="59" fillId="0" borderId="32" xfId="0" applyFont="1" applyBorder="1" applyAlignment="1"/>
    <xf numFmtId="0" fontId="60" fillId="0" borderId="32" xfId="0" applyFont="1" applyBorder="1" applyAlignment="1"/>
    <xf numFmtId="0" fontId="61" fillId="0" borderId="33" xfId="0" applyFont="1" applyBorder="1" applyAlignment="1"/>
    <xf numFmtId="0" fontId="7" fillId="0" borderId="34" xfId="0" applyFont="1" applyBorder="1" applyAlignment="1">
      <alignment vertical="top"/>
    </xf>
    <xf numFmtId="0" fontId="62" fillId="0" borderId="35" xfId="0" applyFont="1" applyBorder="1" applyAlignment="1"/>
    <xf numFmtId="0" fontId="7" fillId="0" borderId="32" xfId="0" applyFont="1" applyBorder="1" applyAlignment="1"/>
    <xf numFmtId="0" fontId="63" fillId="0" borderId="36" xfId="0" applyFont="1" applyBorder="1" applyAlignment="1"/>
    <xf numFmtId="0" fontId="7" fillId="0" borderId="37" xfId="0" applyFont="1" applyBorder="1" applyAlignment="1"/>
    <xf numFmtId="0" fontId="7" fillId="0" borderId="38" xfId="0" applyFont="1" applyBorder="1" applyAlignment="1"/>
    <xf numFmtId="0" fontId="19" fillId="0" borderId="32" xfId="0" applyFont="1" applyBorder="1" applyAlignment="1"/>
    <xf numFmtId="0" fontId="7" fillId="0" borderId="26" xfId="0" applyFont="1" applyBorder="1" applyAlignment="1">
      <alignment horizontal="right"/>
    </xf>
    <xf numFmtId="0" fontId="17" fillId="0" borderId="25" xfId="0" applyFont="1" applyBorder="1" applyAlignment="1"/>
    <xf numFmtId="0" fontId="7" fillId="0" borderId="25" xfId="0" applyFont="1" applyBorder="1" applyAlignment="1"/>
    <xf numFmtId="0" fontId="7" fillId="0" borderId="39" xfId="0" applyFont="1" applyBorder="1" applyAlignment="1"/>
    <xf numFmtId="0" fontId="64" fillId="0" borderId="36" xfId="0" applyFont="1" applyBorder="1" applyAlignment="1"/>
    <xf numFmtId="0" fontId="7" fillId="0" borderId="19" xfId="0" applyFont="1" applyBorder="1" applyAlignment="1">
      <alignment vertical="top"/>
    </xf>
    <xf numFmtId="0" fontId="7" fillId="0" borderId="36" xfId="0" applyFont="1" applyBorder="1" applyAlignment="1"/>
    <xf numFmtId="0" fontId="7" fillId="0" borderId="25" xfId="0" applyFont="1" applyBorder="1" applyAlignment="1">
      <alignment horizontal="right"/>
    </xf>
    <xf numFmtId="165" fontId="10" fillId="3" borderId="0" xfId="0" applyNumberFormat="1" applyFont="1" applyFill="1" applyAlignment="1">
      <alignment horizontal="left"/>
    </xf>
    <xf numFmtId="0" fontId="26" fillId="0" borderId="0" xfId="0" applyFont="1"/>
    <xf numFmtId="0" fontId="10" fillId="13" borderId="0" xfId="0" applyFont="1" applyFill="1" applyAlignment="1"/>
    <xf numFmtId="0" fontId="33" fillId="0" borderId="23" xfId="0" applyFont="1" applyBorder="1" applyAlignment="1"/>
    <xf numFmtId="0" fontId="33" fillId="0" borderId="25" xfId="0" applyFont="1" applyBorder="1" applyAlignment="1"/>
    <xf numFmtId="0" fontId="10" fillId="0" borderId="26" xfId="0" applyFont="1" applyBorder="1" applyAlignment="1"/>
    <xf numFmtId="0" fontId="10" fillId="0" borderId="39" xfId="0" applyFont="1" applyBorder="1" applyAlignment="1"/>
    <xf numFmtId="0" fontId="65" fillId="0" borderId="32" xfId="0" applyFont="1" applyBorder="1" applyAlignment="1"/>
    <xf numFmtId="0" fontId="10" fillId="0" borderId="32" xfId="0" applyFont="1" applyBorder="1" applyAlignment="1"/>
    <xf numFmtId="0" fontId="66" fillId="0" borderId="33" xfId="0" applyFont="1" applyBorder="1" applyAlignment="1"/>
    <xf numFmtId="0" fontId="10" fillId="0" borderId="34" xfId="0" applyFont="1" applyBorder="1" applyAlignment="1">
      <alignment vertical="top"/>
    </xf>
    <xf numFmtId="0" fontId="67" fillId="0" borderId="35" xfId="0" applyFont="1" applyBorder="1" applyAlignment="1"/>
    <xf numFmtId="0" fontId="68" fillId="0" borderId="36" xfId="0" applyFont="1" applyBorder="1" applyAlignment="1"/>
    <xf numFmtId="0" fontId="10" fillId="0" borderId="0" xfId="0" applyFont="1" applyAlignment="1">
      <alignment vertical="top"/>
    </xf>
    <xf numFmtId="0" fontId="10" fillId="0" borderId="38" xfId="0" applyFont="1" applyBorder="1" applyAlignment="1"/>
    <xf numFmtId="0" fontId="24" fillId="0" borderId="32" xfId="0" applyFont="1" applyBorder="1" applyAlignment="1"/>
    <xf numFmtId="0" fontId="10" fillId="0" borderId="25" xfId="0" applyFont="1" applyBorder="1" applyAlignment="1">
      <alignment horizontal="right"/>
    </xf>
    <xf numFmtId="166" fontId="7" fillId="5" borderId="0" xfId="0" applyNumberFormat="1" applyFont="1" applyFill="1" applyAlignment="1">
      <alignment horizontal="left"/>
    </xf>
    <xf numFmtId="0" fontId="7" fillId="0" borderId="40" xfId="0" applyFont="1" applyBorder="1" applyAlignment="1"/>
    <xf numFmtId="0" fontId="2" fillId="16" borderId="0" xfId="0" applyFont="1" applyFill="1" applyAlignment="1">
      <alignment vertical="top"/>
    </xf>
    <xf numFmtId="0" fontId="25" fillId="16" borderId="0" xfId="0" applyFont="1" applyFill="1" applyAlignment="1">
      <alignment vertical="top" wrapText="1"/>
    </xf>
    <xf numFmtId="0" fontId="69" fillId="0" borderId="37" xfId="0" applyFont="1" applyBorder="1" applyAlignment="1"/>
    <xf numFmtId="0" fontId="27" fillId="16" borderId="0" xfId="0" applyFont="1" applyFill="1" applyAlignment="1">
      <alignment vertical="top" wrapText="1"/>
    </xf>
    <xf numFmtId="0" fontId="4" fillId="16" borderId="13" xfId="0" applyFont="1" applyFill="1" applyBorder="1" applyAlignment="1">
      <alignment vertical="top"/>
    </xf>
    <xf numFmtId="0" fontId="7" fillId="0" borderId="32" xfId="0" applyFont="1" applyBorder="1" applyAlignment="1">
      <alignment vertical="top"/>
    </xf>
    <xf numFmtId="0" fontId="70" fillId="0" borderId="32" xfId="0" applyFont="1" applyBorder="1" applyAlignment="1"/>
    <xf numFmtId="0" fontId="7" fillId="16" borderId="0" xfId="0" applyFont="1" applyFill="1" applyAlignment="1">
      <alignment vertical="top" wrapText="1"/>
    </xf>
    <xf numFmtId="0" fontId="7" fillId="0" borderId="41" xfId="0" applyFont="1" applyBorder="1" applyAlignment="1"/>
    <xf numFmtId="0" fontId="10" fillId="16" borderId="0" xfId="0" applyFont="1" applyFill="1" applyAlignment="1">
      <alignment vertical="top" wrapText="1"/>
    </xf>
    <xf numFmtId="0" fontId="10" fillId="6" borderId="0" xfId="0" applyFont="1" applyFill="1" applyAlignment="1"/>
    <xf numFmtId="0" fontId="10" fillId="0" borderId="25" xfId="0" applyFont="1" applyBorder="1" applyAlignment="1"/>
    <xf numFmtId="0" fontId="10" fillId="0" borderId="40" xfId="0" applyFont="1" applyBorder="1" applyAlignment="1"/>
    <xf numFmtId="0" fontId="2" fillId="16" borderId="0" xfId="0" applyFont="1" applyFill="1" applyAlignment="1">
      <alignment vertical="top" wrapText="1"/>
    </xf>
    <xf numFmtId="0" fontId="71" fillId="0" borderId="37" xfId="0" applyFont="1" applyBorder="1" applyAlignment="1"/>
    <xf numFmtId="0" fontId="3" fillId="16" borderId="0" xfId="0" applyFont="1" applyFill="1" applyAlignment="1">
      <alignment vertical="top" wrapText="1"/>
    </xf>
    <xf numFmtId="0" fontId="10" fillId="0" borderId="32" xfId="0" applyFont="1" applyBorder="1" applyAlignment="1">
      <alignment vertical="top"/>
    </xf>
    <xf numFmtId="0" fontId="7" fillId="0" borderId="32" xfId="0" applyFont="1" applyBorder="1" applyAlignment="1"/>
    <xf numFmtId="0" fontId="7" fillId="0" borderId="27" xfId="0" applyFont="1" applyBorder="1" applyAlignment="1"/>
    <xf numFmtId="0" fontId="7" fillId="0" borderId="42" xfId="0" applyFont="1" applyBorder="1" applyAlignment="1"/>
    <xf numFmtId="0" fontId="10" fillId="0" borderId="41" xfId="0" applyFont="1" applyBorder="1" applyAlignment="1"/>
    <xf numFmtId="0" fontId="2" fillId="16" borderId="0" xfId="0" applyFont="1" applyFill="1" applyAlignment="1">
      <alignment vertical="top" wrapText="1"/>
    </xf>
    <xf numFmtId="0" fontId="4" fillId="16" borderId="3" xfId="0" applyFont="1" applyFill="1" applyBorder="1" applyAlignment="1">
      <alignment vertical="top"/>
    </xf>
    <xf numFmtId="0" fontId="10" fillId="0" borderId="42" xfId="0" applyFont="1" applyBorder="1" applyAlignment="1"/>
    <xf numFmtId="0" fontId="10" fillId="0" borderId="27" xfId="0" applyFont="1" applyBorder="1" applyAlignment="1"/>
    <xf numFmtId="0" fontId="7" fillId="0" borderId="23" xfId="0" applyFont="1" applyBorder="1" applyAlignment="1"/>
    <xf numFmtId="0" fontId="2" fillId="17" borderId="0" xfId="0" applyFont="1" applyFill="1" applyAlignment="1">
      <alignment vertical="top"/>
    </xf>
    <xf numFmtId="0" fontId="2" fillId="17" borderId="0" xfId="0" applyFont="1" applyFill="1" applyAlignment="1">
      <alignment vertical="top" wrapText="1"/>
    </xf>
    <xf numFmtId="0" fontId="3" fillId="17" borderId="0" xfId="0" applyFont="1" applyFill="1" applyAlignment="1">
      <alignment vertical="top" wrapText="1"/>
    </xf>
    <xf numFmtId="0" fontId="4" fillId="17" borderId="3" xfId="0" applyFont="1" applyFill="1" applyBorder="1" applyAlignment="1">
      <alignment vertical="top"/>
    </xf>
    <xf numFmtId="0" fontId="72" fillId="0" borderId="42" xfId="0" applyFont="1" applyBorder="1" applyAlignment="1"/>
    <xf numFmtId="0" fontId="73" fillId="0" borderId="37" xfId="0" applyFont="1" applyBorder="1" applyAlignment="1"/>
    <xf numFmtId="0" fontId="3" fillId="17" borderId="0" xfId="0" applyFont="1" applyFill="1" applyAlignment="1">
      <alignment vertical="top" wrapText="1"/>
    </xf>
    <xf numFmtId="0" fontId="74" fillId="17" borderId="3" xfId="0" applyFont="1" applyFill="1" applyBorder="1" applyAlignment="1">
      <alignment vertical="top"/>
    </xf>
    <xf numFmtId="0" fontId="7" fillId="0" borderId="42" xfId="0" applyFont="1" applyBorder="1" applyAlignment="1"/>
    <xf numFmtId="0" fontId="10" fillId="0" borderId="42" xfId="0" applyFont="1" applyBorder="1" applyAlignment="1"/>
    <xf numFmtId="0" fontId="10" fillId="0" borderId="36" xfId="0" applyFont="1" applyBorder="1" applyAlignment="1"/>
    <xf numFmtId="0" fontId="7" fillId="0" borderId="24" xfId="0" applyFont="1" applyBorder="1" applyAlignment="1"/>
    <xf numFmtId="0" fontId="10" fillId="0" borderId="23" xfId="0" applyFont="1" applyBorder="1" applyAlignment="1"/>
    <xf numFmtId="0" fontId="12" fillId="17" borderId="0" xfId="0" applyFont="1" applyFill="1" applyAlignment="1">
      <alignment vertical="top" wrapText="1"/>
    </xf>
    <xf numFmtId="0" fontId="2" fillId="18" borderId="0" xfId="0" applyFont="1" applyFill="1" applyAlignment="1">
      <alignment vertical="top"/>
    </xf>
    <xf numFmtId="0" fontId="2" fillId="18" borderId="0" xfId="0" applyFont="1" applyFill="1" applyAlignment="1">
      <alignment vertical="top" wrapText="1"/>
    </xf>
    <xf numFmtId="0" fontId="3" fillId="18" borderId="0" xfId="0" applyFont="1" applyFill="1" applyAlignment="1">
      <alignment vertical="top" wrapText="1"/>
    </xf>
    <xf numFmtId="0" fontId="2" fillId="18" borderId="3" xfId="0" applyFont="1" applyFill="1" applyBorder="1" applyAlignment="1">
      <alignment vertical="top"/>
    </xf>
    <xf numFmtId="0" fontId="7" fillId="0" borderId="43" xfId="0" applyFont="1" applyBorder="1" applyAlignment="1"/>
    <xf numFmtId="0" fontId="10" fillId="0" borderId="43" xfId="0" applyFont="1" applyBorder="1" applyAlignment="1"/>
    <xf numFmtId="0" fontId="10" fillId="0" borderId="32" xfId="0" applyFont="1" applyBorder="1" applyAlignment="1"/>
    <xf numFmtId="0" fontId="7" fillId="0" borderId="44" xfId="0" applyFont="1" applyBorder="1" applyAlignment="1"/>
    <xf numFmtId="0" fontId="7" fillId="0" borderId="31" xfId="0" applyFont="1" applyBorder="1" applyAlignment="1"/>
    <xf numFmtId="0" fontId="75" fillId="0" borderId="31" xfId="0" applyFont="1" applyBorder="1" applyAlignment="1"/>
    <xf numFmtId="0" fontId="76" fillId="0" borderId="31" xfId="0" applyFont="1" applyBorder="1" applyAlignment="1"/>
    <xf numFmtId="0" fontId="7" fillId="0" borderId="26" xfId="0" applyFont="1" applyBorder="1" applyAlignment="1">
      <alignment horizontal="right"/>
    </xf>
    <xf numFmtId="0" fontId="2" fillId="0" borderId="10" xfId="0" applyFont="1" applyBorder="1" applyAlignment="1"/>
    <xf numFmtId="0" fontId="4" fillId="18" borderId="3" xfId="0" applyFont="1" applyFill="1" applyBorder="1" applyAlignment="1">
      <alignment vertical="top"/>
    </xf>
    <xf numFmtId="0" fontId="2" fillId="2" borderId="9" xfId="0" applyFont="1" applyFill="1" applyBorder="1" applyAlignment="1"/>
    <xf numFmtId="0" fontId="2" fillId="0" borderId="10" xfId="0" applyFont="1" applyBorder="1" applyAlignment="1"/>
    <xf numFmtId="0" fontId="2" fillId="18" borderId="12" xfId="0" applyFont="1" applyFill="1" applyBorder="1" applyAlignment="1">
      <alignment vertical="top" wrapText="1"/>
    </xf>
    <xf numFmtId="0" fontId="4" fillId="18" borderId="13" xfId="0" applyFont="1" applyFill="1" applyBorder="1" applyAlignment="1">
      <alignment vertical="top"/>
    </xf>
    <xf numFmtId="0" fontId="3" fillId="18" borderId="0" xfId="0" applyFont="1" applyFill="1" applyAlignment="1">
      <alignment vertical="top" wrapText="1"/>
    </xf>
    <xf numFmtId="0" fontId="7" fillId="0" borderId="0" xfId="0" applyFont="1" applyAlignment="1"/>
    <xf numFmtId="0" fontId="7" fillId="15" borderId="21" xfId="0" applyFont="1" applyFill="1" applyBorder="1" applyAlignment="1"/>
    <xf numFmtId="0" fontId="2" fillId="0" borderId="11" xfId="0" applyFont="1" applyBorder="1" applyAlignment="1"/>
    <xf numFmtId="0" fontId="3" fillId="0" borderId="0" xfId="0" applyFont="1" applyAlignment="1">
      <alignment wrapText="1"/>
    </xf>
    <xf numFmtId="0" fontId="3" fillId="2" borderId="9" xfId="0" applyFont="1" applyFill="1" applyBorder="1" applyAlignment="1"/>
    <xf numFmtId="0" fontId="2" fillId="0" borderId="0" xfId="0" applyFont="1" applyAlignment="1">
      <alignment wrapText="1"/>
    </xf>
    <xf numFmtId="0" fontId="3" fillId="0" borderId="10" xfId="0" applyFont="1" applyBorder="1" applyAlignment="1"/>
    <xf numFmtId="0" fontId="3" fillId="0" borderId="11" xfId="0" applyFont="1" applyBorder="1" applyAlignment="1"/>
    <xf numFmtId="0" fontId="25" fillId="5" borderId="0" xfId="0" applyFont="1" applyFill="1" applyAlignment="1"/>
    <xf numFmtId="0" fontId="25" fillId="5" borderId="12" xfId="0" applyFont="1" applyFill="1" applyBorder="1" applyAlignment="1"/>
    <xf numFmtId="0" fontId="10" fillId="2" borderId="9" xfId="0" applyFont="1" applyFill="1" applyBorder="1" applyAlignment="1"/>
    <xf numFmtId="0" fontId="7" fillId="12" borderId="0" xfId="0" applyFont="1" applyFill="1" applyAlignment="1"/>
    <xf numFmtId="0" fontId="17" fillId="0" borderId="9" xfId="0" applyFont="1" applyBorder="1" applyAlignment="1"/>
    <xf numFmtId="0" fontId="17" fillId="0" borderId="0" xfId="0" applyFont="1" applyAlignment="1"/>
    <xf numFmtId="0" fontId="7" fillId="0" borderId="11" xfId="0" applyFont="1" applyBorder="1" applyAlignment="1"/>
    <xf numFmtId="0" fontId="77" fillId="0" borderId="0" xfId="0" applyFont="1" applyAlignment="1"/>
    <xf numFmtId="0" fontId="7" fillId="0" borderId="45" xfId="0" applyFont="1" applyBorder="1" applyAlignment="1"/>
    <xf numFmtId="0" fontId="7" fillId="0" borderId="9" xfId="0" applyFont="1" applyBorder="1" applyAlignment="1"/>
    <xf numFmtId="0" fontId="78" fillId="15" borderId="0" xfId="0" applyFont="1" applyFill="1" applyAlignment="1"/>
    <xf numFmtId="0" fontId="79" fillId="15" borderId="0" xfId="0" applyFont="1" applyFill="1" applyAlignment="1"/>
    <xf numFmtId="0" fontId="7" fillId="15" borderId="12" xfId="0" applyFont="1" applyFill="1" applyBorder="1" applyAlignment="1"/>
    <xf numFmtId="0" fontId="7" fillId="15" borderId="12" xfId="0" applyFont="1" applyFill="1" applyBorder="1" applyAlignment="1"/>
    <xf numFmtId="0" fontId="80" fillId="15" borderId="0" xfId="0" applyFont="1" applyFill="1" applyAlignment="1"/>
    <xf numFmtId="0" fontId="81" fillId="15" borderId="0" xfId="0" applyFont="1" applyFill="1" applyAlignment="1"/>
    <xf numFmtId="0" fontId="2" fillId="15" borderId="0" xfId="0" applyFont="1" applyFill="1" applyAlignment="1"/>
    <xf numFmtId="0" fontId="42" fillId="15" borderId="0" xfId="0" applyFont="1" applyFill="1" applyAlignment="1"/>
    <xf numFmtId="0" fontId="19" fillId="15" borderId="0" xfId="0" applyFont="1" applyFill="1" applyAlignment="1"/>
    <xf numFmtId="0" fontId="82" fillId="0" borderId="0" xfId="0" applyFont="1" applyAlignment="1"/>
    <xf numFmtId="0" fontId="7" fillId="3" borderId="0" xfId="0" applyFont="1" applyFill="1" applyAlignment="1">
      <alignment horizontal="left"/>
    </xf>
    <xf numFmtId="0" fontId="83" fillId="0" borderId="0" xfId="0" applyFont="1" applyAlignment="1"/>
    <xf numFmtId="0" fontId="7" fillId="0" borderId="46" xfId="0" applyFont="1" applyBorder="1" applyAlignment="1"/>
    <xf numFmtId="0" fontId="84" fillId="0" borderId="0" xfId="0" applyFont="1" applyAlignment="1"/>
    <xf numFmtId="0" fontId="7" fillId="15" borderId="0" xfId="0" applyFont="1" applyFill="1" applyAlignment="1"/>
    <xf numFmtId="0" fontId="85" fillId="5" borderId="0" xfId="0" applyFont="1" applyFill="1" applyAlignment="1"/>
    <xf numFmtId="0" fontId="7" fillId="0" borderId="47" xfId="0" applyFont="1" applyBorder="1" applyAlignment="1"/>
    <xf numFmtId="0" fontId="7" fillId="0" borderId="0" xfId="0" applyFont="1" applyAlignment="1"/>
    <xf numFmtId="0" fontId="86" fillId="0" borderId="0" xfId="0" applyFont="1" applyAlignment="1"/>
    <xf numFmtId="0" fontId="87" fillId="0" borderId="0" xfId="0" applyFont="1" applyAlignment="1"/>
    <xf numFmtId="0" fontId="2" fillId="0" borderId="0" xfId="0" applyFont="1" applyAlignment="1"/>
    <xf numFmtId="0" fontId="10" fillId="3" borderId="0" xfId="0" applyFont="1" applyFill="1" applyAlignment="1">
      <alignment horizontal="left"/>
    </xf>
    <xf numFmtId="0" fontId="10" fillId="0" borderId="47" xfId="0" applyFont="1" applyBorder="1" applyAlignment="1"/>
    <xf numFmtId="0" fontId="10" fillId="0" borderId="9" xfId="0" applyFont="1" applyBorder="1" applyAlignment="1"/>
    <xf numFmtId="0" fontId="10" fillId="0" borderId="10" xfId="0" applyFont="1" applyBorder="1" applyAlignment="1"/>
    <xf numFmtId="0" fontId="10" fillId="0" borderId="0" xfId="0" applyFont="1" applyAlignment="1"/>
    <xf numFmtId="0" fontId="88" fillId="0" borderId="0" xfId="0" applyFont="1" applyAlignment="1"/>
    <xf numFmtId="0" fontId="9" fillId="0" borderId="0" xfId="0" applyFont="1" applyAlignment="1"/>
    <xf numFmtId="0" fontId="89" fillId="5" borderId="0" xfId="0" applyFont="1" applyFill="1" applyAlignment="1">
      <alignment horizontal="left"/>
    </xf>
    <xf numFmtId="0" fontId="90" fillId="5" borderId="0" xfId="0" applyFont="1" applyFill="1" applyAlignment="1">
      <alignment horizontal="left"/>
    </xf>
    <xf numFmtId="0" fontId="7" fillId="0" borderId="0" xfId="0" applyFont="1" applyAlignment="1"/>
    <xf numFmtId="0" fontId="19" fillId="0" borderId="0" xfId="0" applyFont="1" applyAlignment="1">
      <alignment horizontal="left"/>
    </xf>
    <xf numFmtId="0" fontId="24" fillId="0" borderId="0" xfId="0" applyFont="1" applyAlignment="1">
      <alignment horizontal="left"/>
    </xf>
    <xf numFmtId="0" fontId="7" fillId="5" borderId="0" xfId="0" applyFont="1" applyFill="1" applyAlignment="1"/>
    <xf numFmtId="0" fontId="10" fillId="5" borderId="0" xfId="0" applyFont="1" applyFill="1" applyAlignment="1"/>
    <xf numFmtId="0" fontId="2" fillId="0" borderId="15" xfId="0" applyFont="1" applyBorder="1" applyAlignment="1">
      <alignment vertical="top"/>
    </xf>
    <xf numFmtId="0" fontId="2" fillId="10" borderId="0" xfId="0" applyFont="1" applyFill="1" applyAlignment="1">
      <alignment vertical="top"/>
    </xf>
    <xf numFmtId="0" fontId="2" fillId="0" borderId="19" xfId="0" applyFont="1" applyBorder="1" applyAlignment="1">
      <alignment vertical="top"/>
    </xf>
    <xf numFmtId="0" fontId="2" fillId="11" borderId="0" xfId="0" applyFont="1" applyFill="1" applyAlignment="1">
      <alignment vertical="top"/>
    </xf>
    <xf numFmtId="0" fontId="2" fillId="0" borderId="21" xfId="0" applyFont="1" applyBorder="1" applyAlignment="1">
      <alignment vertical="top"/>
    </xf>
    <xf numFmtId="20" fontId="8" fillId="0" borderId="0" xfId="0" applyNumberFormat="1" applyFont="1"/>
    <xf numFmtId="0" fontId="7" fillId="10" borderId="0" xfId="0" applyFont="1" applyFill="1" applyAlignment="1">
      <alignment vertical="top"/>
    </xf>
    <xf numFmtId="0" fontId="7" fillId="11" borderId="0" xfId="0" applyFont="1" applyFill="1" applyAlignment="1">
      <alignment vertical="top"/>
    </xf>
    <xf numFmtId="0" fontId="26" fillId="19" borderId="0" xfId="0" applyFont="1" applyFill="1" applyAlignment="1"/>
    <xf numFmtId="0" fontId="8" fillId="20" borderId="0" xfId="0" applyFont="1" applyFill="1" applyAlignment="1"/>
    <xf numFmtId="0" fontId="8" fillId="20" borderId="0" xfId="0" applyFont="1" applyFill="1"/>
    <xf numFmtId="0" fontId="8" fillId="2" borderId="0" xfId="0" applyFont="1" applyFill="1"/>
    <xf numFmtId="0" fontId="8" fillId="20" borderId="0" xfId="0" applyFont="1" applyFill="1" applyAlignment="1">
      <alignment wrapText="1"/>
    </xf>
    <xf numFmtId="0" fontId="2" fillId="14" borderId="0" xfId="0" applyFont="1" applyFill="1" applyAlignment="1">
      <alignment wrapText="1"/>
    </xf>
    <xf numFmtId="0" fontId="8" fillId="20" borderId="0" xfId="0" applyFont="1" applyFill="1" applyAlignment="1">
      <alignment wrapText="1"/>
    </xf>
    <xf numFmtId="0" fontId="2" fillId="20" borderId="0" xfId="0" applyFont="1" applyFill="1" applyAlignment="1"/>
    <xf numFmtId="0" fontId="2" fillId="20" borderId="0" xfId="0" applyFont="1" applyFill="1" applyAlignment="1"/>
    <xf numFmtId="0" fontId="8" fillId="14" borderId="0" xfId="0" applyFont="1" applyFill="1" applyAlignment="1">
      <alignment wrapText="1"/>
    </xf>
    <xf numFmtId="0" fontId="8" fillId="19" borderId="0" xfId="0" applyFont="1" applyFill="1" applyAlignment="1"/>
    <xf numFmtId="0" fontId="2" fillId="11" borderId="0" xfId="0" applyFont="1" applyFill="1" applyAlignment="1">
      <alignment vertical="top"/>
    </xf>
    <xf numFmtId="0" fontId="91" fillId="15" borderId="0" xfId="0" applyFont="1" applyFill="1" applyAlignment="1"/>
    <xf numFmtId="0" fontId="8" fillId="19" borderId="0" xfId="0" applyFont="1" applyFill="1" applyAlignment="1">
      <alignment wrapText="1"/>
    </xf>
    <xf numFmtId="0" fontId="8" fillId="14" borderId="0" xfId="0" applyFont="1" applyFill="1" applyAlignment="1">
      <alignment wrapText="1"/>
    </xf>
    <xf numFmtId="0" fontId="8" fillId="2" borderId="0" xfId="0" applyFont="1" applyFill="1" applyAlignment="1">
      <alignment wrapText="1"/>
    </xf>
    <xf numFmtId="0" fontId="2" fillId="2" borderId="0" xfId="0" applyFont="1" applyFill="1" applyAlignment="1">
      <alignment wrapText="1"/>
    </xf>
    <xf numFmtId="0" fontId="8" fillId="19" borderId="0" xfId="0" applyFont="1" applyFill="1"/>
    <xf numFmtId="0" fontId="7" fillId="15" borderId="0" xfId="0" applyFont="1" applyFill="1" applyAlignment="1">
      <alignment vertical="top"/>
    </xf>
    <xf numFmtId="0" fontId="8" fillId="0" borderId="0" xfId="0" applyFont="1" applyAlignment="1">
      <alignment wrapText="1"/>
    </xf>
    <xf numFmtId="0" fontId="2" fillId="15" borderId="0" xfId="0" applyFont="1" applyFill="1" applyAlignment="1">
      <alignment vertical="top"/>
    </xf>
    <xf numFmtId="0" fontId="92" fillId="5" borderId="0" xfId="0" applyFont="1" applyFill="1" applyAlignment="1">
      <alignment wrapText="1"/>
    </xf>
    <xf numFmtId="0" fontId="3" fillId="11" borderId="0" xfId="0" applyFont="1" applyFill="1" applyAlignment="1">
      <alignment vertical="top"/>
    </xf>
    <xf numFmtId="0" fontId="93" fillId="0" borderId="0" xfId="0" applyFont="1" applyAlignment="1"/>
    <xf numFmtId="0" fontId="35" fillId="15" borderId="0" xfId="0" applyFont="1" applyFill="1" applyAlignment="1"/>
    <xf numFmtId="0" fontId="7" fillId="15" borderId="11" xfId="0" applyFont="1" applyFill="1" applyBorder="1" applyAlignment="1"/>
    <xf numFmtId="0" fontId="7" fillId="0" borderId="48" xfId="0" applyFont="1" applyBorder="1" applyAlignment="1"/>
    <xf numFmtId="0" fontId="2" fillId="0" borderId="12" xfId="0" applyFont="1" applyBorder="1" applyAlignment="1"/>
    <xf numFmtId="0" fontId="2" fillId="0" borderId="12" xfId="0" applyFont="1" applyBorder="1" applyAlignment="1"/>
    <xf numFmtId="0" fontId="2" fillId="0" borderId="12" xfId="0" applyFont="1" applyBorder="1" applyAlignment="1"/>
    <xf numFmtId="0" fontId="94" fillId="5" borderId="0" xfId="0" applyFont="1" applyFill="1" applyAlignment="1"/>
    <xf numFmtId="0" fontId="2" fillId="3" borderId="0" xfId="0" applyFont="1" applyFill="1" applyAlignment="1"/>
    <xf numFmtId="0" fontId="2" fillId="3" borderId="0" xfId="0" applyFont="1" applyFill="1" applyAlignment="1">
      <alignment horizontal="left"/>
    </xf>
    <xf numFmtId="0" fontId="2" fillId="5" borderId="9" xfId="0" applyFont="1" applyFill="1" applyBorder="1" applyAlignment="1">
      <alignment horizontal="left"/>
    </xf>
    <xf numFmtId="165" fontId="2" fillId="5" borderId="0" xfId="0" applyNumberFormat="1" applyFont="1" applyFill="1" applyAlignment="1">
      <alignment horizontal="left"/>
    </xf>
    <xf numFmtId="0" fontId="2" fillId="5" borderId="0" xfId="0" applyFont="1" applyFill="1" applyAlignment="1">
      <alignment horizontal="left"/>
    </xf>
    <xf numFmtId="0" fontId="2" fillId="0" borderId="47" xfId="0" applyFont="1" applyBorder="1" applyAlignment="1"/>
    <xf numFmtId="0" fontId="95" fillId="0" borderId="0" xfId="0" applyFont="1" applyAlignment="1"/>
    <xf numFmtId="0" fontId="2" fillId="0" borderId="0" xfId="0" applyFont="1" applyAlignment="1"/>
    <xf numFmtId="0" fontId="2" fillId="0" borderId="11" xfId="0" applyFont="1" applyBorder="1" applyAlignment="1">
      <alignment horizontal="right"/>
    </xf>
    <xf numFmtId="0" fontId="96" fillId="12" borderId="0" xfId="0" applyFont="1" applyFill="1" applyAlignment="1"/>
    <xf numFmtId="0" fontId="97" fillId="0" borderId="0" xfId="0" applyFont="1" applyAlignment="1"/>
    <xf numFmtId="0" fontId="98" fillId="19" borderId="0" xfId="0" applyFont="1" applyFill="1"/>
    <xf numFmtId="0" fontId="7" fillId="0" borderId="0" xfId="0" applyFont="1" applyAlignment="1">
      <alignment horizontal="right"/>
    </xf>
    <xf numFmtId="0" fontId="99" fillId="0" borderId="0" xfId="0" applyFont="1" applyAlignment="1"/>
    <xf numFmtId="0" fontId="2" fillId="5" borderId="49" xfId="0" applyFont="1" applyFill="1" applyBorder="1" applyAlignment="1">
      <alignment horizontal="left"/>
    </xf>
    <xf numFmtId="0" fontId="7" fillId="0" borderId="50" xfId="0" applyFont="1" applyBorder="1" applyAlignment="1"/>
    <xf numFmtId="0" fontId="7" fillId="0" borderId="0" xfId="0" applyFont="1" applyAlignment="1"/>
    <xf numFmtId="165" fontId="2" fillId="5" borderId="0" xfId="0" applyNumberFormat="1" applyFont="1" applyFill="1" applyAlignment="1"/>
    <xf numFmtId="0" fontId="7" fillId="0" borderId="12" xfId="0" applyFont="1" applyBorder="1" applyAlignment="1"/>
    <xf numFmtId="0" fontId="7" fillId="0" borderId="12" xfId="0" applyFont="1" applyBorder="1" applyAlignment="1"/>
    <xf numFmtId="0" fontId="7" fillId="0" borderId="0" xfId="0" applyFont="1" applyAlignment="1"/>
    <xf numFmtId="0" fontId="2" fillId="0" borderId="21" xfId="0" applyFont="1" applyBorder="1" applyAlignment="1"/>
    <xf numFmtId="0" fontId="2" fillId="5" borderId="0" xfId="0" applyFont="1" applyFill="1" applyAlignment="1"/>
    <xf numFmtId="0" fontId="7" fillId="0" borderId="29" xfId="0" applyFont="1" applyBorder="1" applyAlignment="1"/>
    <xf numFmtId="0" fontId="2" fillId="12" borderId="0" xfId="0" applyFont="1" applyFill="1" applyAlignment="1"/>
    <xf numFmtId="165" fontId="2" fillId="15" borderId="0" xfId="0" applyNumberFormat="1" applyFont="1" applyFill="1" applyAlignment="1"/>
    <xf numFmtId="0" fontId="100" fillId="15" borderId="12" xfId="0" applyFont="1" applyFill="1" applyBorder="1" applyAlignment="1"/>
    <xf numFmtId="0" fontId="7" fillId="15" borderId="0" xfId="0" applyFont="1" applyFill="1" applyAlignment="1"/>
    <xf numFmtId="0" fontId="101" fillId="15" borderId="0" xfId="0" applyFont="1" applyFill="1" applyAlignment="1"/>
    <xf numFmtId="0" fontId="2" fillId="15" borderId="21" xfId="0" applyFont="1" applyFill="1" applyBorder="1" applyAlignment="1"/>
    <xf numFmtId="0" fontId="2" fillId="15" borderId="14" xfId="0" applyFont="1" applyFill="1" applyBorder="1" applyAlignment="1"/>
    <xf numFmtId="0" fontId="7" fillId="0" borderId="12" xfId="0" applyFont="1" applyBorder="1" applyAlignment="1"/>
    <xf numFmtId="0" fontId="7" fillId="0" borderId="11" xfId="0" applyFont="1" applyBorder="1" applyAlignment="1"/>
    <xf numFmtId="0" fontId="7" fillId="0" borderId="49" xfId="0" applyFont="1" applyBorder="1" applyAlignment="1"/>
    <xf numFmtId="0" fontId="7" fillId="0" borderId="11" xfId="0" applyFont="1" applyBorder="1" applyAlignment="1">
      <alignment horizontal="right"/>
    </xf>
    <xf numFmtId="14" fontId="7" fillId="3" borderId="9" xfId="0" applyNumberFormat="1" applyFont="1" applyFill="1" applyBorder="1" applyAlignment="1">
      <alignment horizontal="left"/>
    </xf>
    <xf numFmtId="0" fontId="7" fillId="0" borderId="33" xfId="0" applyFont="1" applyBorder="1" applyAlignment="1"/>
    <xf numFmtId="0" fontId="7" fillId="0" borderId="35" xfId="0" applyFont="1" applyBorder="1" applyAlignment="1"/>
    <xf numFmtId="0" fontId="7" fillId="0" borderId="36" xfId="0" applyFont="1" applyBorder="1" applyAlignment="1"/>
    <xf numFmtId="0" fontId="102" fillId="0" borderId="32" xfId="0" applyFont="1" applyBorder="1" applyAlignment="1"/>
    <xf numFmtId="0" fontId="103" fillId="0" borderId="32" xfId="0" applyFont="1" applyBorder="1" applyAlignment="1"/>
    <xf numFmtId="0" fontId="7" fillId="3" borderId="11" xfId="0" applyFont="1" applyFill="1" applyBorder="1" applyAlignment="1"/>
    <xf numFmtId="0" fontId="7" fillId="10" borderId="0" xfId="0" applyFont="1" applyFill="1" applyAlignment="1">
      <alignment vertical="top"/>
    </xf>
    <xf numFmtId="0" fontId="7" fillId="0" borderId="37" xfId="0" applyFont="1" applyBorder="1" applyAlignment="1"/>
    <xf numFmtId="0" fontId="7" fillId="0" borderId="32" xfId="0" applyFont="1" applyBorder="1" applyAlignment="1"/>
    <xf numFmtId="0" fontId="17" fillId="6" borderId="0" xfId="0" applyFont="1" applyFill="1" applyAlignment="1"/>
    <xf numFmtId="0" fontId="104" fillId="5" borderId="0" xfId="0" applyFont="1" applyFill="1" applyAlignment="1"/>
    <xf numFmtId="0" fontId="19" fillId="0" borderId="32" xfId="0" applyFont="1" applyBorder="1" applyAlignment="1"/>
    <xf numFmtId="0" fontId="17" fillId="0" borderId="51" xfId="0" applyFont="1" applyBorder="1" applyAlignment="1"/>
    <xf numFmtId="0" fontId="7" fillId="0" borderId="52" xfId="0" applyFont="1" applyBorder="1" applyAlignment="1"/>
    <xf numFmtId="0" fontId="7" fillId="0" borderId="35" xfId="0" applyFont="1" applyBorder="1" applyAlignment="1"/>
    <xf numFmtId="0" fontId="17" fillId="0" borderId="53" xfId="0" applyFont="1" applyBorder="1" applyAlignment="1"/>
    <xf numFmtId="0" fontId="105" fillId="0" borderId="36" xfId="0" applyFont="1" applyBorder="1" applyAlignment="1"/>
    <xf numFmtId="0" fontId="106" fillId="0" borderId="19" xfId="0" applyFont="1" applyBorder="1" applyAlignment="1">
      <alignment vertical="top"/>
    </xf>
    <xf numFmtId="0" fontId="107" fillId="0" borderId="36" xfId="0" applyFont="1" applyBorder="1" applyAlignment="1"/>
    <xf numFmtId="0" fontId="7" fillId="21" borderId="0" xfId="0" applyFont="1" applyFill="1" applyAlignment="1"/>
    <xf numFmtId="0" fontId="7" fillId="0" borderId="53" xfId="0" applyFont="1" applyBorder="1" applyAlignment="1"/>
    <xf numFmtId="0" fontId="108" fillId="0" borderId="0" xfId="0" applyFont="1"/>
    <xf numFmtId="0" fontId="2" fillId="0" borderId="32" xfId="0" applyFont="1" applyBorder="1" applyAlignment="1"/>
    <xf numFmtId="0" fontId="2" fillId="0" borderId="36" xfId="0" applyFont="1" applyBorder="1" applyAlignment="1"/>
    <xf numFmtId="0" fontId="109" fillId="0" borderId="37" xfId="0" applyFont="1" applyBorder="1" applyAlignment="1"/>
    <xf numFmtId="0" fontId="2" fillId="0" borderId="32" xfId="0" applyFont="1" applyBorder="1" applyAlignment="1"/>
    <xf numFmtId="0" fontId="2" fillId="0" borderId="37" xfId="0" applyFont="1" applyBorder="1" applyAlignment="1"/>
    <xf numFmtId="0" fontId="17" fillId="21" borderId="0" xfId="0" applyFont="1" applyFill="1" applyAlignment="1"/>
    <xf numFmtId="0" fontId="17" fillId="0" borderId="54" xfId="0" applyFont="1" applyBorder="1" applyAlignment="1"/>
    <xf numFmtId="0" fontId="19" fillId="21" borderId="0" xfId="0" applyFont="1" applyFill="1" applyAlignment="1"/>
    <xf numFmtId="0" fontId="7" fillId="0" borderId="55" xfId="0" applyFont="1" applyBorder="1" applyAlignment="1">
      <alignment horizontal="right"/>
    </xf>
    <xf numFmtId="0" fontId="110" fillId="5" borderId="0" xfId="0" applyFont="1" applyFill="1" applyAlignment="1"/>
    <xf numFmtId="0" fontId="10" fillId="3" borderId="11" xfId="0" applyFont="1" applyFill="1" applyBorder="1" applyAlignment="1"/>
    <xf numFmtId="0" fontId="10" fillId="21" borderId="0" xfId="0" applyFont="1" applyFill="1" applyAlignment="1"/>
    <xf numFmtId="0" fontId="33" fillId="0" borderId="53" xfId="0" applyFont="1" applyBorder="1" applyAlignment="1"/>
    <xf numFmtId="0" fontId="10" fillId="0" borderId="52" xfId="0" applyFont="1" applyBorder="1" applyAlignment="1"/>
    <xf numFmtId="0" fontId="10" fillId="0" borderId="33" xfId="0" applyFont="1" applyBorder="1" applyAlignment="1"/>
    <xf numFmtId="0" fontId="10" fillId="0" borderId="35" xfId="0" applyFont="1" applyBorder="1" applyAlignment="1"/>
    <xf numFmtId="0" fontId="10" fillId="0" borderId="36" xfId="0" applyFont="1" applyBorder="1" applyAlignment="1"/>
    <xf numFmtId="0" fontId="10" fillId="10" borderId="0" xfId="0" applyFont="1" applyFill="1" applyAlignment="1">
      <alignment vertical="top"/>
    </xf>
    <xf numFmtId="0" fontId="10" fillId="0" borderId="19" xfId="0" applyFont="1" applyBorder="1" applyAlignment="1">
      <alignment vertical="top"/>
    </xf>
    <xf numFmtId="0" fontId="10" fillId="0" borderId="37" xfId="0" applyFont="1" applyBorder="1" applyAlignment="1"/>
    <xf numFmtId="0" fontId="24" fillId="0" borderId="32" xfId="0" applyFont="1" applyBorder="1" applyAlignment="1"/>
    <xf numFmtId="0" fontId="10" fillId="0" borderId="55" xfId="0" applyFont="1" applyBorder="1" applyAlignment="1">
      <alignment horizontal="right"/>
    </xf>
    <xf numFmtId="0" fontId="111" fillId="21" borderId="0" xfId="0" applyFont="1" applyFill="1" applyAlignment="1"/>
    <xf numFmtId="0" fontId="112" fillId="21" borderId="0" xfId="0" applyFont="1" applyFill="1" applyAlignment="1"/>
    <xf numFmtId="0" fontId="10" fillId="0" borderId="35" xfId="0" applyFont="1" applyBorder="1" applyAlignment="1"/>
    <xf numFmtId="0" fontId="10" fillId="10" borderId="0" xfId="0" applyFont="1" applyFill="1" applyAlignment="1">
      <alignment vertical="top"/>
    </xf>
    <xf numFmtId="0" fontId="10" fillId="0" borderId="37" xfId="0" applyFont="1" applyBorder="1" applyAlignment="1"/>
    <xf numFmtId="0" fontId="7" fillId="0" borderId="33" xfId="0" applyFont="1" applyBorder="1" applyAlignment="1"/>
    <xf numFmtId="0" fontId="113" fillId="0" borderId="33" xfId="0" applyFont="1" applyBorder="1" applyAlignment="1"/>
    <xf numFmtId="0" fontId="7" fillId="0" borderId="56" xfId="0" applyFont="1" applyBorder="1" applyAlignment="1"/>
    <xf numFmtId="0" fontId="19" fillId="0" borderId="39" xfId="0" applyFont="1" applyBorder="1" applyAlignment="1"/>
    <xf numFmtId="0" fontId="114" fillId="0" borderId="39" xfId="0" applyFont="1" applyBorder="1" applyAlignment="1"/>
    <xf numFmtId="0" fontId="7" fillId="0" borderId="39" xfId="0" applyFont="1" applyBorder="1" applyAlignment="1"/>
    <xf numFmtId="0" fontId="7" fillId="0" borderId="56" xfId="0" applyFont="1" applyBorder="1" applyAlignment="1"/>
    <xf numFmtId="0" fontId="19" fillId="0" borderId="39" xfId="0" applyFont="1" applyBorder="1" applyAlignment="1"/>
    <xf numFmtId="0" fontId="17" fillId="0" borderId="0" xfId="0" applyFont="1" applyAlignment="1"/>
    <xf numFmtId="0" fontId="2" fillId="13" borderId="0" xfId="0" applyFont="1" applyFill="1" applyAlignment="1"/>
    <xf numFmtId="0" fontId="3" fillId="13" borderId="0" xfId="0" applyFont="1" applyFill="1" applyAlignment="1"/>
    <xf numFmtId="0" fontId="3" fillId="0" borderId="0" xfId="0" applyFont="1" applyAlignment="1"/>
    <xf numFmtId="0" fontId="33" fillId="0" borderId="0" xfId="0" applyFont="1" applyAlignment="1"/>
    <xf numFmtId="0" fontId="3" fillId="5" borderId="49" xfId="0" applyFont="1" applyFill="1" applyBorder="1" applyAlignment="1">
      <alignment horizontal="left"/>
    </xf>
    <xf numFmtId="0" fontId="10" fillId="0" borderId="50" xfId="0" applyFont="1" applyBorder="1" applyAlignment="1"/>
    <xf numFmtId="0" fontId="7" fillId="2" borderId="9" xfId="0" applyFont="1" applyFill="1" applyBorder="1" applyAlignment="1"/>
    <xf numFmtId="0" fontId="2" fillId="0" borderId="21" xfId="0" applyFont="1" applyBorder="1" applyAlignment="1">
      <alignment vertical="top"/>
    </xf>
    <xf numFmtId="20" fontId="7" fillId="0" borderId="11" xfId="0" applyNumberFormat="1" applyFont="1" applyBorder="1" applyAlignment="1">
      <alignment horizontal="right"/>
    </xf>
    <xf numFmtId="0" fontId="2" fillId="0" borderId="0" xfId="0" applyFont="1" applyAlignment="1">
      <alignment vertical="top"/>
    </xf>
    <xf numFmtId="0" fontId="7" fillId="0" borderId="21" xfId="0" applyFont="1" applyBorder="1" applyAlignment="1"/>
    <xf numFmtId="0" fontId="7" fillId="11" borderId="0" xfId="0" applyFont="1" applyFill="1" applyAlignment="1">
      <alignment vertical="top"/>
    </xf>
    <xf numFmtId="20" fontId="7" fillId="0" borderId="11" xfId="0" applyNumberFormat="1" applyFont="1" applyBorder="1" applyAlignment="1">
      <alignment horizontal="right"/>
    </xf>
    <xf numFmtId="0" fontId="90" fillId="5" borderId="0" xfId="0" applyFont="1" applyFill="1" applyAlignment="1"/>
    <xf numFmtId="0" fontId="2" fillId="15" borderId="0" xfId="0" applyFont="1" applyFill="1" applyAlignment="1">
      <alignment vertical="top"/>
    </xf>
    <xf numFmtId="20" fontId="7" fillId="15" borderId="11" xfId="0" applyNumberFormat="1" applyFont="1" applyFill="1" applyBorder="1" applyAlignment="1">
      <alignment horizontal="right"/>
    </xf>
    <xf numFmtId="0" fontId="2" fillId="10" borderId="0" xfId="0" applyFont="1" applyFill="1" applyAlignment="1">
      <alignment vertical="top"/>
    </xf>
    <xf numFmtId="0" fontId="19" fillId="0" borderId="0" xfId="0" applyFont="1" applyAlignment="1"/>
    <xf numFmtId="0" fontId="45" fillId="0" borderId="0" xfId="0" applyFont="1" applyAlignment="1"/>
    <xf numFmtId="0" fontId="7" fillId="0" borderId="49" xfId="0" applyFont="1" applyBorder="1" applyAlignment="1"/>
    <xf numFmtId="0" fontId="45" fillId="0" borderId="0" xfId="0" applyFont="1" applyAlignment="1"/>
    <xf numFmtId="0" fontId="45" fillId="0" borderId="0" xfId="0" applyFont="1" applyAlignment="1">
      <alignment horizontal="left"/>
    </xf>
    <xf numFmtId="0" fontId="7" fillId="5" borderId="0" xfId="0" applyFont="1" applyFill="1" applyAlignment="1">
      <alignment horizontal="left"/>
    </xf>
    <xf numFmtId="0" fontId="10" fillId="5" borderId="0" xfId="0" applyFont="1" applyFill="1" applyAlignment="1">
      <alignment horizontal="left"/>
    </xf>
    <xf numFmtId="0" fontId="7" fillId="2" borderId="6" xfId="0" applyFont="1" applyFill="1" applyBorder="1" applyAlignment="1"/>
    <xf numFmtId="14" fontId="7" fillId="3" borderId="7" xfId="0" applyNumberFormat="1" applyFont="1" applyFill="1" applyBorder="1" applyAlignment="1">
      <alignment horizontal="left"/>
    </xf>
    <xf numFmtId="0" fontId="7" fillId="5" borderId="6" xfId="0" applyFont="1" applyFill="1" applyBorder="1" applyAlignment="1">
      <alignment horizontal="left"/>
    </xf>
    <xf numFmtId="165" fontId="7" fillId="5" borderId="7" xfId="0" applyNumberFormat="1" applyFont="1" applyFill="1" applyBorder="1" applyAlignment="1">
      <alignment horizontal="left"/>
    </xf>
    <xf numFmtId="0" fontId="7" fillId="5" borderId="7" xfId="0" applyFont="1" applyFill="1" applyBorder="1" applyAlignment="1">
      <alignment horizontal="left"/>
    </xf>
    <xf numFmtId="0" fontId="7" fillId="6" borderId="7" xfId="0" applyFont="1" applyFill="1" applyBorder="1" applyAlignment="1"/>
    <xf numFmtId="0" fontId="7" fillId="0" borderId="57" xfId="0" applyFont="1" applyBorder="1" applyAlignment="1"/>
    <xf numFmtId="0" fontId="7" fillId="15" borderId="57" xfId="0" applyFont="1" applyFill="1" applyBorder="1" applyAlignment="1"/>
    <xf numFmtId="0" fontId="7" fillId="15" borderId="7" xfId="0" applyFont="1" applyFill="1" applyBorder="1" applyAlignment="1"/>
    <xf numFmtId="0" fontId="115" fillId="15" borderId="7" xfId="0" applyFont="1" applyFill="1" applyBorder="1" applyAlignment="1"/>
    <xf numFmtId="0" fontId="7" fillId="15" borderId="7" xfId="0" applyFont="1" applyFill="1" applyBorder="1" applyAlignment="1"/>
    <xf numFmtId="0" fontId="7" fillId="15" borderId="8" xfId="0" applyFont="1" applyFill="1" applyBorder="1" applyAlignment="1">
      <alignment horizontal="right"/>
    </xf>
    <xf numFmtId="0" fontId="2" fillId="2" borderId="0" xfId="0" applyFont="1" applyFill="1" applyAlignment="1"/>
    <xf numFmtId="0" fontId="116" fillId="15" borderId="7" xfId="0" applyFont="1" applyFill="1" applyBorder="1" applyAlignment="1"/>
    <xf numFmtId="0" fontId="7" fillId="15" borderId="7" xfId="0" applyFont="1" applyFill="1" applyBorder="1" applyAlignment="1"/>
    <xf numFmtId="0" fontId="2" fillId="15" borderId="7" xfId="0" applyFont="1" applyFill="1" applyBorder="1" applyAlignment="1"/>
    <xf numFmtId="0" fontId="8" fillId="5" borderId="0" xfId="0" applyFont="1" applyFill="1"/>
    <xf numFmtId="0" fontId="8" fillId="12" borderId="0" xfId="0" applyFont="1" applyFill="1"/>
    <xf numFmtId="0" fontId="7" fillId="0" borderId="0" xfId="0" applyFont="1" applyAlignment="1"/>
    <xf numFmtId="0" fontId="0" fillId="0" borderId="0" xfId="0" applyFont="1" applyAlignment="1"/>
    <xf numFmtId="0" fontId="13" fillId="0" borderId="0" xfId="0" applyFont="1" applyAlignment="1"/>
    <xf numFmtId="0" fontId="47" fillId="0" borderId="0" xfId="0" applyFont="1" applyAlignment="1"/>
    <xf numFmtId="0" fontId="7" fillId="15" borderId="0" xfId="0" applyFont="1" applyFill="1" applyAlignment="1"/>
    <xf numFmtId="0" fontId="2" fillId="9" borderId="1" xfId="0" applyFont="1" applyFill="1" applyBorder="1" applyAlignment="1">
      <alignment vertical="top"/>
    </xf>
    <xf numFmtId="0" fontId="8" fillId="0" borderId="1" xfId="0" applyFont="1" applyBorder="1"/>
    <xf numFmtId="0" fontId="78" fillId="15" borderId="0" xfId="0" applyFont="1" applyFill="1" applyAlignment="1"/>
    <xf numFmtId="0" fontId="23" fillId="0" borderId="0" xfId="0" applyFont="1" applyAlignment="1"/>
    <xf numFmtId="0" fontId="8" fillId="0" borderId="11" xfId="0" applyFont="1" applyBorder="1"/>
    <xf numFmtId="0" fontId="82" fillId="0" borderId="0" xfId="0" applyFont="1" applyAlignment="1"/>
    <xf numFmtId="0" fontId="48" fillId="0" borderId="0" xfId="0" applyFont="1" applyAlignment="1"/>
    <xf numFmtId="0" fontId="44" fillId="15" borderId="0" xfId="0" applyFont="1" applyFill="1" applyAlignment="1"/>
    <xf numFmtId="0" fontId="18" fillId="0" borderId="0" xfId="0" applyFont="1" applyAlignment="1"/>
    <xf numFmtId="0" fontId="77" fillId="0" borderId="0" xfId="0" applyFont="1" applyAlignment="1"/>
    <xf numFmtId="0" fontId="91" fillId="15" borderId="0" xfId="0" applyFont="1" applyFill="1" applyAlignment="1"/>
    <xf numFmtId="0" fontId="19" fillId="0" borderId="0" xfId="0" applyFont="1" applyAlignment="1"/>
    <xf numFmtId="0" fontId="115" fillId="15" borderId="7" xfId="0" applyFont="1" applyFill="1" applyBorder="1" applyAlignment="1"/>
    <xf numFmtId="0" fontId="8" fillId="0" borderId="7" xfId="0" applyFont="1" applyBorder="1"/>
    <xf numFmtId="0" fontId="2" fillId="16" borderId="12" xfId="0" applyFont="1" applyFill="1" applyBorder="1" applyAlignment="1">
      <alignment vertical="top" wrapText="1"/>
    </xf>
    <xf numFmtId="0" fontId="8" fillId="0" borderId="12" xfId="0" applyFont="1" applyBorder="1"/>
    <xf numFmtId="0" fontId="7" fillId="22" borderId="0" xfId="0" applyFont="1" applyFill="1" applyAlignment="1"/>
    <xf numFmtId="0" fontId="10" fillId="22" borderId="0" xfId="0" applyFont="1" applyFill="1" applyAlignment="1"/>
    <xf numFmtId="0" fontId="13" fillId="22" borderId="0" xfId="0" applyFont="1" applyFill="1" applyAlignment="1"/>
    <xf numFmtId="0" fontId="0" fillId="22" borderId="0" xfId="0" applyFont="1" applyFill="1" applyAlignment="1"/>
    <xf numFmtId="0" fontId="23" fillId="0" borderId="0" xfId="0" applyFont="1" applyFill="1" applyAlignment="1"/>
    <xf numFmtId="0" fontId="7" fillId="22" borderId="0" xfId="0" applyFont="1" applyFill="1" applyAlignment="1">
      <alignment vertical="top"/>
    </xf>
    <xf numFmtId="0" fontId="2" fillId="22" borderId="0" xfId="0" applyFont="1" applyFill="1" applyAlignment="1">
      <alignment vertical="top"/>
    </xf>
    <xf numFmtId="0" fontId="3" fillId="22" borderId="0" xfId="0" applyFont="1" applyFill="1" applyAlignment="1">
      <alignment vertical="top"/>
    </xf>
    <xf numFmtId="0" fontId="7" fillId="22" borderId="17" xfId="0" applyFont="1" applyFill="1" applyBorder="1" applyAlignment="1"/>
    <xf numFmtId="0" fontId="7" fillId="23" borderId="0" xfId="0" applyFont="1" applyFill="1" applyAlignment="1"/>
    <xf numFmtId="0" fontId="10" fillId="23" borderId="0" xfId="0" applyFont="1" applyFill="1" applyAlignment="1"/>
    <xf numFmtId="0" fontId="7" fillId="23" borderId="24" xfId="0" applyFont="1" applyFill="1" applyBorder="1" applyAlignment="1"/>
    <xf numFmtId="0" fontId="2" fillId="23" borderId="27" xfId="0" applyFont="1" applyFill="1" applyBorder="1" applyAlignment="1"/>
    <xf numFmtId="0" fontId="7" fillId="22" borderId="32" xfId="0" applyFont="1" applyFill="1" applyBorder="1" applyAlignment="1"/>
    <xf numFmtId="0" fontId="10" fillId="22" borderId="32" xfId="0" applyFont="1" applyFill="1" applyBorder="1" applyAlignment="1"/>
  </cellXfs>
  <cellStyles count="1">
    <cellStyle name="Standard" xfId="0" builtinId="0"/>
  </cellStyles>
  <dxfs count="13">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
      <fill>
        <patternFill patternType="solid">
          <fgColor rgb="FFD9D9D9"/>
          <bgColor rgb="FFD9D9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1"/>
  <c:style val="2"/>
  <c:chart>
    <c:autoTitleDeleted val="1"/>
    <c:plotArea>
      <c:layout/>
      <c:barChart>
        <c:barDir val="col"/>
        <c:grouping val="percentStacked"/>
        <c:varyColors val="1"/>
        <c:ser>
          <c:idx val="0"/>
          <c:order val="0"/>
          <c:tx>
            <c:strRef>
              <c:f>'pr-type'!$A$2</c:f>
              <c:strCache>
                <c:ptCount val="1"/>
                <c:pt idx="0">
                  <c:v>Not blinded</c:v>
                </c:pt>
              </c:strCache>
            </c:strRef>
          </c:tx>
          <c:spPr>
            <a:solidFill>
              <a:srgbClr val="9900FF"/>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('pr-type'!$E$2,'pr-type'!$Q$2,'pr-type'!$U$2,'pr-type'!$Y$2,'pr-type'!$AC$2,'pr-type'!$AG$2,'pr-type'!$AK$2,'pr-type'!$AO$2,'pr-type'!$AS$2)</c:f>
              <c:numCache>
                <c:formatCode>General</c:formatCode>
                <c:ptCount val="9"/>
                <c:pt idx="0">
                  <c:v>2</c:v>
                </c:pt>
                <c:pt idx="1">
                  <c:v>0</c:v>
                </c:pt>
                <c:pt idx="2">
                  <c:v>0</c:v>
                </c:pt>
                <c:pt idx="3">
                  <c:v>0</c:v>
                </c:pt>
                <c:pt idx="4">
                  <c:v>2</c:v>
                </c:pt>
                <c:pt idx="5">
                  <c:v>0</c:v>
                </c:pt>
                <c:pt idx="6">
                  <c:v>0</c:v>
                </c:pt>
                <c:pt idx="7">
                  <c:v>0</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2A92-44E8-99CB-3009A676C57D}"/>
            </c:ext>
          </c:extLst>
        </c:ser>
        <c:ser>
          <c:idx val="1"/>
          <c:order val="1"/>
          <c:tx>
            <c:strRef>
              <c:f>'pr-type'!$A$3</c:f>
              <c:strCache>
                <c:ptCount val="1"/>
                <c:pt idx="0">
                  <c:v>Single blind</c:v>
                </c:pt>
              </c:strCache>
            </c:strRef>
          </c:tx>
          <c:spPr>
            <a:solidFill>
              <a:srgbClr val="00A7A1"/>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('pr-type'!$E$3,'pr-type'!$Q$3,'pr-type'!$U$3,'pr-type'!$Y$3,'pr-type'!$AC$3,'pr-type'!$AG$3,'pr-type'!$AK$3,'pr-type'!$AO$3,'pr-type'!$AS$3)</c:f>
              <c:numCache>
                <c:formatCode>General</c:formatCode>
                <c:ptCount val="9"/>
                <c:pt idx="0">
                  <c:v>51</c:v>
                </c:pt>
                <c:pt idx="1">
                  <c:v>0</c:v>
                </c:pt>
                <c:pt idx="2">
                  <c:v>9</c:v>
                </c:pt>
                <c:pt idx="3">
                  <c:v>6</c:v>
                </c:pt>
                <c:pt idx="4">
                  <c:v>12</c:v>
                </c:pt>
                <c:pt idx="5">
                  <c:v>0</c:v>
                </c:pt>
                <c:pt idx="6">
                  <c:v>7</c:v>
                </c:pt>
                <c:pt idx="7">
                  <c:v>13</c:v>
                </c:pt>
                <c:pt idx="8">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2A92-44E8-99CB-3009A676C57D}"/>
            </c:ext>
          </c:extLst>
        </c:ser>
        <c:ser>
          <c:idx val="2"/>
          <c:order val="2"/>
          <c:tx>
            <c:strRef>
              <c:f>'pr-type'!$A$4</c:f>
              <c:strCache>
                <c:ptCount val="1"/>
                <c:pt idx="0">
                  <c:v>Double blind</c:v>
                </c:pt>
              </c:strCache>
            </c:strRef>
          </c:tx>
          <c:spPr>
            <a:solidFill>
              <a:srgbClr val="B6D7A8"/>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('pr-type'!$E$4,'pr-type'!$Q$4,'pr-type'!$U$4,'pr-type'!$Y$4,'pr-type'!$AC$4,'pr-type'!$AG$4,'pr-type'!$AK$4,'pr-type'!$AO$4,'pr-type'!$AS$4)</c:f>
              <c:numCache>
                <c:formatCode>General</c:formatCode>
                <c:ptCount val="9"/>
                <c:pt idx="0">
                  <c:v>46</c:v>
                </c:pt>
                <c:pt idx="1">
                  <c:v>11</c:v>
                </c:pt>
                <c:pt idx="2">
                  <c:v>0</c:v>
                </c:pt>
                <c:pt idx="3">
                  <c:v>3</c:v>
                </c:pt>
                <c:pt idx="4">
                  <c:v>0</c:v>
                </c:pt>
                <c:pt idx="5">
                  <c:v>15</c:v>
                </c:pt>
                <c:pt idx="6">
                  <c:v>0</c:v>
                </c:pt>
                <c:pt idx="7">
                  <c:v>0</c:v>
                </c:pt>
                <c:pt idx="8">
                  <c:v>17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2A92-44E8-99CB-3009A676C57D}"/>
            </c:ext>
          </c:extLst>
        </c:ser>
        <c:ser>
          <c:idx val="3"/>
          <c:order val="3"/>
          <c:tx>
            <c:strRef>
              <c:f>'pr-type'!$A$5</c:f>
              <c:strCache>
                <c:ptCount val="1"/>
                <c:pt idx="0">
                  <c:v>Unsure</c:v>
                </c:pt>
              </c:strCache>
            </c:strRef>
          </c:tx>
          <c:spPr>
            <a:solidFill>
              <a:srgbClr val="000000"/>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('pr-type'!$E$5,'pr-type'!$Q$5,'pr-type'!$U$5,'pr-type'!$Y$5,'pr-type'!$AC$5,'pr-type'!$AG$5,'pr-type'!$AK$5,'pr-type'!$AO$5,'pr-type'!$AS$5)</c:f>
              <c:numCache>
                <c:formatCode>General</c:formatCode>
                <c:ptCount val="9"/>
                <c:pt idx="0">
                  <c:v>54</c:v>
                </c:pt>
                <c:pt idx="1">
                  <c:v>9</c:v>
                </c:pt>
                <c:pt idx="2">
                  <c:v>8</c:v>
                </c:pt>
                <c:pt idx="3">
                  <c:v>8</c:v>
                </c:pt>
                <c:pt idx="4">
                  <c:v>3</c:v>
                </c:pt>
                <c:pt idx="5">
                  <c:v>3</c:v>
                </c:pt>
                <c:pt idx="6">
                  <c:v>6</c:v>
                </c:pt>
                <c:pt idx="7">
                  <c:v>5</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2A92-44E8-99CB-3009A676C57D}"/>
            </c:ext>
          </c:extLst>
        </c:ser>
        <c:ser>
          <c:idx val="4"/>
          <c:order val="4"/>
          <c:tx>
            <c:strRef>
              <c:f>'pr-type'!$A$6</c:f>
              <c:strCache>
                <c:ptCount val="1"/>
                <c:pt idx="0">
                  <c:v>Other</c:v>
                </c:pt>
              </c:strCache>
            </c:strRef>
          </c:tx>
          <c:spPr>
            <a:solidFill>
              <a:srgbClr val="999999"/>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('pr-type'!$E$1,'pr-type'!$Q$1,'pr-type'!$U$1,'pr-type'!$Y$1,'pr-type'!$AC$1,'pr-type'!$AG$1,'pr-type'!$AK$1,'pr-type'!$AO$1,'pr-type'!$AS$1)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('pr-type'!$E$6,'pr-type'!$Q$6,'pr-type'!$U$6,'pr-type'!$Y$6,'pr-type'!$AC$6,'pr-type'!$AG$6,'pr-type'!$AK$6,'pr-type'!$AO$6,'pr-type'!$AS$6)</c:f>
              <c:numCache>
                <c:formatCode>General</c:formatCode>
                <c:ptCount val="9"/>
                <c:pt idx="0">
                  <c:v>18</c:v>
                </c:pt>
                <c:pt idx="1">
                  <c:v>0</c:v>
                </c:pt>
                <c:pt idx="2">
                  <c:v>3</c:v>
                </c:pt>
                <c:pt idx="3">
                  <c:v>3</c:v>
                </c:pt>
                <c:pt idx="4">
                  <c:v>3</c:v>
                </c:pt>
                <c:pt idx="5">
                  <c:v>2</c:v>
                </c:pt>
                <c:pt idx="6">
                  <c:v>7</c:v>
                </c:pt>
                <c:pt idx="7">
                  <c:v>2</c:v>
                </c:pt>
                <c:pt idx="8">
                  <c:v>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2A92-44E8-99CB-3009A676C57D}"/>
            </c:ext>
          </c:extLst>
        </c:ser>
        <c:dLbls>
          <c:showLegendKey val="0"/>
          <c:showVal val="0"/>
          <c:showCatName val="0"/>
          <c:showSerName val="0"/>
          <c:showPercent val="0"/>
          <c:showBubbleSize val="0"/>
        </c:dLbls>
        <c:gapWidth val="150"/>
        <c:overlap val="100"/>
        <c:axId val="1228386048"/>
        <c:axId val="1214210321"/>
      </c:barChart>
      <c:catAx>
        <c:axId val="1228386048"/>
        <c:scaling>
          <c:orientation val="minMax"/>
        </c:scaling>
        <c:delete val="0"/>
        <c:axPos val="b"/>
        <c:numFmt formatCode="General" sourceLinked="1"/>
        <c:majorTickMark val="cross"/>
        <c:minorTickMark val="cross"/>
        <c:tickLblPos val="nextTo"/>
        <c:txPr>
          <a:bodyPr/>
          <a:lstStyle/>
          <a:p>
            <a:pPr lvl="0">
              <a:defRPr b="0"/>
            </a:pPr>
            <a:endParaRPr lang="de-DE"/>
          </a:p>
        </c:txPr>
        <c:crossAx val="1214210321"/>
        <c:crosses val="autoZero"/>
        <c:auto val="1"/>
        <c:lblAlgn val="ctr"/>
        <c:lblOffset val="100"/>
        <c:noMultiLvlLbl val="1"/>
      </c:catAx>
      <c:valAx>
        <c:axId val="1214210321"/>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de-DE"/>
          </a:p>
        </c:txPr>
        <c:crossAx val="1228386048"/>
        <c:crosses val="autoZero"/>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1"/>
  <c:style val="2"/>
  <c:chart>
    <c:autoTitleDeleted val="1"/>
    <c:plotArea>
      <c:layout/>
      <c:barChart>
        <c:barDir val="col"/>
        <c:grouping val="percentStacked"/>
        <c:varyColors val="1"/>
        <c:ser>
          <c:idx val="0"/>
          <c:order val="0"/>
          <c:tx>
            <c:strRef>
              <c:f>'preprint version'!$A$2</c:f>
              <c:strCache>
                <c:ptCount val="1"/>
                <c:pt idx="0">
                  <c:v>No preprint policy</c:v>
                </c:pt>
              </c:strCache>
            </c:strRef>
          </c:tx>
          <c:spPr>
            <a:solidFill>
              <a:srgbClr val="AAAAAA"/>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version'!$E$2,'preprint version'!$Q$2,'preprint version'!$U$2,'preprint version'!$Y$2,'preprint version'!$AC$2,'preprint version'!$AG$2,'preprint version'!$AK$2,'preprint version'!$AO$2,'preprint version'!$AS$2)</c:f>
              <c:numCache>
                <c:formatCode>General</c:formatCode>
                <c:ptCount val="9"/>
                <c:pt idx="0">
                  <c:v>39</c:v>
                </c:pt>
                <c:pt idx="1">
                  <c:v>6</c:v>
                </c:pt>
                <c:pt idx="2">
                  <c:v>0</c:v>
                </c:pt>
                <c:pt idx="3">
                  <c:v>0</c:v>
                </c:pt>
                <c:pt idx="4">
                  <c:v>2</c:v>
                </c:pt>
                <c:pt idx="5">
                  <c:v>11</c:v>
                </c:pt>
                <c:pt idx="6">
                  <c:v>2</c:v>
                </c:pt>
                <c:pt idx="7">
                  <c:v>6</c:v>
                </c:pt>
                <c:pt idx="8">
                  <c:v>4</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916C-4CDB-8BE7-8F01FD0555A9}"/>
            </c:ext>
          </c:extLst>
        </c:ser>
        <c:ser>
          <c:idx val="1"/>
          <c:order val="1"/>
          <c:tx>
            <c:strRef>
              <c:f>'preprint version'!$A$3</c:f>
              <c:strCache>
                <c:ptCount val="1"/>
                <c:pt idx="0">
                  <c:v>None (preprints not allowed)</c:v>
                </c:pt>
              </c:strCache>
            </c:strRef>
          </c:tx>
          <c:spPr>
            <a:solidFill>
              <a:srgbClr val="000000"/>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version'!$E$3,'preprint version'!$Q$3,'preprint version'!$U$3,'preprint version'!$Y$3,'preprint version'!$AC$3,'preprint version'!$AG$3,'preprint version'!$AK$3,'preprint version'!$AO$3,'preprint version'!$AS$3)</c:f>
              <c:numCache>
                <c:formatCode>General</c:formatCode>
                <c:ptCount val="9"/>
                <c:pt idx="0">
                  <c:v>9</c:v>
                </c:pt>
                <c:pt idx="1">
                  <c:v>2</c:v>
                </c:pt>
                <c:pt idx="2">
                  <c:v>4</c:v>
                </c:pt>
                <c:pt idx="3">
                  <c:v>3</c:v>
                </c:pt>
                <c:pt idx="4">
                  <c:v>3</c:v>
                </c:pt>
                <c:pt idx="5">
                  <c:v>0</c:v>
                </c:pt>
                <c:pt idx="6">
                  <c:v>0</c:v>
                </c:pt>
                <c:pt idx="7">
                  <c:v>0</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916C-4CDB-8BE7-8F01FD0555A9}"/>
            </c:ext>
          </c:extLst>
        </c:ser>
        <c:ser>
          <c:idx val="2"/>
          <c:order val="2"/>
          <c:tx>
            <c:strRef>
              <c:f>'preprint version'!$A$4</c:f>
              <c:strCache>
                <c:ptCount val="1"/>
                <c:pt idx="0">
                  <c:v>First submission only (before peer review)</c:v>
                </c:pt>
              </c:strCache>
            </c:strRef>
          </c:tx>
          <c:spPr>
            <a:solidFill>
              <a:srgbClr val="B6D7A8"/>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version'!$E$4,'preprint version'!$Q$4,'preprint version'!$U$4,'preprint version'!$Y$4,'preprint version'!$AC$4,'preprint version'!$AG$4,'preprint version'!$AK$4,'preprint version'!$AO$4,'preprint version'!$AS$4)</c:f>
              <c:numCache>
                <c:formatCode>General</c:formatCode>
                <c:ptCount val="9"/>
                <c:pt idx="0">
                  <c:v>66</c:v>
                </c:pt>
                <c:pt idx="1">
                  <c:v>4</c:v>
                </c:pt>
                <c:pt idx="2">
                  <c:v>13</c:v>
                </c:pt>
                <c:pt idx="3">
                  <c:v>12</c:v>
                </c:pt>
                <c:pt idx="4">
                  <c:v>12</c:v>
                </c:pt>
                <c:pt idx="5">
                  <c:v>5</c:v>
                </c:pt>
                <c:pt idx="6">
                  <c:v>15</c:v>
                </c:pt>
                <c:pt idx="7">
                  <c:v>6</c:v>
                </c:pt>
                <c:pt idx="8">
                  <c:v>5</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916C-4CDB-8BE7-8F01FD0555A9}"/>
            </c:ext>
          </c:extLst>
        </c:ser>
        <c:ser>
          <c:idx val="3"/>
          <c:order val="3"/>
          <c:tx>
            <c:strRef>
              <c:f>'preprint version'!$A$5</c:f>
              <c:strCache>
                <c:ptCount val="1"/>
                <c:pt idx="0">
                  <c:v>After peer review (but not final, copyedited version)</c:v>
                </c:pt>
              </c:strCache>
            </c:strRef>
          </c:tx>
          <c:spPr>
            <a:solidFill>
              <a:srgbClr val="00A7A1"/>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version'!$E$5,'preprint version'!$Q$5,'preprint version'!$U$5,'preprint version'!$Y$5,'preprint version'!$AC$5,'preprint version'!$AG$5,'preprint version'!$AK$5,'preprint version'!$AO$5,'preprint version'!$AS$5)</c:f>
              <c:numCache>
                <c:formatCode>General</c:formatCode>
                <c:ptCount val="9"/>
                <c:pt idx="0">
                  <c:v>14</c:v>
                </c:pt>
                <c:pt idx="1">
                  <c:v>3</c:v>
                </c:pt>
                <c:pt idx="2">
                  <c:v>1</c:v>
                </c:pt>
                <c:pt idx="3">
                  <c:v>0</c:v>
                </c:pt>
                <c:pt idx="4">
                  <c:v>0</c:v>
                </c:pt>
                <c:pt idx="5">
                  <c:v>3</c:v>
                </c:pt>
                <c:pt idx="6">
                  <c:v>0</c:v>
                </c:pt>
                <c:pt idx="7">
                  <c:v>2</c:v>
                </c:pt>
                <c:pt idx="8">
                  <c:v>2</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916C-4CDB-8BE7-8F01FD0555A9}"/>
            </c:ext>
          </c:extLst>
        </c:ser>
        <c:ser>
          <c:idx val="4"/>
          <c:order val="4"/>
          <c:tx>
            <c:strRef>
              <c:f>'preprint version'!$A$6</c:f>
              <c:strCache>
                <c:ptCount val="1"/>
                <c:pt idx="0">
                  <c:v>Any</c:v>
                </c:pt>
              </c:strCache>
            </c:strRef>
          </c:tx>
          <c:spPr>
            <a:solidFill>
              <a:srgbClr val="9900FF"/>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version'!$E$6,'preprint version'!$Q$6,'preprint version'!$U$6,'preprint version'!$Y$6,'preprint version'!$AC$6,'preprint version'!$AG$6,'preprint version'!$AK$6,'preprint version'!$AO$6,'preprint version'!$AS$6)</c:f>
              <c:numCache>
                <c:formatCode>General</c:formatCode>
                <c:ptCount val="9"/>
                <c:pt idx="0">
                  <c:v>13</c:v>
                </c:pt>
                <c:pt idx="1">
                  <c:v>0</c:v>
                </c:pt>
                <c:pt idx="2">
                  <c:v>0</c:v>
                </c:pt>
                <c:pt idx="3">
                  <c:v>2</c:v>
                </c:pt>
                <c:pt idx="4">
                  <c:v>1</c:v>
                </c:pt>
                <c:pt idx="5">
                  <c:v>0</c:v>
                </c:pt>
                <c:pt idx="6">
                  <c:v>1</c:v>
                </c:pt>
                <c:pt idx="7">
                  <c:v>5</c:v>
                </c:pt>
                <c:pt idx="8">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916C-4CDB-8BE7-8F01FD0555A9}"/>
            </c:ext>
          </c:extLst>
        </c:ser>
        <c:ser>
          <c:idx val="5"/>
          <c:order val="5"/>
          <c:tx>
            <c:strRef>
              <c:f>'preprint version'!$A$7</c:f>
              <c:strCache>
                <c:ptCount val="1"/>
                <c:pt idx="0">
                  <c:v>Unsure (preprints are allowed, but it's not clear what version)</c:v>
                </c:pt>
              </c:strCache>
            </c:strRef>
          </c:tx>
          <c:spPr>
            <a:solidFill>
              <a:srgbClr val="0B5394"/>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version'!$E$7,'preprint version'!$Q$7,'preprint version'!$U$7,'preprint version'!$Y$7,'preprint version'!$AC$7,'preprint version'!$AG$7,'preprint version'!$AK$7,'preprint version'!$AO$7,'preprint version'!$AS$7)</c:f>
              <c:numCache>
                <c:formatCode>General</c:formatCode>
                <c:ptCount val="9"/>
                <c:pt idx="0">
                  <c:v>25</c:v>
                </c:pt>
                <c:pt idx="1">
                  <c:v>4</c:v>
                </c:pt>
                <c:pt idx="2">
                  <c:v>1</c:v>
                </c:pt>
                <c:pt idx="3">
                  <c:v>3</c:v>
                </c:pt>
                <c:pt idx="4">
                  <c:v>2</c:v>
                </c:pt>
                <c:pt idx="5">
                  <c:v>1</c:v>
                </c:pt>
                <c:pt idx="6">
                  <c:v>2</c:v>
                </c:pt>
                <c:pt idx="7">
                  <c:v>1</c:v>
                </c:pt>
                <c:pt idx="8">
                  <c:v>7</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5-916C-4CDB-8BE7-8F01FD0555A9}"/>
            </c:ext>
          </c:extLst>
        </c:ser>
        <c:ser>
          <c:idx val="6"/>
          <c:order val="6"/>
          <c:tx>
            <c:strRef>
              <c:f>'preprint version'!$A$8</c:f>
              <c:strCache>
                <c:ptCount val="1"/>
                <c:pt idx="0">
                  <c:v>Other</c:v>
                </c:pt>
              </c:strCache>
            </c:strRef>
          </c:tx>
          <c:spPr>
            <a:solidFill>
              <a:srgbClr val="6FA8DC"/>
            </a:solidFill>
          </c:spPr>
          <c:invertIfNegative val="1"/>
          <c:dLbls>
            <c:spPr>
              <a:noFill/>
              <a:ln>
                <a:noFill/>
              </a:ln>
              <a:effectLst/>
            </c:spPr>
            <c:txPr>
              <a:bodyPr/>
              <a:lstStyle/>
              <a:p>
                <a:pPr lvl="0">
                  <a:defRPr sz="6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('preprint version'!$E$1,'preprint version'!$Q$1,'preprint version'!$U$1,'preprint version'!$Y$1,'preprint version'!$AC$1,'preprint version'!$AG$1,'preprint version'!$AK$1,'preprint version'!$AO$1,'preprint version'!$AS$1)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('preprint version'!$E$8,'preprint version'!$Q$8,'preprint version'!$U$8,'preprint version'!$Y$8,'preprint version'!$AC$8,'preprint version'!$AG$8,'preprint version'!$AK$8,'preprint version'!$AO$8,'preprint version'!$AS$8)</c:f>
              <c:numCache>
                <c:formatCode>General</c:formatCode>
                <c:ptCount val="9"/>
                <c:pt idx="0">
                  <c:v>3</c:v>
                </c:pt>
                <c:pt idx="1">
                  <c:v>1</c:v>
                </c:pt>
                <c:pt idx="2">
                  <c:v>1</c:v>
                </c:pt>
                <c:pt idx="3">
                  <c:v>0</c:v>
                </c:pt>
                <c:pt idx="4">
                  <c:v>0</c:v>
                </c:pt>
                <c:pt idx="5">
                  <c:v>0</c:v>
                </c:pt>
                <c:pt idx="6">
                  <c:v>0</c:v>
                </c:pt>
                <c:pt idx="7">
                  <c:v>0</c:v>
                </c:pt>
                <c:pt idx="8">
                  <c:v>1</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6-916C-4CDB-8BE7-8F01FD0555A9}"/>
            </c:ext>
          </c:extLst>
        </c:ser>
        <c:dLbls>
          <c:showLegendKey val="0"/>
          <c:showVal val="0"/>
          <c:showCatName val="0"/>
          <c:showSerName val="0"/>
          <c:showPercent val="0"/>
          <c:showBubbleSize val="0"/>
        </c:dLbls>
        <c:gapWidth val="150"/>
        <c:overlap val="100"/>
        <c:axId val="379392664"/>
        <c:axId val="519930891"/>
      </c:barChart>
      <c:catAx>
        <c:axId val="379392664"/>
        <c:scaling>
          <c:orientation val="minMax"/>
        </c:scaling>
        <c:delete val="0"/>
        <c:axPos val="b"/>
        <c:numFmt formatCode="General" sourceLinked="1"/>
        <c:majorTickMark val="cross"/>
        <c:minorTickMark val="cross"/>
        <c:tickLblPos val="nextTo"/>
        <c:txPr>
          <a:bodyPr/>
          <a:lstStyle/>
          <a:p>
            <a:pPr lvl="0">
              <a:defRPr b="0"/>
            </a:pPr>
            <a:endParaRPr lang="de-DE"/>
          </a:p>
        </c:txPr>
        <c:crossAx val="519930891"/>
        <c:crosses val="autoZero"/>
        <c:auto val="1"/>
        <c:lblAlgn val="ctr"/>
        <c:lblOffset val="100"/>
        <c:noMultiLvlLbl val="1"/>
      </c:catAx>
      <c:valAx>
        <c:axId val="519930891"/>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de-DE"/>
          </a:p>
        </c:txPr>
        <c:crossAx val="379392664"/>
        <c:crosses val="autoZero"/>
        <c:crossBetween val="between"/>
      </c:valAx>
    </c:plotArea>
    <c:legend>
      <c:legendPos val="t"/>
      <c:overlay val="0"/>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1"/>
  <c:style val="2"/>
  <c:chart>
    <c:autoTitleDeleted val="1"/>
    <c:plotArea>
      <c:layout/>
      <c:barChart>
        <c:barDir val="col"/>
        <c:grouping val="percentStacked"/>
        <c:varyColors val="1"/>
        <c:ser>
          <c:idx val="0"/>
          <c:order val="0"/>
          <c:tx>
            <c:strRef>
              <c:f>coreviewers!$A$2</c:f>
              <c:strCache>
                <c:ptCount val="1"/>
                <c:pt idx="0">
                  <c:v>Yes</c:v>
                </c:pt>
              </c:strCache>
            </c:strRef>
          </c:tx>
          <c:spPr>
            <a:solidFill>
              <a:srgbClr val="00A7A1"/>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(coreviewers!$E$2,coreviewers!$Q$2,coreviewers!$U$2,coreviewers!$Y$2,coreviewers!$AC$2,coreviewers!$AG$2,coreviewers!$AK$2,coreviewers!$AO$2,coreviewers!$AS$2)</c:f>
              <c:numCache>
                <c:formatCode>General</c:formatCode>
                <c:ptCount val="9"/>
                <c:pt idx="0">
                  <c:v>37</c:v>
                </c:pt>
                <c:pt idx="1">
                  <c:v>1</c:v>
                </c:pt>
                <c:pt idx="2">
                  <c:v>2</c:v>
                </c:pt>
                <c:pt idx="3">
                  <c:v>4</c:v>
                </c:pt>
                <c:pt idx="4">
                  <c:v>5</c:v>
                </c:pt>
                <c:pt idx="5">
                  <c:v>2</c:v>
                </c:pt>
                <c:pt idx="6">
                  <c:v>9</c:v>
                </c:pt>
                <c:pt idx="7">
                  <c:v>6</c:v>
                </c:pt>
                <c:pt idx="8">
                  <c:v>6</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89FF-4FBE-8C4A-AC5B169F7FA2}"/>
            </c:ext>
          </c:extLst>
        </c:ser>
        <c:ser>
          <c:idx val="1"/>
          <c:order val="1"/>
          <c:tx>
            <c:strRef>
              <c:f>coreviewers!$A$3</c:f>
              <c:strCache>
                <c:ptCount val="1"/>
                <c:pt idx="0">
                  <c:v>No</c:v>
                </c:pt>
              </c:strCache>
            </c:strRef>
          </c:tx>
          <c:spPr>
            <a:solidFill>
              <a:srgbClr val="000000"/>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(coreviewers!$E$3,coreviewers!$Q$3,coreviewers!$U$3,coreviewers!$Y$3,coreviewers!$AC$3,coreviewers!$AG$3,coreviewers!$AK$3,coreviewers!$AO$3,coreviewers!$AS$3)</c:f>
              <c:numCache>
                <c:formatCode>General</c:formatCode>
                <c:ptCount val="9"/>
                <c:pt idx="0">
                  <c:v>6</c:v>
                </c:pt>
                <c:pt idx="1">
                  <c:v>1</c:v>
                </c:pt>
                <c:pt idx="2">
                  <c:v>0</c:v>
                </c:pt>
                <c:pt idx="3">
                  <c:v>0</c:v>
                </c:pt>
                <c:pt idx="4">
                  <c:v>1</c:v>
                </c:pt>
                <c:pt idx="5">
                  <c:v>0</c:v>
                </c:pt>
                <c:pt idx="6">
                  <c:v>0</c:v>
                </c:pt>
                <c:pt idx="7">
                  <c:v>2</c:v>
                </c:pt>
                <c:pt idx="8">
                  <c:v>0</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1-89FF-4FBE-8C4A-AC5B169F7FA2}"/>
            </c:ext>
          </c:extLst>
        </c:ser>
        <c:ser>
          <c:idx val="2"/>
          <c:order val="2"/>
          <c:tx>
            <c:strRef>
              <c:f>coreviewers!$A$4</c:f>
              <c:strCache>
                <c:ptCount val="1"/>
                <c:pt idx="0">
                  <c:v>Unsure</c:v>
                </c:pt>
              </c:strCache>
            </c:strRef>
          </c:tx>
          <c:spPr>
            <a:solidFill>
              <a:srgbClr val="AAAAAA"/>
            </a:solidFill>
          </c:spPr>
          <c:invertIfNegative val="1"/>
          <c:dLbls>
            <c:spPr>
              <a:noFill/>
              <a:ln>
                <a:noFill/>
              </a:ln>
              <a:effectLst/>
            </c:spPr>
            <c:txPr>
              <a:bodyPr/>
              <a:lstStyle/>
              <a:p>
                <a:pPr lvl="0">
                  <a:defRPr sz="800" b="0" i="0"/>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(coreviewers!$E$4,coreviewers!$Q$4,coreviewers!$U$4,coreviewers!$Y$4,coreviewers!$AC$4,coreviewers!$AG$4,coreviewers!$AK$4,coreviewers!$AO$4,coreviewers!$AS$4)</c:f>
              <c:numCache>
                <c:formatCode>General</c:formatCode>
                <c:ptCount val="9"/>
                <c:pt idx="0">
                  <c:v>128</c:v>
                </c:pt>
                <c:pt idx="1">
                  <c:v>18</c:v>
                </c:pt>
                <c:pt idx="2">
                  <c:v>18</c:v>
                </c:pt>
                <c:pt idx="3">
                  <c:v>16</c:v>
                </c:pt>
                <c:pt idx="4">
                  <c:v>14</c:v>
                </c:pt>
                <c:pt idx="5">
                  <c:v>18</c:v>
                </c:pt>
                <c:pt idx="6">
                  <c:v>11</c:v>
                </c:pt>
                <c:pt idx="7">
                  <c:v>12</c:v>
                </c:pt>
                <c:pt idx="8">
                  <c:v>14</c:v>
                </c:pt>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2-89FF-4FBE-8C4A-AC5B169F7FA2}"/>
            </c:ext>
          </c:extLst>
        </c:ser>
        <c:ser>
          <c:idx val="3"/>
          <c:order val="3"/>
          <c:tx>
            <c:strRef>
              <c:f>coreviewers!$A$5</c:f>
              <c:strCache>
                <c:ptCount val="1"/>
              </c:strCache>
            </c:strRef>
          </c:tx>
          <c:spPr>
            <a:solidFill>
              <a:srgbClr val="109618"/>
            </a:solidFill>
          </c:spPr>
          <c:invertIfNegative val="1"/>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(coreviewers!$E$5,coreviewers!$Q$5,coreviewers!$U$5,coreviewers!$Y$5,coreviewers!$AC$5,coreviewers!$AG$5,coreviewers!$AK$5,coreviewers!$AO$5,coreviewers!$AS$5)</c:f>
              <c:numCache>
                <c:formatCode>General</c:formatCode>
                <c:ptCount val="9"/>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3-89FF-4FBE-8C4A-AC5B169F7FA2}"/>
            </c:ext>
          </c:extLst>
        </c:ser>
        <c:ser>
          <c:idx val="4"/>
          <c:order val="4"/>
          <c:tx>
            <c:strRef>
              <c:f>coreviewers!$A$6</c:f>
              <c:strCache>
                <c:ptCount val="1"/>
              </c:strCache>
            </c:strRef>
          </c:tx>
          <c:spPr>
            <a:solidFill>
              <a:srgbClr val="990099"/>
            </a:solidFill>
          </c:spPr>
          <c:invertIfNegative val="1"/>
          <c:cat>
            <c:strRef>
              <c:f>(coreviewers!$E$1,coreviewers!$Q$1,coreviewers!$U$1,coreviewers!$Y$1,coreviewers!$AC$1,coreviewers!$AG$1,coreviewers!$AK$1,coreviewers!$AO$1,coreviewers!$AS$1)</c:f>
              <c:strCache>
                <c:ptCount val="9"/>
                <c:pt idx="0">
                  <c:v>All journals</c:v>
                </c:pt>
                <c:pt idx="1">
                  <c:v>Business, Economics &amp; Management</c:v>
                </c:pt>
                <c:pt idx="2">
                  <c:v>Chemical &amp; Materials Sciences</c:v>
                </c:pt>
                <c:pt idx="3">
                  <c:v>Engineering &amp; Computer Science</c:v>
                </c:pt>
                <c:pt idx="4">
                  <c:v>Health &amp; Medical Sciences</c:v>
                </c:pt>
                <c:pt idx="5">
                  <c:v>Humanities, Literature &amp; Arts</c:v>
                </c:pt>
                <c:pt idx="6">
                  <c:v>Life Sciences &amp; Earth Sciences</c:v>
                </c:pt>
                <c:pt idx="7">
                  <c:v>Physics &amp; Mathematics</c:v>
                </c:pt>
                <c:pt idx="8">
                  <c:v>Social Sciences</c:v>
                </c:pt>
              </c:strCache>
            </c:strRef>
          </c:cat>
          <c:val>
            <c:numRef>
              <c:f>(coreviewers!$E$6,coreviewers!$Q$6,coreviewers!$U$6,coreviewers!$Y$6,coreviewers!$AC$6,coreviewers!$AG$6,coreviewers!$AK$6,coreviewers!$AO$6,coreviewers!$AS$6)</c:f>
              <c:numCache>
                <c:formatCode>General</c:formatCode>
                <c:ptCount val="9"/>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4-89FF-4FBE-8C4A-AC5B169F7FA2}"/>
            </c:ext>
          </c:extLst>
        </c:ser>
        <c:dLbls>
          <c:showLegendKey val="0"/>
          <c:showVal val="0"/>
          <c:showCatName val="0"/>
          <c:showSerName val="0"/>
          <c:showPercent val="0"/>
          <c:showBubbleSize val="0"/>
        </c:dLbls>
        <c:gapWidth val="150"/>
        <c:overlap val="100"/>
        <c:axId val="745006957"/>
        <c:axId val="1610979329"/>
      </c:barChart>
      <c:catAx>
        <c:axId val="745006957"/>
        <c:scaling>
          <c:orientation val="minMax"/>
        </c:scaling>
        <c:delete val="0"/>
        <c:axPos val="b"/>
        <c:numFmt formatCode="General" sourceLinked="1"/>
        <c:majorTickMark val="cross"/>
        <c:minorTickMark val="cross"/>
        <c:tickLblPos val="nextTo"/>
        <c:txPr>
          <a:bodyPr/>
          <a:lstStyle/>
          <a:p>
            <a:pPr lvl="0">
              <a:defRPr b="0"/>
            </a:pPr>
            <a:endParaRPr lang="de-DE"/>
          </a:p>
        </c:txPr>
        <c:crossAx val="1610979329"/>
        <c:crosses val="autoZero"/>
        <c:auto val="1"/>
        <c:lblAlgn val="ctr"/>
        <c:lblOffset val="100"/>
        <c:noMultiLvlLbl val="1"/>
      </c:catAx>
      <c:valAx>
        <c:axId val="1610979329"/>
        <c:scaling>
          <c:orientation val="minMax"/>
        </c:scaling>
        <c:delete val="0"/>
        <c:axPos val="l"/>
        <c:majorGridlines>
          <c:spPr>
            <a:ln>
              <a:solidFill>
                <a:srgbClr val="B7B7B7"/>
              </a:solidFill>
            </a:ln>
          </c:spPr>
        </c:majorGridlines>
        <c:numFmt formatCode="0%" sourceLinked="1"/>
        <c:majorTickMark val="cross"/>
        <c:minorTickMark val="cross"/>
        <c:tickLblPos val="nextTo"/>
        <c:spPr>
          <a:ln w="47625">
            <a:noFill/>
          </a:ln>
        </c:spPr>
        <c:txPr>
          <a:bodyPr/>
          <a:lstStyle/>
          <a:p>
            <a:pPr lvl="0">
              <a:defRPr b="0"/>
            </a:pPr>
            <a:endParaRPr lang="de-DE"/>
          </a:p>
        </c:txPr>
        <c:crossAx val="745006957"/>
        <c:crosses val="autoZero"/>
        <c:crossBetween val="between"/>
      </c:valAx>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15</xdr:col>
      <xdr:colOff>733425</xdr:colOff>
      <xdr:row>9</xdr:row>
      <xdr:rowOff>133350</xdr:rowOff>
    </xdr:from>
    <xdr:ext cx="7772400" cy="3486150"/>
    <xdr:graphicFrame macro="">
      <xdr:nvGraphicFramePr>
        <xdr:cNvPr id="2" name="Chart 1" title="Chart">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15</xdr:col>
      <xdr:colOff>209550</xdr:colOff>
      <xdr:row>11</xdr:row>
      <xdr:rowOff>295275</xdr:rowOff>
    </xdr:from>
    <xdr:ext cx="7772400" cy="3333750"/>
    <xdr:graphicFrame macro="">
      <xdr:nvGraphicFramePr>
        <xdr:cNvPr id="2" name="Chart 2"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1343025</xdr:colOff>
      <xdr:row>11</xdr:row>
      <xdr:rowOff>123825</xdr:rowOff>
    </xdr:from>
    <xdr:ext cx="7772400" cy="2209800"/>
    <xdr:graphicFrame macro="">
      <xdr:nvGraphicFramePr>
        <xdr:cNvPr id="3" name="Chart 3" title="Chart">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pubs.acs.org/page/accacs/submission/prior.htmlhttps:/pubs.acs.org/page/policy/authorchoice/index.html" TargetMode="External"/><Relationship Id="rId170" Type="http://schemas.openxmlformats.org/officeDocument/2006/relationships/hyperlink" Target="https://authors.bmj.com/policies/preprints/" TargetMode="External"/><Relationship Id="rId268" Type="http://schemas.openxmlformats.org/officeDocument/2006/relationships/hyperlink" Target="https://www.rsc.org/journals-books-databases/journal-authors-reviewers/reviewer-responsibilities/" TargetMode="External"/><Relationship Id="rId475" Type="http://schemas.openxmlformats.org/officeDocument/2006/relationships/hyperlink" Target="http://www.cell.com/immunity/articletransfer" TargetMode="External"/><Relationship Id="rId682" Type="http://schemas.openxmlformats.org/officeDocument/2006/relationships/hyperlink" Target="https://www.rsc.org/journals-books-databases/journal-authors-reviewers/reviewer-responsibilities/" TargetMode="External"/><Relationship Id="rId128" Type="http://schemas.openxmlformats.org/officeDocument/2006/relationships/hyperlink" Target="https://www.elsevier.com/journals/applied-energy/0306-2619/guide-for-authors" TargetMode="External"/><Relationship Id="rId335" Type="http://schemas.openxmlformats.org/officeDocument/2006/relationships/hyperlink" Target="https://www.econometricsociety.org/publications/econometrica/information-authors/editorial-procedures-and-policies" TargetMode="External"/><Relationship Id="rId542" Type="http://schemas.openxmlformats.org/officeDocument/2006/relationships/hyperlink" Target="http://ascopubs.org/reviewers" TargetMode="External"/><Relationship Id="rId987" Type="http://schemas.openxmlformats.org/officeDocument/2006/relationships/hyperlink" Target="https://www.elsevier.com/journals/renewable-and-sustainable-energy-reviews/1364-0321/guide-for-authors" TargetMode="External"/><Relationship Id="rId402" Type="http://schemas.openxmlformats.org/officeDocument/2006/relationships/hyperlink" Target="https://www.elsevier.com/reviewers/how-to-review" TargetMode="External"/><Relationship Id="rId847" Type="http://schemas.openxmlformats.org/officeDocument/2006/relationships/hyperlink" Target="https://www.nature.com/authors/policies/preprints.html" TargetMode="External"/><Relationship Id="rId1032" Type="http://schemas.openxmlformats.org/officeDocument/2006/relationships/hyperlink" Target="https://www.nature.com/authors/policies/peer_review.html" TargetMode="External"/><Relationship Id="rId707" Type="http://schemas.openxmlformats.org/officeDocument/2006/relationships/hyperlink" Target="https://www.nature.com/authors/author_resources/transfer_manuscripts.html" TargetMode="External"/><Relationship Id="rId914" Type="http://schemas.openxmlformats.org/officeDocument/2006/relationships/hyperlink" Target="https://www.osapublishing.org/oe/submit/review/outstandingreviewers.cfm" TargetMode="External"/><Relationship Id="rId43" Type="http://schemas.openxmlformats.org/officeDocument/2006/relationships/hyperlink" Target="https://www.euchems.eu/wp-content/uploads/Ethicalguidelines_tcm23-54057.pdf" TargetMode="External"/><Relationship Id="rId192" Type="http://schemas.openxmlformats.org/officeDocument/2006/relationships/hyperlink" Target="https://www.cell.com/cancer-cell/authors" TargetMode="External"/><Relationship Id="rId497" Type="http://schemas.openxmlformats.org/officeDocument/2006/relationships/hyperlink" Target="https://www.jacionline.org/article/S0091-6749(05)02623-0/fulltext" TargetMode="External"/><Relationship Id="rId357" Type="http://schemas.openxmlformats.org/officeDocument/2006/relationships/hyperlink" Target="https://academic.oup.com/eurheartj/pages/Manuscript_Sharing" TargetMode="External"/><Relationship Id="rId217" Type="http://schemas.openxmlformats.org/officeDocument/2006/relationships/hyperlink" Target="https://www.cell.com/reviewers" TargetMode="External"/><Relationship Id="rId564" Type="http://schemas.openxmlformats.org/officeDocument/2006/relationships/hyperlink" Target="https://www.apa.org/pubs/journals/reviewer-instructions.pdf" TargetMode="External"/><Relationship Id="rId771" Type="http://schemas.openxmlformats.org/officeDocument/2006/relationships/hyperlink" Target="https://www.nature.com/authors/policies/peer_review.html" TargetMode="External"/><Relationship Id="rId869" Type="http://schemas.openxmlformats.org/officeDocument/2006/relationships/hyperlink" Target="https://nips.cc/Conferences/2019/CallForPapers" TargetMode="External"/><Relationship Id="rId424" Type="http://schemas.openxmlformats.org/officeDocument/2006/relationships/hyperlink" Target="https://www.comsoc.org/publications/magazines/ieee-communications-magazine/magazine-reviewer" TargetMode="External"/><Relationship Id="rId631" Type="http://schemas.openxmlformats.org/officeDocument/2006/relationships/hyperlink" Target="https://www.elsevier.com/reviewers/role" TargetMode="External"/><Relationship Id="rId729" Type="http://schemas.openxmlformats.org/officeDocument/2006/relationships/hyperlink" Target="https://www.nature.com/authors/policies/peer_review.html" TargetMode="External"/><Relationship Id="rId1054" Type="http://schemas.openxmlformats.org/officeDocument/2006/relationships/hyperlink" Target="https://www.elsevier.com/journals/teaching-and-teacher-education/0742-051x/guide-for-authors" TargetMode="External"/><Relationship Id="rId936" Type="http://schemas.openxmlformats.org/officeDocument/2006/relationships/hyperlink" Target="https://journals.aps.org/prd/authors/editorial-policies-practices" TargetMode="External"/><Relationship Id="rId1121" Type="http://schemas.openxmlformats.org/officeDocument/2006/relationships/hyperlink" Target="https://academic.oup.com/journals/pages/access_purchase/rights_and_permissions/self_archiving_policy_f" TargetMode="External"/><Relationship Id="rId65" Type="http://schemas.openxmlformats.org/officeDocument/2006/relationships/hyperlink" Target="https://www.aeaweb.org/content/file?id=222" TargetMode="External"/><Relationship Id="rId281" Type="http://schemas.openxmlformats.org/officeDocument/2006/relationships/hyperlink" Target="https://www.ahajournals.org/pb-assets/Ethical%20ConductPolicyApril2017finalWeb.pdf" TargetMode="External"/><Relationship Id="rId141" Type="http://schemas.openxmlformats.org/officeDocument/2006/relationships/hyperlink" Target="https://academic.oup.com/journals/pages/authors/ethics" TargetMode="External"/><Relationship Id="rId379" Type="http://schemas.openxmlformats.org/officeDocument/2006/relationships/hyperlink" Target="https://uk.sagepub.com/en-gb/eur/online-submission-peer-review-system" TargetMode="External"/><Relationship Id="rId586" Type="http://schemas.openxmlformats.org/officeDocument/2006/relationships/hyperlink" Target="https://us.sagepub.com/en-us/nam/prior-publication" TargetMode="External"/><Relationship Id="rId793" Type="http://schemas.openxmlformats.org/officeDocument/2006/relationships/hyperlink" Target="https://www.nature.com/authors/author_resources/transfer_manuscripts.html" TargetMode="External"/><Relationship Id="rId7" Type="http://schemas.openxmlformats.org/officeDocument/2006/relationships/hyperlink" Target="https://journals.lww.com/academicmedicine/Documents/ReviewerFAQs_Sept2012_v1.pdf" TargetMode="External"/><Relationship Id="rId239" Type="http://schemas.openxmlformats.org/officeDocument/2006/relationships/hyperlink" Target="https://www.cell.com/cell-stem-cell/articletransfer" TargetMode="External"/><Relationship Id="rId446" Type="http://schemas.openxmlformats.org/officeDocument/2006/relationships/hyperlink" Target="https://ieeeauthorcenter.ieee.org/publishing-ethics/guidelines-and-policies/policy-posting-your-article/" TargetMode="External"/><Relationship Id="rId653" Type="http://schemas.openxmlformats.org/officeDocument/2006/relationships/hyperlink" Target="https://pubsonline.informs.org/page/mnsc/submission-guidelines" TargetMode="External"/><Relationship Id="rId1076" Type="http://schemas.openxmlformats.org/officeDocument/2006/relationships/hyperlink" Target="https://www.jci.org/kiosks/authors" TargetMode="External"/><Relationship Id="rId306" Type="http://schemas.openxmlformats.org/officeDocument/2006/relationships/hyperlink" Target="https://www.elsevier.com/reviewers/role" TargetMode="External"/><Relationship Id="rId860" Type="http://schemas.openxmlformats.org/officeDocument/2006/relationships/hyperlink" Target="https://www.nature.com/nrg/for-referees" TargetMode="External"/><Relationship Id="rId958" Type="http://schemas.openxmlformats.org/officeDocument/2006/relationships/hyperlink" Target="https://www.elsevier.com/journals/physics-letters-b/0370-2693/guide-for-authors" TargetMode="External"/><Relationship Id="rId1143" Type="http://schemas.openxmlformats.org/officeDocument/2006/relationships/hyperlink" Target="https://www.elsevier.com/about/policies/sharing" TargetMode="External"/><Relationship Id="rId87" Type="http://schemas.openxmlformats.org/officeDocument/2006/relationships/hyperlink" Target="https://us.sagepub.com/en-us/nam/prior-publication" TargetMode="External"/><Relationship Id="rId513" Type="http://schemas.openxmlformats.org/officeDocument/2006/relationships/hyperlink" Target="https://www.springer.com/philosophy/ethics+and+moral+philosophy/journal/10551" TargetMode="External"/><Relationship Id="rId720" Type="http://schemas.openxmlformats.org/officeDocument/2006/relationships/hyperlink" Target="https://www.nature.com/authors/policies/peer_review.html" TargetMode="External"/><Relationship Id="rId818" Type="http://schemas.openxmlformats.org/officeDocument/2006/relationships/hyperlink" Target="https://www.nature.com/authors/peer_review/index.html" TargetMode="External"/><Relationship Id="rId1003" Type="http://schemas.openxmlformats.org/officeDocument/2006/relationships/hyperlink" Target="https://www.mitpressjournals.org/for_authors" TargetMode="External"/><Relationship Id="rId14" Type="http://schemas.openxmlformats.org/officeDocument/2006/relationships/hyperlink" Target="https://pubs.acs.org/paragonplus/submission/achre4/achre4_authguide.pdf" TargetMode="External"/><Relationship Id="rId163" Type="http://schemas.openxmlformats.org/officeDocument/2006/relationships/hyperlink" Target="http://www.bloodjournal.org/page/authors/author-guide/Editorial-policies-for-authors" TargetMode="External"/><Relationship Id="rId370" Type="http://schemas.openxmlformats.org/officeDocument/2006/relationships/hyperlink" Target="https://www.gastrojournal.org/content/authorinfo" TargetMode="External"/><Relationship Id="rId230" Type="http://schemas.openxmlformats.org/officeDocument/2006/relationships/hyperlink" Target="https://www.cell.com/reviewers" TargetMode="External"/><Relationship Id="rId468" Type="http://schemas.openxmlformats.org/officeDocument/2006/relationships/hyperlink" Target="https://ieeeauthorcenter.ieee.org/publishing-ethics/guidelines-and-policies/policy-posting-your-article/" TargetMode="External"/><Relationship Id="rId675" Type="http://schemas.openxmlformats.org/officeDocument/2006/relationships/hyperlink" Target="https://pubs.acs.org/userimages/ContentEditor/1218054468605/ethics.pdf" TargetMode="External"/><Relationship Id="rId882" Type="http://schemas.openxmlformats.org/officeDocument/2006/relationships/hyperlink" Target="https://www.elsevier.com/about/policies/sharing" TargetMode="External"/><Relationship Id="rId1098" Type="http://schemas.openxmlformats.org/officeDocument/2006/relationships/hyperlink" Target="https://els-jbs-prod-cdn.literatumonline.com/pb/assets/raw/Lancet/authors/tln-info-for-authors-1541596047120.pdf" TargetMode="External"/><Relationship Id="rId328" Type="http://schemas.openxmlformats.org/officeDocument/2006/relationships/hyperlink" Target="http://care.diabetesjournals.org/content/early/recent" TargetMode="External"/><Relationship Id="rId535" Type="http://schemas.openxmlformats.org/officeDocument/2006/relationships/hyperlink" Target="https://www.elsevier.com/reviewers/what-is-peer-review" TargetMode="External"/><Relationship Id="rId742" Type="http://schemas.openxmlformats.org/officeDocument/2006/relationships/hyperlink" Target="https://www.nature.com/authors/policies/preprints.html" TargetMode="External"/><Relationship Id="rId602" Type="http://schemas.openxmlformats.org/officeDocument/2006/relationships/hyperlink" Target="https://www.elsevier.com/authors/journal-authors/submit-your-paper/submit-and-revise/article-transfer-service" TargetMode="External"/><Relationship Id="rId1025" Type="http://schemas.openxmlformats.org/officeDocument/2006/relationships/hyperlink" Target="https://stm.sciencemag.org/content/science-translational-medicine-general-policies" TargetMode="External"/><Relationship Id="rId907" Type="http://schemas.openxmlformats.org/officeDocument/2006/relationships/hyperlink" Target="https://academic.oup.com/nar/article/47/1/1/5281443" TargetMode="External"/><Relationship Id="rId36" Type="http://schemas.openxmlformats.org/officeDocument/2006/relationships/hyperlink" Target="https://pubs.acs.org/pb-assets/acspubs/Migrated/ancac3_revguide.pdf" TargetMode="External"/><Relationship Id="rId185" Type="http://schemas.openxmlformats.org/officeDocument/2006/relationships/hyperlink" Target="https://arxiv.org/" TargetMode="External"/><Relationship Id="rId392" Type="http://schemas.openxmlformats.org/officeDocument/2006/relationships/hyperlink" Target="https://www.elsevier.com/about/policies/copyright" TargetMode="External"/><Relationship Id="rId613" Type="http://schemas.openxmlformats.org/officeDocument/2006/relationships/hyperlink" Target="http://www.onlinejacc.org/content/73/2/A28" TargetMode="External"/><Relationship Id="rId697" Type="http://schemas.openxmlformats.org/officeDocument/2006/relationships/hyperlink" Target="https://www.nature.com/authors/policies/peer_review.html" TargetMode="External"/><Relationship Id="rId820" Type="http://schemas.openxmlformats.org/officeDocument/2006/relationships/hyperlink" Target="https://www.nature.com/authors/policies/peer_review.html" TargetMode="External"/><Relationship Id="rId918" Type="http://schemas.openxmlformats.org/officeDocument/2006/relationships/hyperlink" Target="http://www.aappublications.org/content/pediatrics-reviewer-guidelines" TargetMode="External"/><Relationship Id="rId252" Type="http://schemas.openxmlformats.org/officeDocument/2006/relationships/hyperlink" Target="https://pubs.acs.org/page/chreay/submission/reviewers.html" TargetMode="External"/><Relationship Id="rId1103" Type="http://schemas.openxmlformats.org/officeDocument/2006/relationships/hyperlink" Target="https://www.thelancet.com/preprints" TargetMode="External"/><Relationship Id="rId47" Type="http://schemas.openxmlformats.org/officeDocument/2006/relationships/hyperlink" Target="https://wol-prod-cdn.literatumonline.com/pb-assets/assets/16163028/AFM-guide-for-authors-may-2018-1526994585463.pdf" TargetMode="External"/><Relationship Id="rId112" Type="http://schemas.openxmlformats.org/officeDocument/2006/relationships/hyperlink" Target="https://authors.bmj.com/policies/peer-review-terms-and-conditions/" TargetMode="External"/><Relationship Id="rId557" Type="http://schemas.openxmlformats.org/officeDocument/2006/relationships/hyperlink" Target="https://publishingsupport.iopscience.iop.org/questions/ethics-for-reviewers/" TargetMode="External"/><Relationship Id="rId764" Type="http://schemas.openxmlformats.org/officeDocument/2006/relationships/hyperlink" Target="https://www.nature.com/nmat/for-referees/policies-and-processes" TargetMode="External"/><Relationship Id="rId971" Type="http://schemas.openxmlformats.org/officeDocument/2006/relationships/hyperlink" Target="https://www.pnas.org/content/115/52/E12466" TargetMode="External"/><Relationship Id="rId196" Type="http://schemas.openxmlformats.org/officeDocument/2006/relationships/hyperlink" Target="http://aacrjournals.org/site/Info/Reviewers.xhtml" TargetMode="External"/><Relationship Id="rId417" Type="http://schemas.openxmlformats.org/officeDocument/2006/relationships/hyperlink" Target="https://www.healthaffairs.org/help-for-reviewers" TargetMode="External"/><Relationship Id="rId624" Type="http://schemas.openxmlformats.org/officeDocument/2006/relationships/hyperlink" Target="https://us.sagepub.com/en-us/nam/how-to-review-articles" TargetMode="External"/><Relationship Id="rId831" Type="http://schemas.openxmlformats.org/officeDocument/2006/relationships/hyperlink" Target="https://www.nature.com/authors/policies/preprints.html" TargetMode="External"/><Relationship Id="rId1047" Type="http://schemas.openxmlformats.org/officeDocument/2006/relationships/hyperlink" Target="https://authorservices.wiley.com/Reviewers/journal-reviewers/how-to-perform-a-peer-review/general-and-ethical-guidelines.html" TargetMode="External"/><Relationship Id="rId263" Type="http://schemas.openxmlformats.org/officeDocument/2006/relationships/hyperlink" Target="http://www.rsc.org/journals-books-databases/about-journals/chemcomm/" TargetMode="External"/><Relationship Id="rId470" Type="http://schemas.openxmlformats.org/officeDocument/2006/relationships/hyperlink" Target="http://www.cell.com/immunity/articletransfer" TargetMode="External"/><Relationship Id="rId929" Type="http://schemas.openxmlformats.org/officeDocument/2006/relationships/hyperlink" Target="https://journals.aps.org/prb/referees/referee-response-physical-review" TargetMode="External"/><Relationship Id="rId1114" Type="http://schemas.openxmlformats.org/officeDocument/2006/relationships/hyperlink" Target="https://www.nejm.org/about-nejm/editorial-policies" TargetMode="External"/><Relationship Id="rId58" Type="http://schemas.openxmlformats.org/officeDocument/2006/relationships/hyperlink" Target="https://onlinelibrary.wiley.com/pb-assets/assets/15214095/2089_guidelines.pdf" TargetMode="External"/><Relationship Id="rId123" Type="http://schemas.openxmlformats.org/officeDocument/2006/relationships/hyperlink" Target="https://www.elsevier.com/about/policies/copyright" TargetMode="External"/><Relationship Id="rId330" Type="http://schemas.openxmlformats.org/officeDocument/2006/relationships/hyperlink" Target="https://www.tandfonline.com/action/authorSubmission?show=instructions&amp;journalCode=rdij20" TargetMode="External"/><Relationship Id="rId568" Type="http://schemas.openxmlformats.org/officeDocument/2006/relationships/hyperlink" Target="https://publications.agu.org/reviewer-resources/" TargetMode="External"/><Relationship Id="rId775" Type="http://schemas.openxmlformats.org/officeDocument/2006/relationships/hyperlink" Target="https://www.nature.com/authors/policies/preprints.html" TargetMode="External"/><Relationship Id="rId982" Type="http://schemas.openxmlformats.org/officeDocument/2006/relationships/hyperlink" Target="https://academic.oup.com/poq/pages/general_instructions" TargetMode="External"/><Relationship Id="rId428" Type="http://schemas.openxmlformats.org/officeDocument/2006/relationships/hyperlink" Target="https://pspb.ieee.org/images/files/files/opsmanual.pdf" TargetMode="External"/><Relationship Id="rId635" Type="http://schemas.openxmlformats.org/officeDocument/2006/relationships/hyperlink" Target="https://www.elsevier.com/reviewers/role" TargetMode="External"/><Relationship Id="rId842" Type="http://schemas.openxmlformats.org/officeDocument/2006/relationships/hyperlink" Target="https://www.nature.com/nrg/for-referees" TargetMode="External"/><Relationship Id="rId1058" Type="http://schemas.openxmlformats.org/officeDocument/2006/relationships/hyperlink" Target="https://www.tesol.org/read-and-publish/journals/tesol-journal" TargetMode="External"/><Relationship Id="rId274" Type="http://schemas.openxmlformats.org/officeDocument/2006/relationships/hyperlink" Target="https://pubs.acs.org/paragonplus/submission/cmatex/cmatex_scope.pdf" TargetMode="External"/><Relationship Id="rId481" Type="http://schemas.openxmlformats.org/officeDocument/2006/relationships/hyperlink" Target="https://www.elsevier.com/about/policies/copyright" TargetMode="External"/><Relationship Id="rId702" Type="http://schemas.openxmlformats.org/officeDocument/2006/relationships/hyperlink" Target="https://www.nature.com/authors/policies/peer_review.html" TargetMode="External"/><Relationship Id="rId1125" Type="http://schemas.openxmlformats.org/officeDocument/2006/relationships/hyperlink" Target="https://www.elsevier.com/reviewers/what-is-peer-review" TargetMode="External"/><Relationship Id="rId69" Type="http://schemas.openxmlformats.org/officeDocument/2006/relationships/hyperlink" Target="https://ajpsblogging.files.wordpress.com/2015/09/ajps-author-resources-ver-1-0.pdf" TargetMode="External"/><Relationship Id="rId134" Type="http://schemas.openxmlformats.org/officeDocument/2006/relationships/hyperlink" Target="https://www.elsevier.com/reviewers/role" TargetMode="External"/><Relationship Id="rId579" Type="http://schemas.openxmlformats.org/officeDocument/2006/relationships/hyperlink" Target="https://www.springer.com/us/authors-editors/journal-author/the-springer-transfer-desk" TargetMode="External"/><Relationship Id="rId786" Type="http://schemas.openxmlformats.org/officeDocument/2006/relationships/hyperlink" Target="https://www.nature.com/authors/policies/peer_review.html" TargetMode="External"/><Relationship Id="rId993" Type="http://schemas.openxmlformats.org/officeDocument/2006/relationships/hyperlink" Target="https://www.elsevier.com/reviewers/how-to-review" TargetMode="External"/><Relationship Id="rId341" Type="http://schemas.openxmlformats.org/officeDocument/2006/relationships/hyperlink" Target="http://www.rsc.org/journals-books-databases/journal-authors-reviewers/reviewer-responsibilities/" TargetMode="External"/><Relationship Id="rId439" Type="http://schemas.openxmlformats.org/officeDocument/2006/relationships/hyperlink" Target="http://iccv2019.thecvf.com/submission/timeline" TargetMode="External"/><Relationship Id="rId646" Type="http://schemas.openxmlformats.org/officeDocument/2006/relationships/hyperlink" Target="https://www.elsevier.com/journals/lingua/0024-3841/guide-for-authors" TargetMode="External"/><Relationship Id="rId1069" Type="http://schemas.openxmlformats.org/officeDocument/2006/relationships/hyperlink" Target="https://epjc.epj.org/epjc-faq" TargetMode="External"/><Relationship Id="rId201" Type="http://schemas.openxmlformats.org/officeDocument/2006/relationships/hyperlink" Target="http://aacrjournals.org/site/Info/Reviewers.xhtml" TargetMode="External"/><Relationship Id="rId285" Type="http://schemas.openxmlformats.org/officeDocument/2006/relationships/hyperlink" Target="https://www.ahajournals.org/pb-assets/Ethical%20ConductPolicyApril2017finalWeb.pdf" TargetMode="External"/><Relationship Id="rId506" Type="http://schemas.openxmlformats.org/officeDocument/2006/relationships/hyperlink" Target="https://www.elsevier.com/about/policies/sharing" TargetMode="External"/><Relationship Id="rId853" Type="http://schemas.openxmlformats.org/officeDocument/2006/relationships/hyperlink" Target="https://www.nature.com/authors/policies/preprints.html" TargetMode="External"/><Relationship Id="rId1136" Type="http://schemas.openxmlformats.org/officeDocument/2006/relationships/hyperlink" Target="https://www.elsevier.com/reviewers/what-is-peer-review" TargetMode="External"/><Relationship Id="rId492" Type="http://schemas.openxmlformats.org/officeDocument/2006/relationships/hyperlink" Target="https://jamanetwork.com/journals/jama/pages/instructions-for-authors" TargetMode="External"/><Relationship Id="rId713" Type="http://schemas.openxmlformats.org/officeDocument/2006/relationships/hyperlink" Target="https://www.nature.com/authors/policies/preprints.html" TargetMode="External"/><Relationship Id="rId797" Type="http://schemas.openxmlformats.org/officeDocument/2006/relationships/hyperlink" Target="https://www.nature.com/authors/policies/peer_review.html" TargetMode="External"/><Relationship Id="rId920" Type="http://schemas.openxmlformats.org/officeDocument/2006/relationships/hyperlink" Target="http://www.aappublications.org/content/pediatrics-author-guidelines" TargetMode="External"/><Relationship Id="rId145" Type="http://schemas.openxmlformats.org/officeDocument/2006/relationships/hyperlink" Target="https://aip.scitation.org/apl/info/policies" TargetMode="External"/><Relationship Id="rId352" Type="http://schemas.openxmlformats.org/officeDocument/2006/relationships/hyperlink" Target="https://pubs.acs.org/page/esthag/submission/prior.html" TargetMode="External"/><Relationship Id="rId212" Type="http://schemas.openxmlformats.org/officeDocument/2006/relationships/hyperlink" Target="https://www.cell.com/reviewers" TargetMode="External"/><Relationship Id="rId657" Type="http://schemas.openxmlformats.org/officeDocument/2006/relationships/hyperlink" Target="https://uk.sagepub.com/en-gb/eur/journal/media-culture-society" TargetMode="External"/><Relationship Id="rId864" Type="http://schemas.openxmlformats.org/officeDocument/2006/relationships/hyperlink" Target="https://www.nature.com/authors/policies/peer_review.html" TargetMode="External"/><Relationship Id="rId296" Type="http://schemas.openxmlformats.org/officeDocument/2006/relationships/hyperlink" Target="http://aacrjournals.org/content/authors/editorial-policies" TargetMode="External"/><Relationship Id="rId517" Type="http://schemas.openxmlformats.org/officeDocument/2006/relationships/hyperlink" Target="https://www.elsevier.com/reviewers/role" TargetMode="External"/><Relationship Id="rId724" Type="http://schemas.openxmlformats.org/officeDocument/2006/relationships/hyperlink" Target="https://www.nature.com/authors/policies/peer_review.html" TargetMode="External"/><Relationship Id="rId931" Type="http://schemas.openxmlformats.org/officeDocument/2006/relationships/hyperlink" Target="https://journals.aps.org/prb/authors/editorial-policies-practices" TargetMode="External"/><Relationship Id="rId60" Type="http://schemas.openxmlformats.org/officeDocument/2006/relationships/hyperlink" Target="https://onlinelibrary.wiley.com/pb-assets/assets/15214095/2089_guidelines.pdf" TargetMode="External"/><Relationship Id="rId156" Type="http://schemas.openxmlformats.org/officeDocument/2006/relationships/hyperlink" Target="https://www.elsevier.com/reviewers/how-to-review" TargetMode="External"/><Relationship Id="rId363" Type="http://schemas.openxmlformats.org/officeDocument/2006/relationships/hyperlink" Target="https://www.elsevier.com/reviewers/role" TargetMode="External"/><Relationship Id="rId570" Type="http://schemas.openxmlformats.org/officeDocument/2006/relationships/hyperlink" Target="https://publications.agu.org/reviewer-resources/" TargetMode="External"/><Relationship Id="rId1007" Type="http://schemas.openxmlformats.org/officeDocument/2006/relationships/hyperlink" Target="https://journals.aps.org/rmp/info/procedures.html" TargetMode="External"/><Relationship Id="rId223" Type="http://schemas.openxmlformats.org/officeDocument/2006/relationships/hyperlink" Target="https://www.cell.com/cancer-cell/authors" TargetMode="External"/><Relationship Id="rId430" Type="http://schemas.openxmlformats.org/officeDocument/2006/relationships/hyperlink" Target="https://www.comsoc.org/publications/magazines/ieee-communications-magazine/author-guidelines/manuscript-publishing" TargetMode="External"/><Relationship Id="rId668" Type="http://schemas.openxmlformats.org/officeDocument/2006/relationships/hyperlink" Target="https://academic.oup.com/mnras/pages/General_Instructions" TargetMode="External"/><Relationship Id="rId875" Type="http://schemas.openxmlformats.org/officeDocument/2006/relationships/hyperlink" Target="https://www.elsevier.com/reviewers/how-to-review" TargetMode="External"/><Relationship Id="rId1060" Type="http://schemas.openxmlformats.org/officeDocument/2006/relationships/hyperlink" Target="https://authorservices.wiley.com/Reviewers/journal-reviewers/recognition-for-reviewers/index.html" TargetMode="External"/><Relationship Id="rId18" Type="http://schemas.openxmlformats.org/officeDocument/2006/relationships/hyperlink" Target="https://pubs.acs.org/paragonplus/submission/achre4/achre4_authguide.pdf" TargetMode="External"/><Relationship Id="rId528" Type="http://schemas.openxmlformats.org/officeDocument/2006/relationships/hyperlink" Target="https://www.elsevier.com/reviewers/role" TargetMode="External"/><Relationship Id="rId735" Type="http://schemas.openxmlformats.org/officeDocument/2006/relationships/hyperlink" Target="https://www.nature.com/ncomms/journal-policies/guide-to-referees" TargetMode="External"/><Relationship Id="rId942" Type="http://schemas.openxmlformats.org/officeDocument/2006/relationships/hyperlink" Target="https://journals.aps.org/prl/authors/editorial-policies-practices" TargetMode="External"/><Relationship Id="rId167" Type="http://schemas.openxmlformats.org/officeDocument/2006/relationships/hyperlink" Target="https://authors.bmj.com/policies/peer-review-terms-and-conditions/" TargetMode="External"/><Relationship Id="rId374" Type="http://schemas.openxmlformats.org/officeDocument/2006/relationships/hyperlink" Target="https://www.gastrojournal.org/content/authorinfo" TargetMode="External"/><Relationship Id="rId581" Type="http://schemas.openxmlformats.org/officeDocument/2006/relationships/hyperlink" Target="https://www.springer.com/us/authors-editors/journal-author/the-springer-transfer-desk" TargetMode="External"/><Relationship Id="rId1018" Type="http://schemas.openxmlformats.org/officeDocument/2006/relationships/hyperlink" Target="https://www.sciencemag.org/authors/science-information-authors" TargetMode="External"/><Relationship Id="rId71" Type="http://schemas.openxmlformats.org/officeDocument/2006/relationships/hyperlink" Target="https://ajps.org/ajps-reviewer-instructions/" TargetMode="External"/><Relationship Id="rId234" Type="http://schemas.openxmlformats.org/officeDocument/2006/relationships/hyperlink" Target="https://www.cell.com/cell-stem-cell/authors" TargetMode="External"/><Relationship Id="rId679" Type="http://schemas.openxmlformats.org/officeDocument/2006/relationships/hyperlink" Target="http://www.rsc.org/journals-books-databases/journal-authors-reviewers/processes-policies/" TargetMode="External"/><Relationship Id="rId802" Type="http://schemas.openxmlformats.org/officeDocument/2006/relationships/hyperlink" Target="https://www.nature.com/authors/policies/peer_review.html" TargetMode="External"/><Relationship Id="rId886" Type="http://schemas.openxmlformats.org/officeDocument/2006/relationships/hyperlink" Target="https://www.cell.com/neuron/authors" TargetMode="External"/><Relationship Id="rId2" Type="http://schemas.openxmlformats.org/officeDocument/2006/relationships/hyperlink" Target="https://journals.lww.com/academicmedicine/Documents/ReviewerFAQs_Sept2012_v1.pdf" TargetMode="External"/><Relationship Id="rId29" Type="http://schemas.openxmlformats.org/officeDocument/2006/relationships/hyperlink" Target="http://aom.org/uploadedFiles/Publications/AMJ/07_Colquitt_IrelandApr09FTE.pdf" TargetMode="External"/><Relationship Id="rId441" Type="http://schemas.openxmlformats.org/officeDocument/2006/relationships/hyperlink" Target="http://iccv2019.thecvf.com/submission/main_conference/author_guidelines" TargetMode="External"/><Relationship Id="rId539" Type="http://schemas.openxmlformats.org/officeDocument/2006/relationships/hyperlink" Target="http://ascopubs.org/reviewers" TargetMode="External"/><Relationship Id="rId746" Type="http://schemas.openxmlformats.org/officeDocument/2006/relationships/hyperlink" Target="https://www.nature.com/ng/for-referees/policies-and-processes" TargetMode="External"/><Relationship Id="rId1071" Type="http://schemas.openxmlformats.org/officeDocument/2006/relationships/hyperlink" Target="https://epjc.epj.org/epjc-faq" TargetMode="External"/><Relationship Id="rId178" Type="http://schemas.openxmlformats.org/officeDocument/2006/relationships/hyperlink" Target="https://www.bmj.com/about-bmj/resources-reviewers" TargetMode="External"/><Relationship Id="rId301" Type="http://schemas.openxmlformats.org/officeDocument/2006/relationships/hyperlink" Target="http://aacrjournals.org/content/authors/manuscript-transfer" TargetMode="External"/><Relationship Id="rId953" Type="http://schemas.openxmlformats.org/officeDocument/2006/relationships/hyperlink" Target="https://journals.aps.org/prx/authors/editorial-policies-practices" TargetMode="External"/><Relationship Id="rId1029" Type="http://schemas.openxmlformats.org/officeDocument/2006/relationships/hyperlink" Target="https://stm.sciencemag.org/content/science-translational-medicine-general-policies" TargetMode="External"/><Relationship Id="rId82" Type="http://schemas.openxmlformats.org/officeDocument/2006/relationships/hyperlink" Target="https://uk.sagepub.com/en-gb/eur/how-to-review-articles" TargetMode="External"/><Relationship Id="rId385" Type="http://schemas.openxmlformats.org/officeDocument/2006/relationships/hyperlink" Target="https://publications.agu.org/author-resource-center/steps-to-publication/" TargetMode="External"/><Relationship Id="rId592" Type="http://schemas.openxmlformats.org/officeDocument/2006/relationships/hyperlink" Target="http://www.rsc.org/journals-books-databases/journal-authors-reviewers/reviewer-responsibilities/" TargetMode="External"/><Relationship Id="rId606" Type="http://schemas.openxmlformats.org/officeDocument/2006/relationships/hyperlink" Target="https://pubs.acs.org/page/policy/manuscript_transfer/index.html" TargetMode="External"/><Relationship Id="rId813" Type="http://schemas.openxmlformats.org/officeDocument/2006/relationships/hyperlink" Target="https://www.nature.com/authors/policies/peer_review.html" TargetMode="External"/><Relationship Id="rId245" Type="http://schemas.openxmlformats.org/officeDocument/2006/relationships/hyperlink" Target="http://www.rsc.org/journals-books-databases/journal-authors-reviewers/processes-policies/" TargetMode="External"/><Relationship Id="rId452" Type="http://schemas.openxmlformats.org/officeDocument/2006/relationships/hyperlink" Target="https://ieeeauthorcenter.ieee.org/publishing-ethics/guidelines-and-policies/policy-posting-your-article/" TargetMode="External"/><Relationship Id="rId897" Type="http://schemas.openxmlformats.org/officeDocument/2006/relationships/hyperlink" Target="https://authorservices.wiley.com/Reviewers/journal-reviewers/recognition-for-reviewers/index.html" TargetMode="External"/><Relationship Id="rId1082" Type="http://schemas.openxmlformats.org/officeDocument/2006/relationships/hyperlink" Target="https://authorservices.wiley.com/Reviewers/journal-reviewers/how-to-perform-a-peer-review/general-and-ethical-guidelines.html" TargetMode="External"/><Relationship Id="rId105" Type="http://schemas.openxmlformats.org/officeDocument/2006/relationships/hyperlink" Target="http://annals.org/aim/pages/authors" TargetMode="External"/><Relationship Id="rId312" Type="http://schemas.openxmlformats.org/officeDocument/2006/relationships/hyperlink" Target="https://www.elsevier.com/journals/computers-and-education/0360-1315?generatepdf=true" TargetMode="External"/><Relationship Id="rId757" Type="http://schemas.openxmlformats.org/officeDocument/2006/relationships/hyperlink" Target="https://www.nature.com/authors/policies/peer_review.html" TargetMode="External"/><Relationship Id="rId964" Type="http://schemas.openxmlformats.org/officeDocument/2006/relationships/hyperlink" Target="https://journals.plos.org/plosone/s/editorial-and-peer-review-process" TargetMode="External"/><Relationship Id="rId93" Type="http://schemas.openxmlformats.org/officeDocument/2006/relationships/hyperlink" Target="https://onlinelibrary.wiley.com/page/journal/15213773/homepage/onlineopen" TargetMode="External"/><Relationship Id="rId189" Type="http://schemas.openxmlformats.org/officeDocument/2006/relationships/hyperlink" Target="https://www.cell.com/cancer-cell/articletransfer" TargetMode="External"/><Relationship Id="rId396" Type="http://schemas.openxmlformats.org/officeDocument/2006/relationships/hyperlink" Target="https://www.elsevier.com/about/policies/sharing" TargetMode="External"/><Relationship Id="rId617" Type="http://schemas.openxmlformats.org/officeDocument/2006/relationships/hyperlink" Target="https://www.springer.com/psychology/child+%26+school+psychology/journal/10964?detailsPage=pltci_1692324" TargetMode="External"/><Relationship Id="rId824" Type="http://schemas.openxmlformats.org/officeDocument/2006/relationships/hyperlink" Target="https://www.nature.com/authors/policies/peer_review.html" TargetMode="External"/><Relationship Id="rId256" Type="http://schemas.openxmlformats.org/officeDocument/2006/relationships/hyperlink" Target="https://pubs.acs.org/page/chreay/submission/reviewers.html" TargetMode="External"/><Relationship Id="rId463" Type="http://schemas.openxmlformats.org/officeDocument/2006/relationships/hyperlink" Target="https://ieeeauthorcenter.ieee.org/publishing-ethics/guidelines-and-policies/policy-posting-your-article/" TargetMode="External"/><Relationship Id="rId670" Type="http://schemas.openxmlformats.org/officeDocument/2006/relationships/hyperlink" Target="https://pubs.acs.org/paragonplus/submission/nalefd/nalefd_authguide.pdf" TargetMode="External"/><Relationship Id="rId1093" Type="http://schemas.openxmlformats.org/officeDocument/2006/relationships/hyperlink" Target="https://www.thelancet.com/pb/assets/raw/Lancet/authors/lancet-information-for-authors.pdf" TargetMode="External"/><Relationship Id="rId1107" Type="http://schemas.openxmlformats.org/officeDocument/2006/relationships/hyperlink" Target="https://onlinelibrary.wiley.com/page/journal/15404781/homepage/forauthors.html" TargetMode="External"/><Relationship Id="rId116" Type="http://schemas.openxmlformats.org/officeDocument/2006/relationships/hyperlink" Target="https://authors.bmj.com/policies/peer-review-terms-and-conditions/" TargetMode="External"/><Relationship Id="rId323" Type="http://schemas.openxmlformats.org/officeDocument/2006/relationships/hyperlink" Target="http://www.diabetesjournals.org/for-reviewers" TargetMode="External"/><Relationship Id="rId530" Type="http://schemas.openxmlformats.org/officeDocument/2006/relationships/hyperlink" Target="https://www.elsevier.com/reviewers/how-to-review" TargetMode="External"/><Relationship Id="rId768" Type="http://schemas.openxmlformats.org/officeDocument/2006/relationships/hyperlink" Target="https://www.nature.com/authors/author_resources/transfer_manuscripts.html" TargetMode="External"/><Relationship Id="rId975" Type="http://schemas.openxmlformats.org/officeDocument/2006/relationships/hyperlink" Target="https://uk.sagepub.com/en-gb/eur/get-credit-for-your-reviews" TargetMode="External"/><Relationship Id="rId20" Type="http://schemas.openxmlformats.org/officeDocument/2006/relationships/hyperlink" Target="https://pubs.acs.org/page/policy/manuscript_transfer/index.html" TargetMode="External"/><Relationship Id="rId628" Type="http://schemas.openxmlformats.org/officeDocument/2006/relationships/hyperlink" Target="https://www.tandfonline.com/action/authorSubmission?journalCode=rjos20&amp;page=instructions" TargetMode="External"/><Relationship Id="rId835" Type="http://schemas.openxmlformats.org/officeDocument/2006/relationships/hyperlink" Target="https://www.nature.com/nrc/for-referees" TargetMode="External"/><Relationship Id="rId267" Type="http://schemas.openxmlformats.org/officeDocument/2006/relationships/hyperlink" Target="http://www.rsc.org/journals-books-databases/journal-authors-reviewers/processes-policies/" TargetMode="External"/><Relationship Id="rId474" Type="http://schemas.openxmlformats.org/officeDocument/2006/relationships/hyperlink" Target="https://www.cell.com/reviewers" TargetMode="External"/><Relationship Id="rId1020" Type="http://schemas.openxmlformats.org/officeDocument/2006/relationships/hyperlink" Target="http://www.sciencemag.org/authors/science-journals-editorial-policies" TargetMode="External"/><Relationship Id="rId1118" Type="http://schemas.openxmlformats.org/officeDocument/2006/relationships/hyperlink" Target="https://academic.oup.com/qje/pages/Policies" TargetMode="External"/><Relationship Id="rId127" Type="http://schemas.openxmlformats.org/officeDocument/2006/relationships/hyperlink" Target="https://www.elsevier.com/about/policies/sharing" TargetMode="External"/><Relationship Id="rId681" Type="http://schemas.openxmlformats.org/officeDocument/2006/relationships/hyperlink" Target="http://www.rsc.org/journals-books-databases/journal-authors-reviewers/reviewer-responsibilities/" TargetMode="External"/><Relationship Id="rId779" Type="http://schemas.openxmlformats.org/officeDocument/2006/relationships/hyperlink" Target="https://www.nature.com/authors/policies/preprints.html" TargetMode="External"/><Relationship Id="rId902" Type="http://schemas.openxmlformats.org/officeDocument/2006/relationships/hyperlink" Target="https://authorservices.wiley.com/Reviewers/journal-reviewers/recognition-for-reviewers/index.html" TargetMode="External"/><Relationship Id="rId986" Type="http://schemas.openxmlformats.org/officeDocument/2006/relationships/hyperlink" Target="https://www.tandfonline.com/action/authorSubmission?show=instructions&amp;journalCode=cres20" TargetMode="External"/><Relationship Id="rId31" Type="http://schemas.openxmlformats.org/officeDocument/2006/relationships/hyperlink" Target="http://aom.org/Publications/AMJ/Information-for-Contributors.aspx" TargetMode="External"/><Relationship Id="rId334" Type="http://schemas.openxmlformats.org/officeDocument/2006/relationships/hyperlink" Target="https://www.econometricsociety.org/publications/econometrica/information-authors/editorial-procedures-and-policies" TargetMode="External"/><Relationship Id="rId541" Type="http://schemas.openxmlformats.org/officeDocument/2006/relationships/hyperlink" Target="http://ascopubs.org/jco/site/ifc/my-article-was-submitted.xhtml" TargetMode="External"/><Relationship Id="rId639" Type="http://schemas.openxmlformats.org/officeDocument/2006/relationships/hyperlink" Target="https://onlinelibrary.wiley.com/page/journal/14679922/homepage/forauthors.html" TargetMode="External"/><Relationship Id="rId180" Type="http://schemas.openxmlformats.org/officeDocument/2006/relationships/hyperlink" Target="https://www.cell.com/reviewers" TargetMode="External"/><Relationship Id="rId278" Type="http://schemas.openxmlformats.org/officeDocument/2006/relationships/hyperlink" Target="https://www.ahajournals.org/pb-assets/Ethical%20ConductPolicyApril2017finalWeb.pdf" TargetMode="External"/><Relationship Id="rId401" Type="http://schemas.openxmlformats.org/officeDocument/2006/relationships/hyperlink" Target="https://www.journals.elsevier.com/government-information-quarterly/announcements" TargetMode="External"/><Relationship Id="rId846" Type="http://schemas.openxmlformats.org/officeDocument/2006/relationships/hyperlink" Target="https://www.nature.com/authors/policies/peer_review.html" TargetMode="External"/><Relationship Id="rId1031" Type="http://schemas.openxmlformats.org/officeDocument/2006/relationships/hyperlink" Target="https://stm.sciencemag.org/content/science-translational-medicine-general-policies" TargetMode="External"/><Relationship Id="rId1129" Type="http://schemas.openxmlformats.org/officeDocument/2006/relationships/hyperlink" Target="https://www.elsevier.com/journals/tourism-management/0261-5177/guide-for-authors" TargetMode="External"/><Relationship Id="rId485" Type="http://schemas.openxmlformats.org/officeDocument/2006/relationships/hyperlink" Target="https://www.elsevier.com/reviewers/what-is-peer-review" TargetMode="External"/><Relationship Id="rId692" Type="http://schemas.openxmlformats.org/officeDocument/2006/relationships/hyperlink" Target="https://www.nature.com/authors/policies/peer_review.html" TargetMode="External"/><Relationship Id="rId706" Type="http://schemas.openxmlformats.org/officeDocument/2006/relationships/hyperlink" Target="https://www.nature.com/authors/policies/peer_review.html" TargetMode="External"/><Relationship Id="rId913" Type="http://schemas.openxmlformats.org/officeDocument/2006/relationships/hyperlink" Target="https://www.osapublishing.org/submit/review/peer_review.cfm" TargetMode="External"/><Relationship Id="rId42" Type="http://schemas.openxmlformats.org/officeDocument/2006/relationships/hyperlink" Target="https://www.euchems.eu/wp-content/uploads/Ethicalguidelines_tcm23-54057.pdf" TargetMode="External"/><Relationship Id="rId138" Type="http://schemas.openxmlformats.org/officeDocument/2006/relationships/hyperlink" Target="https://academic.oup.com/journals/pages/authors/ethics" TargetMode="External"/><Relationship Id="rId345" Type="http://schemas.openxmlformats.org/officeDocument/2006/relationships/hyperlink" Target="https://www.rsc.org/journals-books-databases/journal-authors-reviewers/processes-policies/" TargetMode="External"/><Relationship Id="rId552" Type="http://schemas.openxmlformats.org/officeDocument/2006/relationships/hyperlink" Target="https://jcap.sissa.it/jcap/help/helpLoader.jsp?pgType=flow" TargetMode="External"/><Relationship Id="rId997" Type="http://schemas.openxmlformats.org/officeDocument/2006/relationships/hyperlink" Target="https://www.elsevier.com/reviewers/how-to-review" TargetMode="External"/><Relationship Id="rId191" Type="http://schemas.openxmlformats.org/officeDocument/2006/relationships/hyperlink" Target="https://www.cell.com/reviewers" TargetMode="External"/><Relationship Id="rId205" Type="http://schemas.openxmlformats.org/officeDocument/2006/relationships/hyperlink" Target="https://www.cell.com/cell/articletransfer" TargetMode="External"/><Relationship Id="rId412" Type="http://schemas.openxmlformats.org/officeDocument/2006/relationships/hyperlink" Target="https://www.healthaffairs.org/help-for-reviewers" TargetMode="External"/><Relationship Id="rId857" Type="http://schemas.openxmlformats.org/officeDocument/2006/relationships/hyperlink" Target="https://www.nature.com/authors/author_resources/transfer_manuscripts.html" TargetMode="External"/><Relationship Id="rId1042" Type="http://schemas.openxmlformats.org/officeDocument/2006/relationships/hyperlink" Target="https://www.nature.com/srep/journal-policies/editorial-policies?draft=journal&amp;target=content" TargetMode="External"/><Relationship Id="rId289" Type="http://schemas.openxmlformats.org/officeDocument/2006/relationships/hyperlink" Target="https://www.ahajournals.org/pb-assets/Ethical%20ConductPolicyApril2017finalWeb.pdf" TargetMode="External"/><Relationship Id="rId496" Type="http://schemas.openxmlformats.org/officeDocument/2006/relationships/hyperlink" Target="https://www.elsevier.com/about/policies/sharing" TargetMode="External"/><Relationship Id="rId717" Type="http://schemas.openxmlformats.org/officeDocument/2006/relationships/hyperlink" Target="https://www.nature.com/nchem/for-referees/policies-and-processes" TargetMode="External"/><Relationship Id="rId924" Type="http://schemas.openxmlformats.org/officeDocument/2006/relationships/hyperlink" Target="https://www.springer.com/philosophy/journal/11098" TargetMode="External"/><Relationship Id="rId53" Type="http://schemas.openxmlformats.org/officeDocument/2006/relationships/hyperlink" Target="https://wol-prod-cdn.literatumonline.com/pb-assets/assets/16163028/AFM-guide-for-authors-may-2018-1526994585463.pdf" TargetMode="External"/><Relationship Id="rId149" Type="http://schemas.openxmlformats.org/officeDocument/2006/relationships/hyperlink" Target="https://www.elsevier.com/journals/biomaterials/0142-9612?generatepdf=true" TargetMode="External"/><Relationship Id="rId356" Type="http://schemas.openxmlformats.org/officeDocument/2006/relationships/hyperlink" Target="https://academic.oup.com/eurheartj/pages/General_Instructions" TargetMode="External"/><Relationship Id="rId563" Type="http://schemas.openxmlformats.org/officeDocument/2006/relationships/hyperlink" Target="https://www.apa.org/pubs/journals/resources/open-science.aspx" TargetMode="External"/><Relationship Id="rId770" Type="http://schemas.openxmlformats.org/officeDocument/2006/relationships/hyperlink" Target="https://www.nature.com/authors/peer_review/index.html" TargetMode="External"/><Relationship Id="rId216" Type="http://schemas.openxmlformats.org/officeDocument/2006/relationships/hyperlink" Target="https://arxiv.org/" TargetMode="External"/><Relationship Id="rId423" Type="http://schemas.openxmlformats.org/officeDocument/2006/relationships/hyperlink" Target="https://aasldpubs.onlinelibrary.wiley.com/hub/journal/15273350/about/author-guidelines" TargetMode="External"/><Relationship Id="rId868" Type="http://schemas.openxmlformats.org/officeDocument/2006/relationships/hyperlink" Target="https://nips.cc/Conferences/2019/CallForPapers" TargetMode="External"/><Relationship Id="rId1053" Type="http://schemas.openxmlformats.org/officeDocument/2006/relationships/hyperlink" Target="https://www.elsevier.com/reviewers/role" TargetMode="External"/><Relationship Id="rId630" Type="http://schemas.openxmlformats.org/officeDocument/2006/relationships/hyperlink" Target="https://www.elsevier.com/journals/land-use-policy/0264-8377?generatepdf=true" TargetMode="External"/><Relationship Id="rId728" Type="http://schemas.openxmlformats.org/officeDocument/2006/relationships/hyperlink" Target="https://www.nature.com/authors/policies/peer_review.html" TargetMode="External"/><Relationship Id="rId935" Type="http://schemas.openxmlformats.org/officeDocument/2006/relationships/hyperlink" Target="https://journals.aps.org/prd/authors/editorial-policies-practices" TargetMode="External"/><Relationship Id="rId64" Type="http://schemas.openxmlformats.org/officeDocument/2006/relationships/hyperlink" Target="https://www.aeaweb.org/journals/aer/reviewers" TargetMode="External"/><Relationship Id="rId367" Type="http://schemas.openxmlformats.org/officeDocument/2006/relationships/hyperlink" Target="https://www.elsevier.com/reviewers/what-is-peer-review" TargetMode="External"/><Relationship Id="rId574" Type="http://schemas.openxmlformats.org/officeDocument/2006/relationships/hyperlink" Target="https://www.elsevier.com/reviewers/role" TargetMode="External"/><Relationship Id="rId1120" Type="http://schemas.openxmlformats.org/officeDocument/2006/relationships/hyperlink" Target="https://academic.oup.com/journals/pages/access_purchase/rights_and_permissions/self_archiving_policy_f" TargetMode="External"/><Relationship Id="rId227" Type="http://schemas.openxmlformats.org/officeDocument/2006/relationships/hyperlink" Target="https://www.cell.com/reviewers" TargetMode="External"/><Relationship Id="rId781" Type="http://schemas.openxmlformats.org/officeDocument/2006/relationships/hyperlink" Target="https://www.nature.com/authors/policies/peer_review.html" TargetMode="External"/><Relationship Id="rId879" Type="http://schemas.openxmlformats.org/officeDocument/2006/relationships/hyperlink" Target="https://www.elsevier.com/reviewers/role" TargetMode="External"/><Relationship Id="rId434" Type="http://schemas.openxmlformats.org/officeDocument/2006/relationships/hyperlink" Target="http://cvpr2019.thecvf.com/" TargetMode="External"/><Relationship Id="rId641" Type="http://schemas.openxmlformats.org/officeDocument/2006/relationships/hyperlink" Target="https://www.elsevier.com/reviewers/role" TargetMode="External"/><Relationship Id="rId739" Type="http://schemas.openxmlformats.org/officeDocument/2006/relationships/hyperlink" Target="https://www.nature.com/authors/policies/peer_review.html" TargetMode="External"/><Relationship Id="rId1064" Type="http://schemas.openxmlformats.org/officeDocument/2006/relationships/hyperlink" Target="https://community.cochrane.org/editorial-and-publishing-policy-resource/cochrane-review-management/cochrane-peer-review-policy" TargetMode="External"/><Relationship Id="rId280" Type="http://schemas.openxmlformats.org/officeDocument/2006/relationships/hyperlink" Target="https://www.ahajournals.org/pb-assets/Ethical%20ConductPolicyApril2017finalWeb.pdf" TargetMode="External"/><Relationship Id="rId501" Type="http://schemas.openxmlformats.org/officeDocument/2006/relationships/hyperlink" Target="https://www.elsevier.com/journals/journal-of-banking-and-finance/0378-4266/guide-for-authors" TargetMode="External"/><Relationship Id="rId946" Type="http://schemas.openxmlformats.org/officeDocument/2006/relationships/hyperlink" Target="https://journals.aps.org/prx/authors/editorial-policies-practices" TargetMode="External"/><Relationship Id="rId1131" Type="http://schemas.openxmlformats.org/officeDocument/2006/relationships/hyperlink" Target="https://www.elsevier.com/reviewers/what-is-peer-review" TargetMode="External"/><Relationship Id="rId75" Type="http://schemas.openxmlformats.org/officeDocument/2006/relationships/hyperlink" Target="https://ajph.aphapublications.org/page/authors.html" TargetMode="External"/><Relationship Id="rId140" Type="http://schemas.openxmlformats.org/officeDocument/2006/relationships/hyperlink" Target="https://academic.oup.com/applij/pages/General_Instructions" TargetMode="External"/><Relationship Id="rId378" Type="http://schemas.openxmlformats.org/officeDocument/2006/relationships/hyperlink" Target="https://uk.sagepub.com/en-gb/eur/gender-society/journal200793" TargetMode="External"/><Relationship Id="rId585" Type="http://schemas.openxmlformats.org/officeDocument/2006/relationships/hyperlink" Target="https://us.sagepub.com/en-us/nam/how-to-review-articles" TargetMode="External"/><Relationship Id="rId792" Type="http://schemas.openxmlformats.org/officeDocument/2006/relationships/hyperlink" Target="https://www.nature.com/authors/policies/peer_review.html" TargetMode="External"/><Relationship Id="rId806" Type="http://schemas.openxmlformats.org/officeDocument/2006/relationships/hyperlink" Target="https://www.nature.com/authors/policies/peer_review.html" TargetMode="External"/><Relationship Id="rId6" Type="http://schemas.openxmlformats.org/officeDocument/2006/relationships/hyperlink" Target="https://journals.lww.com/academicmedicine/Documents/ReviewerFAQs_Sept2012_v1.pdf" TargetMode="External"/><Relationship Id="rId238" Type="http://schemas.openxmlformats.org/officeDocument/2006/relationships/hyperlink" Target="https://www.cell.com/reviewers" TargetMode="External"/><Relationship Id="rId445" Type="http://schemas.openxmlformats.org/officeDocument/2006/relationships/hyperlink" Target="https://ieeeauthorcenter.ieee.org/peer-review-at-ieee/" TargetMode="External"/><Relationship Id="rId652" Type="http://schemas.openxmlformats.org/officeDocument/2006/relationships/hyperlink" Target="https://pubsonline.informs.org/page/mnsc/submission-guidelines" TargetMode="External"/><Relationship Id="rId1075" Type="http://schemas.openxmlformats.org/officeDocument/2006/relationships/hyperlink" Target="https://www.jci.org/kiosks/authors" TargetMode="External"/><Relationship Id="rId291" Type="http://schemas.openxmlformats.org/officeDocument/2006/relationships/hyperlink" Target="https://www.ahajournals.org/prior-publication-policy" TargetMode="External"/><Relationship Id="rId305" Type="http://schemas.openxmlformats.org/officeDocument/2006/relationships/hyperlink" Target="https://www.elsevier.com/reviewers/how-to-review" TargetMode="External"/><Relationship Id="rId512" Type="http://schemas.openxmlformats.org/officeDocument/2006/relationships/hyperlink" Target="https://www.springer.com/philosophy/ethics+and+moral+philosophy/journal/10551" TargetMode="External"/><Relationship Id="rId957" Type="http://schemas.openxmlformats.org/officeDocument/2006/relationships/hyperlink" Target="https://www.elsevier.com/journals/physics-letters-b/0370-2693/guide-for-authors" TargetMode="External"/><Relationship Id="rId1142" Type="http://schemas.openxmlformats.org/officeDocument/2006/relationships/hyperlink" Target="https://www.elsevier.com/reviewers/how-to-review" TargetMode="External"/><Relationship Id="rId86" Type="http://schemas.openxmlformats.org/officeDocument/2006/relationships/hyperlink" Target="https://us.sagepub.com/en-us/nam/reviewer-rewards" TargetMode="External"/><Relationship Id="rId151" Type="http://schemas.openxmlformats.org/officeDocument/2006/relationships/hyperlink" Target="https://www.elsevier.com/reviewers/what-is-peer-review" TargetMode="External"/><Relationship Id="rId389" Type="http://schemas.openxmlformats.org/officeDocument/2006/relationships/hyperlink" Target="https://www.elsevier.com/reviewers/role" TargetMode="External"/><Relationship Id="rId596" Type="http://schemas.openxmlformats.org/officeDocument/2006/relationships/hyperlink" Target="http://www.rsc.org/journals-books-databases/journal-authors-reviewers/reviewer-responsibilities/" TargetMode="External"/><Relationship Id="rId817" Type="http://schemas.openxmlformats.org/officeDocument/2006/relationships/hyperlink" Target="https://www.nature.com/authors/policies/peer_review.html" TargetMode="External"/><Relationship Id="rId1002" Type="http://schemas.openxmlformats.org/officeDocument/2006/relationships/hyperlink" Target="https://www.elsevier.com/reviewers/how-to-review" TargetMode="External"/><Relationship Id="rId249" Type="http://schemas.openxmlformats.org/officeDocument/2006/relationships/hyperlink" Target="http://www.rsc.org/journals-books-databases/journal-authors-reviewers/reviewer-responsibilities/" TargetMode="External"/><Relationship Id="rId456" Type="http://schemas.openxmlformats.org/officeDocument/2006/relationships/hyperlink" Target="https://ieeeauthorcenter.ieee.org/publishing-ethics/guidelines-and-policies/policy-posting-your-article/" TargetMode="External"/><Relationship Id="rId663" Type="http://schemas.openxmlformats.org/officeDocument/2006/relationships/hyperlink" Target="https://www.cell.com/molecular-cell/authors" TargetMode="External"/><Relationship Id="rId870" Type="http://schemas.openxmlformats.org/officeDocument/2006/relationships/hyperlink" Target="https://nips.cc/Conferences/2019/CallForPapers" TargetMode="External"/><Relationship Id="rId1086" Type="http://schemas.openxmlformats.org/officeDocument/2006/relationships/hyperlink" Target="http://pubs.acs.org/paragonplus/submission/jpclcd/jpclcd_authguide.pdf" TargetMode="External"/><Relationship Id="rId13" Type="http://schemas.openxmlformats.org/officeDocument/2006/relationships/hyperlink" Target="https://pubs.acs.org/paragonplus/submission/aamick/aamick_authguide.pdf" TargetMode="External"/><Relationship Id="rId109" Type="http://schemas.openxmlformats.org/officeDocument/2006/relationships/hyperlink" Target="https://academic.oup.com/journals/pages/access_purchase/rights_and_permissions/author_self_archiving_policy" TargetMode="External"/><Relationship Id="rId316" Type="http://schemas.openxmlformats.org/officeDocument/2006/relationships/hyperlink" Target="https://www.elsevier.com/reviewers/what-is-peer-review" TargetMode="External"/><Relationship Id="rId523" Type="http://schemas.openxmlformats.org/officeDocument/2006/relationships/hyperlink" Target="https://www.elsevier.com/reviewers/role" TargetMode="External"/><Relationship Id="rId968" Type="http://schemas.openxmlformats.org/officeDocument/2006/relationships/hyperlink" Target="https://www.pnas.org/page/authors/reviewers" TargetMode="External"/><Relationship Id="rId97" Type="http://schemas.openxmlformats.org/officeDocument/2006/relationships/hyperlink" Target="https://onlinelibrary.wiley.com/page/journal/15213773/homepage/notice-to-authors" TargetMode="External"/><Relationship Id="rId730" Type="http://schemas.openxmlformats.org/officeDocument/2006/relationships/hyperlink" Target="https://www.nature.com/authors/author_resources/transfer_manuscripts.html" TargetMode="External"/><Relationship Id="rId828" Type="http://schemas.openxmlformats.org/officeDocument/2006/relationships/hyperlink" Target="https://www.nature.com/authors/policies/peer_review.html" TargetMode="External"/><Relationship Id="rId1013" Type="http://schemas.openxmlformats.org/officeDocument/2006/relationships/hyperlink" Target="http://www.sciencemag.org/authors/science-information-authors" TargetMode="External"/><Relationship Id="rId162" Type="http://schemas.openxmlformats.org/officeDocument/2006/relationships/hyperlink" Target="http://www.bloodjournal.org/page/authors/author-guide/peer-review" TargetMode="External"/><Relationship Id="rId467" Type="http://schemas.openxmlformats.org/officeDocument/2006/relationships/hyperlink" Target="https://signalprocessingsociety.org/publications-resources/publications-faq" TargetMode="External"/><Relationship Id="rId1097" Type="http://schemas.openxmlformats.org/officeDocument/2006/relationships/hyperlink" Target="https://els-jbs-prod-cdn.literatumonline.com/pb/assets/raw/Lancet/authors/tln-info-for-authors-1541596047120.pdf" TargetMode="External"/><Relationship Id="rId674" Type="http://schemas.openxmlformats.org/officeDocument/2006/relationships/hyperlink" Target="https://pubs.acs.org/page/policy/manuscript_transfer/index.html" TargetMode="External"/><Relationship Id="rId881" Type="http://schemas.openxmlformats.org/officeDocument/2006/relationships/hyperlink" Target="https://www.elsevier.com/reviewers/how-to-review" TargetMode="External"/><Relationship Id="rId979" Type="http://schemas.openxmlformats.org/officeDocument/2006/relationships/hyperlink" Target="https://uk.sagepub.com/en-gb/eur/how-to-review-articles" TargetMode="External"/><Relationship Id="rId24" Type="http://schemas.openxmlformats.org/officeDocument/2006/relationships/hyperlink" Target="https://aom.org/Publications/AMR/Frequently-Asked-Questions.aspx" TargetMode="External"/><Relationship Id="rId327" Type="http://schemas.openxmlformats.org/officeDocument/2006/relationships/hyperlink" Target="http://www.diabetesjournals.org/content/journal-policies" TargetMode="External"/><Relationship Id="rId534" Type="http://schemas.openxmlformats.org/officeDocument/2006/relationships/hyperlink" Target="https://www.elsevier.com/reviewers/role" TargetMode="External"/><Relationship Id="rId741" Type="http://schemas.openxmlformats.org/officeDocument/2006/relationships/hyperlink" Target="https://www.nature.com/authors/author_resources/transfer_manuscripts.html" TargetMode="External"/><Relationship Id="rId839" Type="http://schemas.openxmlformats.org/officeDocument/2006/relationships/hyperlink" Target="https://www.nature.com/authors/policies/preprints.html" TargetMode="External"/><Relationship Id="rId173" Type="http://schemas.openxmlformats.org/officeDocument/2006/relationships/hyperlink" Target="https://www.bmj.com/about-bmj/resources-reviewers" TargetMode="External"/><Relationship Id="rId380" Type="http://schemas.openxmlformats.org/officeDocument/2006/relationships/hyperlink" Target="https://uk.sagepub.com/en-gb/eur/prior-publication" TargetMode="External"/><Relationship Id="rId601" Type="http://schemas.openxmlformats.org/officeDocument/2006/relationships/hyperlink" Target="https://www.journals.elsevier.com/journal-of-pragmatics/policies/peer-review-policy-for-the-journal-of-pragmatics" TargetMode="External"/><Relationship Id="rId1024" Type="http://schemas.openxmlformats.org/officeDocument/2006/relationships/hyperlink" Target="http://www.sciencemag.org/authors/science-translational-medicine-information-authors" TargetMode="External"/><Relationship Id="rId240" Type="http://schemas.openxmlformats.org/officeDocument/2006/relationships/hyperlink" Target="https://www.cell.com/reviewers" TargetMode="External"/><Relationship Id="rId478" Type="http://schemas.openxmlformats.org/officeDocument/2006/relationships/hyperlink" Target="https://www.elsevier.com/reviewers/role" TargetMode="External"/><Relationship Id="rId685" Type="http://schemas.openxmlformats.org/officeDocument/2006/relationships/hyperlink" Target="https://www.nature.com/authors/policies/peer_review.html" TargetMode="External"/><Relationship Id="rId892" Type="http://schemas.openxmlformats.org/officeDocument/2006/relationships/hyperlink" Target="https://www.cell.com/neuron/authors?code=cell-site" TargetMode="External"/><Relationship Id="rId906" Type="http://schemas.openxmlformats.org/officeDocument/2006/relationships/hyperlink" Target="http://arxiv.org/" TargetMode="External"/><Relationship Id="rId35" Type="http://schemas.openxmlformats.org/officeDocument/2006/relationships/hyperlink" Target="https://pubs.acs.org/userimages/ContentEditor/1218054468605/ethics.pdf" TargetMode="External"/><Relationship Id="rId100" Type="http://schemas.openxmlformats.org/officeDocument/2006/relationships/hyperlink" Target="http://annals.org/aim/pages/authors" TargetMode="External"/><Relationship Id="rId338" Type="http://schemas.openxmlformats.org/officeDocument/2006/relationships/hyperlink" Target="https://www.econometricsociety.org/publications/econometrica/information-authors/editorial-procedures-and-policies" TargetMode="External"/><Relationship Id="rId545" Type="http://schemas.openxmlformats.org/officeDocument/2006/relationships/hyperlink" Target="https://authorservices.wiley.com/open-science/open-access/about-wiley-open-access/manuscript-transfer-program.html" TargetMode="External"/><Relationship Id="rId752" Type="http://schemas.openxmlformats.org/officeDocument/2006/relationships/hyperlink" Target="https://www.nature.com/authors/policies/peer_review.html" TargetMode="External"/><Relationship Id="rId184" Type="http://schemas.openxmlformats.org/officeDocument/2006/relationships/hyperlink" Target="https://www.cell.com/cancer-cell/authors" TargetMode="External"/><Relationship Id="rId391" Type="http://schemas.openxmlformats.org/officeDocument/2006/relationships/hyperlink" Target="https://www.elsevier.com/reviewers/how-to-review" TargetMode="External"/><Relationship Id="rId405" Type="http://schemas.openxmlformats.org/officeDocument/2006/relationships/hyperlink" Target="https://gut.bmj.com/pages/authors/" TargetMode="External"/><Relationship Id="rId612" Type="http://schemas.openxmlformats.org/officeDocument/2006/relationships/hyperlink" Target="http://www.onlinejacc.org/content/73/2/A28" TargetMode="External"/><Relationship Id="rId1035" Type="http://schemas.openxmlformats.org/officeDocument/2006/relationships/hyperlink" Target="https://www.nature.com/authors/policies/preprints.html" TargetMode="External"/><Relationship Id="rId251" Type="http://schemas.openxmlformats.org/officeDocument/2006/relationships/hyperlink" Target="http://www.rsc.org/journals-books-databases/journal-authors-reviewers/processes-policies/" TargetMode="External"/><Relationship Id="rId489" Type="http://schemas.openxmlformats.org/officeDocument/2006/relationships/hyperlink" Target="https://jamanetwork.com/journals/jama/pages/instructions-for-authors" TargetMode="External"/><Relationship Id="rId696" Type="http://schemas.openxmlformats.org/officeDocument/2006/relationships/hyperlink" Target="https://www.nature.com/authors/policies/peer_review.html" TargetMode="External"/><Relationship Id="rId917" Type="http://schemas.openxmlformats.org/officeDocument/2006/relationships/hyperlink" Target="http://www.aappublications.org/content/pediatrics-author-guidelines" TargetMode="External"/><Relationship Id="rId1102" Type="http://schemas.openxmlformats.org/officeDocument/2006/relationships/hyperlink" Target="https://els-jbs-prod-cdn.literatumonline.com/pb/assets/raw/Lancet/authors/tlo-info-for-authors-1541596062097.pdf" TargetMode="External"/><Relationship Id="rId46" Type="http://schemas.openxmlformats.org/officeDocument/2006/relationships/hyperlink" Target="https://application.wiley-vch.de/util/cta/euchems_ethicalguidelines.pdf" TargetMode="External"/><Relationship Id="rId349" Type="http://schemas.openxmlformats.org/officeDocument/2006/relationships/hyperlink" Target="https://pubs.acs.org/page/esthag/submission/prior.html" TargetMode="External"/><Relationship Id="rId556" Type="http://schemas.openxmlformats.org/officeDocument/2006/relationships/hyperlink" Target="https://publishingsupport.iopscience.iop.org/questions/article-transfer-service/" TargetMode="External"/><Relationship Id="rId763" Type="http://schemas.openxmlformats.org/officeDocument/2006/relationships/hyperlink" Target="https://www.nature.com/authors/author_resources/transfer_manuscripts.html" TargetMode="External"/><Relationship Id="rId111" Type="http://schemas.openxmlformats.org/officeDocument/2006/relationships/hyperlink" Target="https://authors.bmj.com/policies/peer-review-terms-and-conditions/" TargetMode="External"/><Relationship Id="rId195" Type="http://schemas.openxmlformats.org/officeDocument/2006/relationships/hyperlink" Target="http://aacrjournals.org/content/authors/editorial-process" TargetMode="External"/><Relationship Id="rId209" Type="http://schemas.openxmlformats.org/officeDocument/2006/relationships/hyperlink" Target="https://arxiv.org/" TargetMode="External"/><Relationship Id="rId416" Type="http://schemas.openxmlformats.org/officeDocument/2006/relationships/hyperlink" Target="https://www.healthaffairs.org/help-for-authors" TargetMode="External"/><Relationship Id="rId970" Type="http://schemas.openxmlformats.org/officeDocument/2006/relationships/hyperlink" Target="https://www.pnas.org/page/authors/reviewers" TargetMode="External"/><Relationship Id="rId1046" Type="http://schemas.openxmlformats.org/officeDocument/2006/relationships/hyperlink" Target="https://www.elsevier.com/journals/social-science-and-medicine/0277-9536/guide-for-authors" TargetMode="External"/><Relationship Id="rId623" Type="http://schemas.openxmlformats.org/officeDocument/2006/relationships/hyperlink" Target="https://us.sagepub.com/en-us/nam/reviewer-rewards" TargetMode="External"/><Relationship Id="rId830" Type="http://schemas.openxmlformats.org/officeDocument/2006/relationships/hyperlink" Target="https://www.nature.com/authors/policies/peer_review.html" TargetMode="External"/><Relationship Id="rId928" Type="http://schemas.openxmlformats.org/officeDocument/2006/relationships/hyperlink" Target="https://journals.aps.org/prb/referees/guidelines-for-referees" TargetMode="External"/><Relationship Id="rId57" Type="http://schemas.openxmlformats.org/officeDocument/2006/relationships/hyperlink" Target="https://wol-prod-cdn.literatumonline.com/pb-assets/assets/15214095/2089_guidelines-1510017322000.pdf" TargetMode="External"/><Relationship Id="rId262" Type="http://schemas.openxmlformats.org/officeDocument/2006/relationships/hyperlink" Target="http://www.rsc.org/journals-books-databases/journal-authors-reviewers/processes-policies/" TargetMode="External"/><Relationship Id="rId567" Type="http://schemas.openxmlformats.org/officeDocument/2006/relationships/hyperlink" Target="https://www.elsevier.com/authors/journal-authors/submit-your-paper/submit-and-revise/article-transfer-service" TargetMode="External"/><Relationship Id="rId1113" Type="http://schemas.openxmlformats.org/officeDocument/2006/relationships/hyperlink" Target="https://www.nejm.org/about-nejm/editorial-policies" TargetMode="External"/><Relationship Id="rId122" Type="http://schemas.openxmlformats.org/officeDocument/2006/relationships/hyperlink" Target="https://www.elsevier.com/reviewers/what-is-peer-review" TargetMode="External"/><Relationship Id="rId774" Type="http://schemas.openxmlformats.org/officeDocument/2006/relationships/hyperlink" Target="https://www.nature.com/nm/for-referees/policies-and-processes" TargetMode="External"/><Relationship Id="rId981" Type="http://schemas.openxmlformats.org/officeDocument/2006/relationships/hyperlink" Target="https://academic.oup.com/journals/pages/access_purchase/rights_and_permissions/self_archiving_policy_a" TargetMode="External"/><Relationship Id="rId1057" Type="http://schemas.openxmlformats.org/officeDocument/2006/relationships/hyperlink" Target="https://www.elsevier.com/journals/teaching-and-teacher-education/0742-051x/guide-for-authors" TargetMode="External"/><Relationship Id="rId427" Type="http://schemas.openxmlformats.org/officeDocument/2006/relationships/hyperlink" Target="https://www.comsoc.org/publications/magazines/ieee-communications-magazine/magazine-reviewer" TargetMode="External"/><Relationship Id="rId634" Type="http://schemas.openxmlformats.org/officeDocument/2006/relationships/hyperlink" Target="https://www.elsevier.com/journals/land-use-policy/0264-8377?generatepdf=true" TargetMode="External"/><Relationship Id="rId841" Type="http://schemas.openxmlformats.org/officeDocument/2006/relationships/hyperlink" Target="https://www.nature.com/nrg/for-referees" TargetMode="External"/><Relationship Id="rId273" Type="http://schemas.openxmlformats.org/officeDocument/2006/relationships/hyperlink" Target="https://pubs.acs.org/paragonplus/submission/cmatex/cmatex_authguide.pdf" TargetMode="External"/><Relationship Id="rId480" Type="http://schemas.openxmlformats.org/officeDocument/2006/relationships/hyperlink" Target="https://www.elsevier.com/reviewers/how-to-review" TargetMode="External"/><Relationship Id="rId701" Type="http://schemas.openxmlformats.org/officeDocument/2006/relationships/hyperlink" Target="https://www.nature.com/authors/policies/peer_review.html" TargetMode="External"/><Relationship Id="rId939" Type="http://schemas.openxmlformats.org/officeDocument/2006/relationships/hyperlink" Target="https://journals.aps.org/prl/authors/editorial-policies-practices" TargetMode="External"/><Relationship Id="rId1124" Type="http://schemas.openxmlformats.org/officeDocument/2006/relationships/hyperlink" Target="https://www.elsevier.com/reviewers/role" TargetMode="External"/><Relationship Id="rId68" Type="http://schemas.openxmlformats.org/officeDocument/2006/relationships/hyperlink" Target="https://ajps.org/ajps-reviewer-instructions/" TargetMode="External"/><Relationship Id="rId133" Type="http://schemas.openxmlformats.org/officeDocument/2006/relationships/hyperlink" Target="https://www.elsevier.com/journals/applied-energy/0306-2619/guide-for-authors" TargetMode="External"/><Relationship Id="rId340" Type="http://schemas.openxmlformats.org/officeDocument/2006/relationships/hyperlink" Target="https://www.econometricsociety.org/publications/econometrica/information-authors/editorial-procedures-and-policies" TargetMode="External"/><Relationship Id="rId578" Type="http://schemas.openxmlformats.org/officeDocument/2006/relationships/hyperlink" Target="https://www.springer.com/physics/particle+and+nuclear+physics/journal/13130" TargetMode="External"/><Relationship Id="rId785" Type="http://schemas.openxmlformats.org/officeDocument/2006/relationships/hyperlink" Target="https://www.nature.com/authors/policies/preprints.html" TargetMode="External"/><Relationship Id="rId992" Type="http://schemas.openxmlformats.org/officeDocument/2006/relationships/hyperlink" Target="https://www.elsevier.com/reviewers/what-is-peer-review" TargetMode="External"/><Relationship Id="rId200" Type="http://schemas.openxmlformats.org/officeDocument/2006/relationships/hyperlink" Target="http://aacrjournals.org/content/authors/editorial-process" TargetMode="External"/><Relationship Id="rId438" Type="http://schemas.openxmlformats.org/officeDocument/2006/relationships/hyperlink" Target="http://cvpr2019.thecvf.com/submission/main_conference/author_guidelines" TargetMode="External"/><Relationship Id="rId645" Type="http://schemas.openxmlformats.org/officeDocument/2006/relationships/hyperlink" Target="https://www.elsevier.com/about/policies/sharing" TargetMode="External"/><Relationship Id="rId852" Type="http://schemas.openxmlformats.org/officeDocument/2006/relationships/hyperlink" Target="https://www.nature.com/authors/policies/peer_review.html" TargetMode="External"/><Relationship Id="rId1068" Type="http://schemas.openxmlformats.org/officeDocument/2006/relationships/hyperlink" Target="https://www.springer.com/physics/particle+and+nuclear+physics/journal/10052" TargetMode="External"/><Relationship Id="rId284" Type="http://schemas.openxmlformats.org/officeDocument/2006/relationships/hyperlink" Target="https://www.ahajournals.org/pb-assets/Ethical%20ConductPolicyApril2017finalWeb.pdf" TargetMode="External"/><Relationship Id="rId491" Type="http://schemas.openxmlformats.org/officeDocument/2006/relationships/hyperlink" Target="https://jamanetwork.com/journals/jama/pages/instructions-for-authors" TargetMode="External"/><Relationship Id="rId505" Type="http://schemas.openxmlformats.org/officeDocument/2006/relationships/hyperlink" Target="https://www.elsevier.com/about/policies/copyright" TargetMode="External"/><Relationship Id="rId712" Type="http://schemas.openxmlformats.org/officeDocument/2006/relationships/hyperlink" Target="https://www.nature.com/authors/author_resources/transfer_manuscripts.html" TargetMode="External"/><Relationship Id="rId1135" Type="http://schemas.openxmlformats.org/officeDocument/2006/relationships/hyperlink" Target="https://www.elsevier.com/reviewers/role" TargetMode="External"/><Relationship Id="rId79" Type="http://schemas.openxmlformats.org/officeDocument/2006/relationships/hyperlink" Target="https://www.apsanet.org/APSR-Submission-Guidelines" TargetMode="External"/><Relationship Id="rId144" Type="http://schemas.openxmlformats.org/officeDocument/2006/relationships/hyperlink" Target="https://aip.scitation.org/apl/info/policies" TargetMode="External"/><Relationship Id="rId589" Type="http://schemas.openxmlformats.org/officeDocument/2006/relationships/hyperlink" Target="https://us.sagepub.com/en-us/nam/how-to-review-articles" TargetMode="External"/><Relationship Id="rId796" Type="http://schemas.openxmlformats.org/officeDocument/2006/relationships/hyperlink" Target="https://www.nature.com/authors/policies/peer_review.html" TargetMode="External"/><Relationship Id="rId351" Type="http://schemas.openxmlformats.org/officeDocument/2006/relationships/hyperlink" Target="https://pubs.acs.org/paragonplus/submission/esthag/esthag_authguide.pdf" TargetMode="External"/><Relationship Id="rId449" Type="http://schemas.openxmlformats.org/officeDocument/2006/relationships/hyperlink" Target="https://ieeeauthorcenter.ieee.org/peer-review-at-ieee/" TargetMode="External"/><Relationship Id="rId656" Type="http://schemas.openxmlformats.org/officeDocument/2006/relationships/hyperlink" Target="https://uk.sagepub.com/en-gb/eur/journal-author-archiving-policies-and-re-use" TargetMode="External"/><Relationship Id="rId863" Type="http://schemas.openxmlformats.org/officeDocument/2006/relationships/hyperlink" Target="https://www.nature.com/authors/author_resources/transfer_manuscripts.html" TargetMode="External"/><Relationship Id="rId1079" Type="http://schemas.openxmlformats.org/officeDocument/2006/relationships/hyperlink" Target="https://authorservices.wiley.com/Reviewers/journal-reviewers/recognition-for-reviewers/index.html" TargetMode="External"/><Relationship Id="rId211" Type="http://schemas.openxmlformats.org/officeDocument/2006/relationships/hyperlink" Target="https://www.cell.com/pb-assets/shared/guidelines/cell_press_navigator.pdf" TargetMode="External"/><Relationship Id="rId295" Type="http://schemas.openxmlformats.org/officeDocument/2006/relationships/hyperlink" Target="http://aacrjournals.org/content/authors/manuscript-transfer" TargetMode="External"/><Relationship Id="rId309" Type="http://schemas.openxmlformats.org/officeDocument/2006/relationships/hyperlink" Target="https://www.elsevier.com/about/policies/sharing" TargetMode="External"/><Relationship Id="rId516" Type="http://schemas.openxmlformats.org/officeDocument/2006/relationships/hyperlink" Target="https://www.elsevier.com/journals/journal-of-business-research/0148-2963/guide-for-authors" TargetMode="External"/><Relationship Id="rId723" Type="http://schemas.openxmlformats.org/officeDocument/2006/relationships/hyperlink" Target="https://www.nature.com/authors/policies/peer_review.html" TargetMode="External"/><Relationship Id="rId930" Type="http://schemas.openxmlformats.org/officeDocument/2006/relationships/hyperlink" Target="https://journals.aps.org/prb/referees/guidelines-for-referees" TargetMode="External"/><Relationship Id="rId1006" Type="http://schemas.openxmlformats.org/officeDocument/2006/relationships/hyperlink" Target="https://journals.aps.org/rmp/info/procedures.html" TargetMode="External"/><Relationship Id="rId155" Type="http://schemas.openxmlformats.org/officeDocument/2006/relationships/hyperlink" Target="https://www.elsevier.com/reviewers/what-is-peer-review" TargetMode="External"/><Relationship Id="rId362" Type="http://schemas.openxmlformats.org/officeDocument/2006/relationships/hyperlink" Target="https://www.europeanurology.com/content/resources-for-authors" TargetMode="External"/><Relationship Id="rId222" Type="http://schemas.openxmlformats.org/officeDocument/2006/relationships/hyperlink" Target="https://arxiv.org/" TargetMode="External"/><Relationship Id="rId667" Type="http://schemas.openxmlformats.org/officeDocument/2006/relationships/hyperlink" Target="https://academic.oup.com/journals/pages/access_purchase/rights_and_permissions/author_self_archiving_policy" TargetMode="External"/><Relationship Id="rId874" Type="http://schemas.openxmlformats.org/officeDocument/2006/relationships/hyperlink" Target="https://www.elsevier.com/reviewers/what-is-peer-review" TargetMode="External"/><Relationship Id="rId17" Type="http://schemas.openxmlformats.org/officeDocument/2006/relationships/hyperlink" Target="https://pubs.acs.org/paragonplus/submission/achre4/achre4_authguide.pdf" TargetMode="External"/><Relationship Id="rId527" Type="http://schemas.openxmlformats.org/officeDocument/2006/relationships/hyperlink" Target="https://www.elsevier.com/journals/journal-of-cleaner-production/0959-6526/guide-for-authors" TargetMode="External"/><Relationship Id="rId734" Type="http://schemas.openxmlformats.org/officeDocument/2006/relationships/hyperlink" Target="https://www.nature.com/authors/policies/peer_review.html" TargetMode="External"/><Relationship Id="rId941" Type="http://schemas.openxmlformats.org/officeDocument/2006/relationships/hyperlink" Target="https://journals.aps.org/referees/referee-response-physical-review-letters" TargetMode="External"/><Relationship Id="rId70" Type="http://schemas.openxmlformats.org/officeDocument/2006/relationships/hyperlink" Target="https://ajps.org/guidelines-for-manuscripts/" TargetMode="External"/><Relationship Id="rId166" Type="http://schemas.openxmlformats.org/officeDocument/2006/relationships/hyperlink" Target="https://authors.bmj.com/for-reviewers/reviewer-recognition/" TargetMode="External"/><Relationship Id="rId373" Type="http://schemas.openxmlformats.org/officeDocument/2006/relationships/hyperlink" Target="https://www.gastrojournal.org/content/authorinfo" TargetMode="External"/><Relationship Id="rId580" Type="http://schemas.openxmlformats.org/officeDocument/2006/relationships/hyperlink" Target="https://www.springer.com/physics/particle+and+nuclear+physics/journal/13130" TargetMode="External"/><Relationship Id="rId801" Type="http://schemas.openxmlformats.org/officeDocument/2006/relationships/hyperlink" Target="https://www.nature.com/authors/policies/peer_review.html" TargetMode="External"/><Relationship Id="rId1017" Type="http://schemas.openxmlformats.org/officeDocument/2006/relationships/hyperlink" Target="http://www.sciencemag.org/authors/science-information-authors" TargetMode="External"/><Relationship Id="rId1" Type="http://schemas.openxmlformats.org/officeDocument/2006/relationships/hyperlink" Target="https://journals.lww.com/academicmedicine/Pages/InstructionsforAuthors.aspx" TargetMode="External"/><Relationship Id="rId233" Type="http://schemas.openxmlformats.org/officeDocument/2006/relationships/hyperlink" Target="https://www.cell.com/reviewers" TargetMode="External"/><Relationship Id="rId440" Type="http://schemas.openxmlformats.org/officeDocument/2006/relationships/hyperlink" Target="http://iccv2019.thecvf.com/submission/main_conference/reviewer_guidelines" TargetMode="External"/><Relationship Id="rId678" Type="http://schemas.openxmlformats.org/officeDocument/2006/relationships/hyperlink" Target="http://www.rsc.org/journals-books-databases/journal-authors-reviewers/reviewer-responsibilities/" TargetMode="External"/><Relationship Id="rId885" Type="http://schemas.openxmlformats.org/officeDocument/2006/relationships/hyperlink" Target="https://www.cell.com/reviewers" TargetMode="External"/><Relationship Id="rId1070" Type="http://schemas.openxmlformats.org/officeDocument/2006/relationships/hyperlink" Target="https://www.springer.com/physics/particle+and+nuclear+physics/journal/10052" TargetMode="External"/><Relationship Id="rId28" Type="http://schemas.openxmlformats.org/officeDocument/2006/relationships/hyperlink" Target="http://aom.org/Publications/AMJ/Information-for-Contributors.aspx" TargetMode="External"/><Relationship Id="rId300" Type="http://schemas.openxmlformats.org/officeDocument/2006/relationships/hyperlink" Target="http://aacrjournals.org/site/Info/Reviewers.xhtml" TargetMode="External"/><Relationship Id="rId538" Type="http://schemas.openxmlformats.org/officeDocument/2006/relationships/hyperlink" Target="http://ascopubs.org/jco/site/ifc/my-article-was-submitted.xhtml" TargetMode="External"/><Relationship Id="rId745" Type="http://schemas.openxmlformats.org/officeDocument/2006/relationships/hyperlink" Target="https://www.nature.com/authors/author_resources/transfer_manuscripts.html" TargetMode="External"/><Relationship Id="rId952" Type="http://schemas.openxmlformats.org/officeDocument/2006/relationships/hyperlink" Target="https://journals.aps.org/prx/authors/editorial-policies-practices" TargetMode="External"/><Relationship Id="rId81" Type="http://schemas.openxmlformats.org/officeDocument/2006/relationships/hyperlink" Target="https://uk.sagepub.com/en-gb/eur/manuscript-submission-guidelines" TargetMode="External"/><Relationship Id="rId177" Type="http://schemas.openxmlformats.org/officeDocument/2006/relationships/hyperlink" Target="https://authors.bmj.com/policies/peer-review-terms-and-conditions/" TargetMode="External"/><Relationship Id="rId384" Type="http://schemas.openxmlformats.org/officeDocument/2006/relationships/hyperlink" Target="https://publications.agu.org/author-resource-center/publication-policies/dual-publication-policy/" TargetMode="External"/><Relationship Id="rId591" Type="http://schemas.openxmlformats.org/officeDocument/2006/relationships/hyperlink" Target="http://www.rsc.org/journals-books-databases/journal-authors-reviewers/reviewer-responsibilities/" TargetMode="External"/><Relationship Id="rId605" Type="http://schemas.openxmlformats.org/officeDocument/2006/relationships/hyperlink" Target="http://pubs.acs.org/paragonplus/submission/jacsat/jacsat_authguide.pdf" TargetMode="External"/><Relationship Id="rId812" Type="http://schemas.openxmlformats.org/officeDocument/2006/relationships/hyperlink" Target="https://www.nature.com/authors/policies/peer_review.html" TargetMode="External"/><Relationship Id="rId1028" Type="http://schemas.openxmlformats.org/officeDocument/2006/relationships/hyperlink" Target="https://stm.sciencemag.org/content/science-translational-medicine-general-policies" TargetMode="External"/><Relationship Id="rId244" Type="http://schemas.openxmlformats.org/officeDocument/2006/relationships/hyperlink" Target="http://www.rsc.org/journals-books-databases/journal-authors-reviewers/reviewer-responsibilities/" TargetMode="External"/><Relationship Id="rId689" Type="http://schemas.openxmlformats.org/officeDocument/2006/relationships/hyperlink" Target="https://www.nature.com/authors/author_resources/transfer_manuscripts.html" TargetMode="External"/><Relationship Id="rId896" Type="http://schemas.openxmlformats.org/officeDocument/2006/relationships/hyperlink" Target="https://authorservices.wiley.com/Reviewers/journal-reviewers/index.html" TargetMode="External"/><Relationship Id="rId1081" Type="http://schemas.openxmlformats.org/officeDocument/2006/relationships/hyperlink" Target="https://authorservices.wiley.com/Reviewers/journal-reviewers/recognition-for-reviewers/index.html" TargetMode="External"/><Relationship Id="rId39" Type="http://schemas.openxmlformats.org/officeDocument/2006/relationships/hyperlink" Target="https://pubs.acs.org/pb-assets/acspubs/Migrated/ancac3_revguide.pdf" TargetMode="External"/><Relationship Id="rId451" Type="http://schemas.openxmlformats.org/officeDocument/2006/relationships/hyperlink" Target="https://ieeeauthorcenter.ieee.org/peer-review-at-ieee/" TargetMode="External"/><Relationship Id="rId549" Type="http://schemas.openxmlformats.org/officeDocument/2006/relationships/hyperlink" Target="https://academic.oup.com/journals/pages/access_purchase/rights_and_permissions/self_archiving_policy_f" TargetMode="External"/><Relationship Id="rId756" Type="http://schemas.openxmlformats.org/officeDocument/2006/relationships/hyperlink" Target="https://www.nature.com/authors/policies/preprints.html" TargetMode="External"/><Relationship Id="rId104" Type="http://schemas.openxmlformats.org/officeDocument/2006/relationships/hyperlink" Target="http://annals.org/aim/pages/authors" TargetMode="External"/><Relationship Id="rId188" Type="http://schemas.openxmlformats.org/officeDocument/2006/relationships/hyperlink" Target="https://www.cell.com/reviewers" TargetMode="External"/><Relationship Id="rId311" Type="http://schemas.openxmlformats.org/officeDocument/2006/relationships/hyperlink" Target="https://www.elsevier.com/journals/computers-and-education/0360-1315?generatepdf=true" TargetMode="External"/><Relationship Id="rId395" Type="http://schemas.openxmlformats.org/officeDocument/2006/relationships/hyperlink" Target="https://www.elsevier.com/reviewers/how-to-review" TargetMode="External"/><Relationship Id="rId409" Type="http://schemas.openxmlformats.org/officeDocument/2006/relationships/hyperlink" Target="https://authors.bmj.com/policies/peer-review-terms-and-conditions/" TargetMode="External"/><Relationship Id="rId963" Type="http://schemas.openxmlformats.org/officeDocument/2006/relationships/hyperlink" Target="https://journals.plos.org/plosone/s/preprints" TargetMode="External"/><Relationship Id="rId1039" Type="http://schemas.openxmlformats.org/officeDocument/2006/relationships/hyperlink" Target="https://www.nature.com/srep/journal-policies/peer-review" TargetMode="External"/><Relationship Id="rId92" Type="http://schemas.openxmlformats.org/officeDocument/2006/relationships/hyperlink" Target="https://onlinelibrary.wiley.com/page/journal/15213773/homepage/notice-to-authors" TargetMode="External"/><Relationship Id="rId616" Type="http://schemas.openxmlformats.org/officeDocument/2006/relationships/hyperlink" Target="https://www.springer.com/psychology/child+%26+school+psychology/journal/10964?detailsPage=pltci_1692324" TargetMode="External"/><Relationship Id="rId823" Type="http://schemas.openxmlformats.org/officeDocument/2006/relationships/hyperlink" Target="https://www.nature.com/authors/policies/peer_review.html" TargetMode="External"/><Relationship Id="rId255" Type="http://schemas.openxmlformats.org/officeDocument/2006/relationships/hyperlink" Target="https://pubs.acs.org/paragonplus/submission/chreay/chreay_authguide.pdf" TargetMode="External"/><Relationship Id="rId462" Type="http://schemas.openxmlformats.org/officeDocument/2006/relationships/hyperlink" Target="https://ieeeauthorcenter.ieee.org/peer-review-at-ieee/" TargetMode="External"/><Relationship Id="rId1092" Type="http://schemas.openxmlformats.org/officeDocument/2006/relationships/hyperlink" Target="https://www.thelancet.com/pb/assets/raw/Lancet/authors/lancet-information-for-authors.pdf" TargetMode="External"/><Relationship Id="rId1106" Type="http://schemas.openxmlformats.org/officeDocument/2006/relationships/hyperlink" Target="https://els-jbs-prod-cdn.literatumonline.com/pb/assets/raw/Lancet/authors/tlo-info-for-authors-1541596062097.pdf" TargetMode="External"/><Relationship Id="rId115" Type="http://schemas.openxmlformats.org/officeDocument/2006/relationships/hyperlink" Target="https://ard.bmj.com/pages/about/" TargetMode="External"/><Relationship Id="rId322" Type="http://schemas.openxmlformats.org/officeDocument/2006/relationships/hyperlink" Target="http://care.diabetesjournals.org/content/early/recent" TargetMode="External"/><Relationship Id="rId767" Type="http://schemas.openxmlformats.org/officeDocument/2006/relationships/hyperlink" Target="https://www.nature.com/authors/policies/peer_review.html" TargetMode="External"/><Relationship Id="rId974" Type="http://schemas.openxmlformats.org/officeDocument/2006/relationships/hyperlink" Target="https://uk.sagepub.com/en-gb/eur/journal/progress-human-geography" TargetMode="External"/><Relationship Id="rId199" Type="http://schemas.openxmlformats.org/officeDocument/2006/relationships/hyperlink" Target="https://can.msubmit.net/cgi-bin/main.plex?form_type=display_rev_instructions" TargetMode="External"/><Relationship Id="rId627" Type="http://schemas.openxmlformats.org/officeDocument/2006/relationships/hyperlink" Target="https://www.tandfonline.com/action/authorSubmission?journalCode=rjop20&amp;page=instructions" TargetMode="External"/><Relationship Id="rId834" Type="http://schemas.openxmlformats.org/officeDocument/2006/relationships/hyperlink" Target="https://www.nature.com/nrc/for-referees" TargetMode="External"/><Relationship Id="rId266" Type="http://schemas.openxmlformats.org/officeDocument/2006/relationships/hyperlink" Target="http://www.rsc.org/journals-books-databases/journal-authors-reviewers/reviewer-responsibilities/" TargetMode="External"/><Relationship Id="rId473" Type="http://schemas.openxmlformats.org/officeDocument/2006/relationships/hyperlink" Target="https://www.cell.com/reviewers" TargetMode="External"/><Relationship Id="rId680" Type="http://schemas.openxmlformats.org/officeDocument/2006/relationships/hyperlink" Target="https://www.rsc.org/journals-books-databases/journal-authors-reviewers/reviewer-responsibilities/" TargetMode="External"/><Relationship Id="rId901" Type="http://schemas.openxmlformats.org/officeDocument/2006/relationships/hyperlink" Target="https://onlinelibrary.wiley.com/page/journal/14680068/homepage/forauthors.html" TargetMode="External"/><Relationship Id="rId1117" Type="http://schemas.openxmlformats.org/officeDocument/2006/relationships/hyperlink" Target="https://academic.oup.com/journals/pages/access_purchase/rights_and_permissions/self_archiving_policy_f" TargetMode="External"/><Relationship Id="rId30" Type="http://schemas.openxmlformats.org/officeDocument/2006/relationships/hyperlink" Target="https://aom.org/Publications/AMR/Frequently-Asked-Questions.aspx" TargetMode="External"/><Relationship Id="rId126" Type="http://schemas.openxmlformats.org/officeDocument/2006/relationships/hyperlink" Target="https://www.elsevier.com/reviewers/what-is-peer-review" TargetMode="External"/><Relationship Id="rId333" Type="http://schemas.openxmlformats.org/officeDocument/2006/relationships/hyperlink" Target="https://www.tandfonline.com/action/authorSubmission?show=instructions&amp;journalCode=rdij20" TargetMode="External"/><Relationship Id="rId540" Type="http://schemas.openxmlformats.org/officeDocument/2006/relationships/hyperlink" Target="http://ascopubs.org/jco/site/ifc/journal-policies.xhtml" TargetMode="External"/><Relationship Id="rId778" Type="http://schemas.openxmlformats.org/officeDocument/2006/relationships/hyperlink" Target="https://www.nature.com/authors/author_resources/transfer_manuscripts.html" TargetMode="External"/><Relationship Id="rId985" Type="http://schemas.openxmlformats.org/officeDocument/2006/relationships/hyperlink" Target="https://www.tandfonline.com/action/authorSubmission?show=instructions&amp;journalCode=cres20" TargetMode="External"/><Relationship Id="rId638" Type="http://schemas.openxmlformats.org/officeDocument/2006/relationships/hyperlink" Target="https://onlinelibrary.wiley.com/page/journal/14679922/homepage/forauthors.html" TargetMode="External"/><Relationship Id="rId845" Type="http://schemas.openxmlformats.org/officeDocument/2006/relationships/hyperlink" Target="https://www.nature.com/authors/author_resources/transfer_manuscripts.html" TargetMode="External"/><Relationship Id="rId1030" Type="http://schemas.openxmlformats.org/officeDocument/2006/relationships/hyperlink" Target="https://stm.sciencemag.org/content/information-reviewers" TargetMode="External"/><Relationship Id="rId277" Type="http://schemas.openxmlformats.org/officeDocument/2006/relationships/hyperlink" Target="https://pubs.acs.org/paragonplus/submission/cmatex/cmatex_authguide.pdf" TargetMode="External"/><Relationship Id="rId400" Type="http://schemas.openxmlformats.org/officeDocument/2006/relationships/hyperlink" Target="https://www.elsevier.com/journals/government-information-quarterly/0740-624X?generatepdf=true" TargetMode="External"/><Relationship Id="rId484" Type="http://schemas.openxmlformats.org/officeDocument/2006/relationships/hyperlink" Target="https://www.elsevier.com/reviewers/role" TargetMode="External"/><Relationship Id="rId705" Type="http://schemas.openxmlformats.org/officeDocument/2006/relationships/hyperlink" Target="https://www.nature.com/authors/policies/peer_review.html" TargetMode="External"/><Relationship Id="rId1128" Type="http://schemas.openxmlformats.org/officeDocument/2006/relationships/hyperlink" Target="https://www.elsevier.com/about/policies/sharing" TargetMode="External"/><Relationship Id="rId137" Type="http://schemas.openxmlformats.org/officeDocument/2006/relationships/hyperlink" Target="https://academic.oup.com/applij/pages/General_Instructions" TargetMode="External"/><Relationship Id="rId344" Type="http://schemas.openxmlformats.org/officeDocument/2006/relationships/hyperlink" Target="http://www.rsc.org/journals-books-databases/journal-authors-reviewers/reviewer-responsibilities/" TargetMode="External"/><Relationship Id="rId691" Type="http://schemas.openxmlformats.org/officeDocument/2006/relationships/hyperlink" Target="https://www.nature.com/authors/policies/preprints.html" TargetMode="External"/><Relationship Id="rId789" Type="http://schemas.openxmlformats.org/officeDocument/2006/relationships/hyperlink" Target="https://www.nature.com/authors/policies/preprints.html" TargetMode="External"/><Relationship Id="rId912" Type="http://schemas.openxmlformats.org/officeDocument/2006/relationships/hyperlink" Target="https://www.osapublishing.org/oe/submit/review/outstandingreviewers.cfm" TargetMode="External"/><Relationship Id="rId996" Type="http://schemas.openxmlformats.org/officeDocument/2006/relationships/hyperlink" Target="https://www.elsevier.com/reviewers/what-is-peer-review" TargetMode="External"/><Relationship Id="rId41" Type="http://schemas.openxmlformats.org/officeDocument/2006/relationships/hyperlink" Target="https://pubs.acs.org/page/ancac3/submission/prior.html" TargetMode="External"/><Relationship Id="rId551" Type="http://schemas.openxmlformats.org/officeDocument/2006/relationships/hyperlink" Target="https://publishingsupport.iopscience.iop.org/questions/article-transfer-service/" TargetMode="External"/><Relationship Id="rId649" Type="http://schemas.openxmlformats.org/officeDocument/2006/relationships/hyperlink" Target="https://www.elsevier.com/reviewers/how-to-review" TargetMode="External"/><Relationship Id="rId856" Type="http://schemas.openxmlformats.org/officeDocument/2006/relationships/hyperlink" Target="https://www.nature.com/authors/policies/peer_review.html" TargetMode="External"/><Relationship Id="rId190" Type="http://schemas.openxmlformats.org/officeDocument/2006/relationships/hyperlink" Target="https://publons.com/journal/573/cancer-cell" TargetMode="External"/><Relationship Id="rId204" Type="http://schemas.openxmlformats.org/officeDocument/2006/relationships/hyperlink" Target="https://www.cell.com/reviewers" TargetMode="External"/><Relationship Id="rId288" Type="http://schemas.openxmlformats.org/officeDocument/2006/relationships/hyperlink" Target="https://www.ahajournals.org/pb-assets/Ethical%20ConductPolicyApril2017finalWeb.pdf" TargetMode="External"/><Relationship Id="rId411" Type="http://schemas.openxmlformats.org/officeDocument/2006/relationships/hyperlink" Target="https://www.healthaffairs.org/help-for-authors" TargetMode="External"/><Relationship Id="rId509" Type="http://schemas.openxmlformats.org/officeDocument/2006/relationships/hyperlink" Target="https://www.elsevier.com/reviewers/what-is-peer-review" TargetMode="External"/><Relationship Id="rId1041" Type="http://schemas.openxmlformats.org/officeDocument/2006/relationships/hyperlink" Target="https://www.nature.com/srep/journal-policies/referees" TargetMode="External"/><Relationship Id="rId1139" Type="http://schemas.openxmlformats.org/officeDocument/2006/relationships/hyperlink" Target="https://www.elsevier.com/journals/world-development/0305-750x/guide-for-authors" TargetMode="External"/><Relationship Id="rId495" Type="http://schemas.openxmlformats.org/officeDocument/2006/relationships/hyperlink" Target="https://www.elsevier.com/authors/journal-authors/submit-your-paper/submit-and-revise/article-transfer-service" TargetMode="External"/><Relationship Id="rId716" Type="http://schemas.openxmlformats.org/officeDocument/2006/relationships/hyperlink" Target="https://www.nature.com/authors/author_resources/transfer_manuscripts.html" TargetMode="External"/><Relationship Id="rId923" Type="http://schemas.openxmlformats.org/officeDocument/2006/relationships/hyperlink" Target="https://www.springer.com/philosophy/journal/11098" TargetMode="External"/><Relationship Id="rId52" Type="http://schemas.openxmlformats.org/officeDocument/2006/relationships/hyperlink" Target="https://application.wiley-vch.de/util/cta/euchems_ethicalguidelines.pdf" TargetMode="External"/><Relationship Id="rId148" Type="http://schemas.openxmlformats.org/officeDocument/2006/relationships/hyperlink" Target="https://www.aanda.org/author-information" TargetMode="External"/><Relationship Id="rId355" Type="http://schemas.openxmlformats.org/officeDocument/2006/relationships/hyperlink" Target="https://academic.oup.com/journals/pages/access_purchase/rights_and_permissions/self_archiving_policy_b" TargetMode="External"/><Relationship Id="rId562" Type="http://schemas.openxmlformats.org/officeDocument/2006/relationships/hyperlink" Target="https://www.apa.org/pubs/journals/reviewer-instructions.pdf" TargetMode="External"/><Relationship Id="rId215" Type="http://schemas.openxmlformats.org/officeDocument/2006/relationships/hyperlink" Target="https://www.cell.com/cell/authors" TargetMode="External"/><Relationship Id="rId422" Type="http://schemas.openxmlformats.org/officeDocument/2006/relationships/hyperlink" Target="https://aasldpubs.onlinelibrary.wiley.com/hub/journal/15273350/about/author-guidelines" TargetMode="External"/><Relationship Id="rId867" Type="http://schemas.openxmlformats.org/officeDocument/2006/relationships/hyperlink" Target="https://www.nature.com/nrg/for-referees" TargetMode="External"/><Relationship Id="rId1052" Type="http://schemas.openxmlformats.org/officeDocument/2006/relationships/hyperlink" Target="https://www.journals.elsevier.com/system" TargetMode="External"/><Relationship Id="rId299" Type="http://schemas.openxmlformats.org/officeDocument/2006/relationships/hyperlink" Target="http://aacrjournals.org/content/authors/editorial-process" TargetMode="External"/><Relationship Id="rId727" Type="http://schemas.openxmlformats.org/officeDocument/2006/relationships/hyperlink" Target="https://www.nature.com/authors/policies/preprints.html" TargetMode="External"/><Relationship Id="rId934" Type="http://schemas.openxmlformats.org/officeDocument/2006/relationships/hyperlink" Target="https://journals.aps.org/prd/authors/editorial-policies-practices" TargetMode="External"/><Relationship Id="rId63" Type="http://schemas.openxmlformats.org/officeDocument/2006/relationships/hyperlink" Target="https://www.aeaweb.org/journals/aer/about-aer/editorial-policy" TargetMode="External"/><Relationship Id="rId159" Type="http://schemas.openxmlformats.org/officeDocument/2006/relationships/hyperlink" Target="http://www.bloodjournal.org/page/authors/author-guide/peer-review" TargetMode="External"/><Relationship Id="rId366" Type="http://schemas.openxmlformats.org/officeDocument/2006/relationships/hyperlink" Target="https://www.gastrojournal.org/content/authorinfo" TargetMode="External"/><Relationship Id="rId573" Type="http://schemas.openxmlformats.org/officeDocument/2006/relationships/hyperlink" Target="https://publications.agu.org/reviewer-resources/" TargetMode="External"/><Relationship Id="rId780" Type="http://schemas.openxmlformats.org/officeDocument/2006/relationships/hyperlink" Target="https://www.nature.com/authors/peer_review/index.html" TargetMode="External"/><Relationship Id="rId226" Type="http://schemas.openxmlformats.org/officeDocument/2006/relationships/hyperlink" Target="https://www.cell.com/cell-metabolism/articletransfer" TargetMode="External"/><Relationship Id="rId433" Type="http://schemas.openxmlformats.org/officeDocument/2006/relationships/hyperlink" Target="https://pspb.ieee.org/images/files/files/opsmanual.pdf" TargetMode="External"/><Relationship Id="rId878" Type="http://schemas.openxmlformats.org/officeDocument/2006/relationships/hyperlink" Target="https://www.elsevier.com/journals/neuroimage/1053-8119/guide-for-authors" TargetMode="External"/><Relationship Id="rId1063" Type="http://schemas.openxmlformats.org/officeDocument/2006/relationships/hyperlink" Target="https://onlinelibrary.wiley.com/page/journal/15457249/homepage/forauthors.html" TargetMode="External"/><Relationship Id="rId640" Type="http://schemas.openxmlformats.org/officeDocument/2006/relationships/hyperlink" Target="https://www.elsevier.com/journals/lingua/0024-3841/guide-for-authors" TargetMode="External"/><Relationship Id="rId738" Type="http://schemas.openxmlformats.org/officeDocument/2006/relationships/hyperlink" Target="https://www.nature.com/authors/policies/preprints.html" TargetMode="External"/><Relationship Id="rId945" Type="http://schemas.openxmlformats.org/officeDocument/2006/relationships/hyperlink" Target="https://journals.aps.org/prx/authors/editorial-policies-practices" TargetMode="External"/><Relationship Id="rId74" Type="http://schemas.openxmlformats.org/officeDocument/2006/relationships/hyperlink" Target="https://ajph.aphapublications.org/page/authors.html" TargetMode="External"/><Relationship Id="rId377" Type="http://schemas.openxmlformats.org/officeDocument/2006/relationships/hyperlink" Target="https://uk.sagepub.com/en-gb/eur/prior-publication" TargetMode="External"/><Relationship Id="rId500" Type="http://schemas.openxmlformats.org/officeDocument/2006/relationships/hyperlink" Target="https://www.elsevier.com/about/policies/sharing" TargetMode="External"/><Relationship Id="rId584" Type="http://schemas.openxmlformats.org/officeDocument/2006/relationships/hyperlink" Target="https://us.sagepub.com/en-us/nam/reviewer-rewards" TargetMode="External"/><Relationship Id="rId805" Type="http://schemas.openxmlformats.org/officeDocument/2006/relationships/hyperlink" Target="https://www.nature.com/authors/policies/preprints.html" TargetMode="External"/><Relationship Id="rId1130" Type="http://schemas.openxmlformats.org/officeDocument/2006/relationships/hyperlink" Target="https://www.elsevier.com/reviewers/role" TargetMode="External"/><Relationship Id="rId5" Type="http://schemas.openxmlformats.org/officeDocument/2006/relationships/hyperlink" Target="https://journals.lww.com/academicmedicine/Pages/InstructionsforAuthors.aspx" TargetMode="External"/><Relationship Id="rId237" Type="http://schemas.openxmlformats.org/officeDocument/2006/relationships/hyperlink" Target="https://www.cell.com/pb-assets/shared/guidelines/cell_press_navigator.pdf" TargetMode="External"/><Relationship Id="rId791" Type="http://schemas.openxmlformats.org/officeDocument/2006/relationships/hyperlink" Target="https://www.nature.com/authors/policies/peer_review.html" TargetMode="External"/><Relationship Id="rId889" Type="http://schemas.openxmlformats.org/officeDocument/2006/relationships/hyperlink" Target="https://www.cell.com/neuron/authors" TargetMode="External"/><Relationship Id="rId1074" Type="http://schemas.openxmlformats.org/officeDocument/2006/relationships/hyperlink" Target="https://www.jci.org/kiosks/authors" TargetMode="External"/><Relationship Id="rId444" Type="http://schemas.openxmlformats.org/officeDocument/2006/relationships/hyperlink" Target="http://iccv2019.thecvf.com/submission/main_conference/author_guidelines" TargetMode="External"/><Relationship Id="rId651" Type="http://schemas.openxmlformats.org/officeDocument/2006/relationships/hyperlink" Target="https://www.misq.org/skin/frontend/default/misq/pdf/ReviewerRole.pdf" TargetMode="External"/><Relationship Id="rId749" Type="http://schemas.openxmlformats.org/officeDocument/2006/relationships/hyperlink" Target="https://www.nature.com/authors/policies/peer_review.html" TargetMode="External"/><Relationship Id="rId290" Type="http://schemas.openxmlformats.org/officeDocument/2006/relationships/hyperlink" Target="https://www.ahajournals.org/pb-assets/Ethical%20ConductPolicyApril2017finalWeb.pdf" TargetMode="External"/><Relationship Id="rId304" Type="http://schemas.openxmlformats.org/officeDocument/2006/relationships/hyperlink" Target="https://ccr.msubmit.net/cgi-bin/main.plex?form_type=display_rev_instructions" TargetMode="External"/><Relationship Id="rId388" Type="http://schemas.openxmlformats.org/officeDocument/2006/relationships/hyperlink" Target="https://publications.agu.org/author-resource-center/publication-policies/dual-publication-policy/" TargetMode="External"/><Relationship Id="rId511" Type="http://schemas.openxmlformats.org/officeDocument/2006/relationships/hyperlink" Target="https://www.elsevier.com/about/policies/sharing" TargetMode="External"/><Relationship Id="rId609" Type="http://schemas.openxmlformats.org/officeDocument/2006/relationships/hyperlink" Target="http://pubs.acs.org/paragonplus/submission/jacsat/jacsat_authguide.pdf" TargetMode="External"/><Relationship Id="rId956" Type="http://schemas.openxmlformats.org/officeDocument/2006/relationships/hyperlink" Target="https://www.elsevier.com/journals/physics-letters-b/0370-2693/guide-for-authors" TargetMode="External"/><Relationship Id="rId1141" Type="http://schemas.openxmlformats.org/officeDocument/2006/relationships/hyperlink" Target="https://www.elsevier.com/reviewers/what-is-peer-review" TargetMode="External"/><Relationship Id="rId85" Type="http://schemas.openxmlformats.org/officeDocument/2006/relationships/hyperlink" Target="https://us.sagepub.com/en-us/nam/journal/american-sociological-review" TargetMode="External"/><Relationship Id="rId150" Type="http://schemas.openxmlformats.org/officeDocument/2006/relationships/hyperlink" Target="https://www.elsevier.com/reviewers/role" TargetMode="External"/><Relationship Id="rId595" Type="http://schemas.openxmlformats.org/officeDocument/2006/relationships/hyperlink" Target="http://www.rsc.org/journals-books-databases/journal-authors-reviewers/processes-policies/" TargetMode="External"/><Relationship Id="rId816" Type="http://schemas.openxmlformats.org/officeDocument/2006/relationships/hyperlink" Target="https://www.nature.com/authors/policies/preprints.html" TargetMode="External"/><Relationship Id="rId1001" Type="http://schemas.openxmlformats.org/officeDocument/2006/relationships/hyperlink" Target="https://www.elsevier.com/reviewers/what-is-peer-review" TargetMode="External"/><Relationship Id="rId248" Type="http://schemas.openxmlformats.org/officeDocument/2006/relationships/hyperlink" Target="http://www.rsc.org/journals-books-databases/journal-authors-reviewers/reviewer-responsibilities/" TargetMode="External"/><Relationship Id="rId455" Type="http://schemas.openxmlformats.org/officeDocument/2006/relationships/hyperlink" Target="https://ieeeauthorcenter.ieee.org/peer-review-at-ieee/" TargetMode="External"/><Relationship Id="rId662" Type="http://schemas.openxmlformats.org/officeDocument/2006/relationships/hyperlink" Target="https://www.cell.com/molecular-cell/authors" TargetMode="External"/><Relationship Id="rId1085" Type="http://schemas.openxmlformats.org/officeDocument/2006/relationships/hyperlink" Target="http://pubs.acs.org/paragonplus/submission/jpclcd/jpclcd_authguide.pdf" TargetMode="External"/><Relationship Id="rId12" Type="http://schemas.openxmlformats.org/officeDocument/2006/relationships/hyperlink" Target="https://pubs.acs.org/publish/peer_reviews" TargetMode="External"/><Relationship Id="rId108" Type="http://schemas.openxmlformats.org/officeDocument/2006/relationships/hyperlink" Target="https://academic.oup.com/annonc/pages/General_Instructions" TargetMode="External"/><Relationship Id="rId315" Type="http://schemas.openxmlformats.org/officeDocument/2006/relationships/hyperlink" Target="https://www.elsevier.com/authors/journal-authors/submit-your-paper" TargetMode="External"/><Relationship Id="rId522" Type="http://schemas.openxmlformats.org/officeDocument/2006/relationships/hyperlink" Target="https://www.elsevier.com/journals/journal-of-business-research/0148-2963/guide-for-authors" TargetMode="External"/><Relationship Id="rId967" Type="http://schemas.openxmlformats.org/officeDocument/2006/relationships/hyperlink" Target="https://journals.plos.org/plosone/s/preprints" TargetMode="External"/><Relationship Id="rId96" Type="http://schemas.openxmlformats.org/officeDocument/2006/relationships/hyperlink" Target="https://onlinelibrary.wiley.com/page/journal/15213773/homepage/notice-to-authors" TargetMode="External"/><Relationship Id="rId161" Type="http://schemas.openxmlformats.org/officeDocument/2006/relationships/hyperlink" Target="http://www.bloodjournal.org/page/authors/author-guide/peer-review" TargetMode="External"/><Relationship Id="rId399" Type="http://schemas.openxmlformats.org/officeDocument/2006/relationships/hyperlink" Target="https://www.elsevier.com/about/policies/sharing" TargetMode="External"/><Relationship Id="rId827" Type="http://schemas.openxmlformats.org/officeDocument/2006/relationships/hyperlink" Target="https://www.nature.com/authors/policies/preprints.html" TargetMode="External"/><Relationship Id="rId1012" Type="http://schemas.openxmlformats.org/officeDocument/2006/relationships/hyperlink" Target="http://www.sciencemag.org/authors/science-information-authors" TargetMode="External"/><Relationship Id="rId259" Type="http://schemas.openxmlformats.org/officeDocument/2006/relationships/hyperlink" Target="http://www.rsc.org/journals-books-databases/journal-authors-reviewers/reviewer-responsibilities/" TargetMode="External"/><Relationship Id="rId466" Type="http://schemas.openxmlformats.org/officeDocument/2006/relationships/hyperlink" Target="https://ieeeauthorcenter.ieee.org/peer-review-at-ieee/ethics-in-peer-review/" TargetMode="External"/><Relationship Id="rId673" Type="http://schemas.openxmlformats.org/officeDocument/2006/relationships/hyperlink" Target="https://pubs.acs.org/paragonplus/submission/nalefd/nalefd_authguide.pdf" TargetMode="External"/><Relationship Id="rId880" Type="http://schemas.openxmlformats.org/officeDocument/2006/relationships/hyperlink" Target="https://www.elsevier.com/reviewers/what-is-peer-review" TargetMode="External"/><Relationship Id="rId1096" Type="http://schemas.openxmlformats.org/officeDocument/2006/relationships/hyperlink" Target="https://www.thelancet.com/preprints" TargetMode="External"/><Relationship Id="rId23" Type="http://schemas.openxmlformats.org/officeDocument/2006/relationships/hyperlink" Target="https://pubs.acs.org/page/accacs/submission/prior.htmlhttps:/pubs.acs.org/page/policy/authorchoice/index.html" TargetMode="External"/><Relationship Id="rId119" Type="http://schemas.openxmlformats.org/officeDocument/2006/relationships/hyperlink" Target="https://authors.bmj.com/policies/preprints/" TargetMode="External"/><Relationship Id="rId326" Type="http://schemas.openxmlformats.org/officeDocument/2006/relationships/hyperlink" Target="http://www.diabetesjournals.org/for-reviewers" TargetMode="External"/><Relationship Id="rId533" Type="http://schemas.openxmlformats.org/officeDocument/2006/relationships/hyperlink" Target="https://www.elsevier.com/journals/journal-of-cleaner-production/0959-6526/guide-for-authors" TargetMode="External"/><Relationship Id="rId978" Type="http://schemas.openxmlformats.org/officeDocument/2006/relationships/hyperlink" Target="https://uk.sagepub.com/en-gb/eur/get-credit-for-your-reviews" TargetMode="External"/><Relationship Id="rId740" Type="http://schemas.openxmlformats.org/officeDocument/2006/relationships/hyperlink" Target="https://www.nature.com/authors/policies/peer_review.html" TargetMode="External"/><Relationship Id="rId838" Type="http://schemas.openxmlformats.org/officeDocument/2006/relationships/hyperlink" Target="https://www.nature.com/authors/policies/peer_review.html" TargetMode="External"/><Relationship Id="rId1023" Type="http://schemas.openxmlformats.org/officeDocument/2006/relationships/hyperlink" Target="http://www.sciencemag.org/authors/science-information-authors" TargetMode="External"/><Relationship Id="rId172" Type="http://schemas.openxmlformats.org/officeDocument/2006/relationships/hyperlink" Target="https://www.bmj.com/about-bmj/resources-reviewers" TargetMode="External"/><Relationship Id="rId477" Type="http://schemas.openxmlformats.org/officeDocument/2006/relationships/hyperlink" Target="https://www.elsevier.com/journals/international-journal-of-production-economics/0925-5273?generatepdf=true" TargetMode="External"/><Relationship Id="rId600" Type="http://schemas.openxmlformats.org/officeDocument/2006/relationships/hyperlink" Target="http://www.rsc.org/journals-books-databases/journal-authors-reviewers/processes-policies/" TargetMode="External"/><Relationship Id="rId684" Type="http://schemas.openxmlformats.org/officeDocument/2006/relationships/hyperlink" Target="https://www.nature.com/authors/policies/peer_review.html" TargetMode="External"/><Relationship Id="rId337" Type="http://schemas.openxmlformats.org/officeDocument/2006/relationships/hyperlink" Target="https://www.econometricsociety.org/publications/econometrica/information-authors/instructions-preparing-articles-publication" TargetMode="External"/><Relationship Id="rId891" Type="http://schemas.openxmlformats.org/officeDocument/2006/relationships/hyperlink" Target="https://www.cell.com/neuron/authors" TargetMode="External"/><Relationship Id="rId905" Type="http://schemas.openxmlformats.org/officeDocument/2006/relationships/hyperlink" Target="https://academic.oup.com/nar/pages/Policies" TargetMode="External"/><Relationship Id="rId989" Type="http://schemas.openxmlformats.org/officeDocument/2006/relationships/hyperlink" Target="https://www.elsevier.com/reviewers/what-is-peer-review" TargetMode="External"/><Relationship Id="rId34" Type="http://schemas.openxmlformats.org/officeDocument/2006/relationships/hyperlink" Target="https://pubs.acs.org/page/ancac3/submission/prior.html" TargetMode="External"/><Relationship Id="rId544" Type="http://schemas.openxmlformats.org/officeDocument/2006/relationships/hyperlink" Target="https://onlinelibrary.wiley.com/page/journal/14602466/homepage/forauthors.html" TargetMode="External"/><Relationship Id="rId751" Type="http://schemas.openxmlformats.org/officeDocument/2006/relationships/hyperlink" Target="https://www.nature.com/authors/policies/preprints.html" TargetMode="External"/><Relationship Id="rId849" Type="http://schemas.openxmlformats.org/officeDocument/2006/relationships/hyperlink" Target="https://www.nature.com/nrc/for-referees" TargetMode="External"/><Relationship Id="rId183" Type="http://schemas.openxmlformats.org/officeDocument/2006/relationships/hyperlink" Target="https://www.cell.com/reviewers" TargetMode="External"/><Relationship Id="rId390" Type="http://schemas.openxmlformats.org/officeDocument/2006/relationships/hyperlink" Target="https://www.elsevier.com/reviewers/what-is-peer-review" TargetMode="External"/><Relationship Id="rId404" Type="http://schemas.openxmlformats.org/officeDocument/2006/relationships/hyperlink" Target="https://authors.bmj.com/policies/peer-review-terms-and-conditions/" TargetMode="External"/><Relationship Id="rId611" Type="http://schemas.openxmlformats.org/officeDocument/2006/relationships/hyperlink" Target="http://pubs.acs.org/paragonplus/submission/jacsat/jacsat_authguide.pdf" TargetMode="External"/><Relationship Id="rId1034" Type="http://schemas.openxmlformats.org/officeDocument/2006/relationships/hyperlink" Target="https://www.nature.com/authors/policies/peer_review.html" TargetMode="External"/><Relationship Id="rId250" Type="http://schemas.openxmlformats.org/officeDocument/2006/relationships/hyperlink" Target="http://www.rsc.org/journals-books-databases/journal-authors-reviewers/processes-policies/" TargetMode="External"/><Relationship Id="rId488" Type="http://schemas.openxmlformats.org/officeDocument/2006/relationships/hyperlink" Target="https://jamanetwork.com/journals/jama/pages/instructions-for-authors" TargetMode="External"/><Relationship Id="rId695" Type="http://schemas.openxmlformats.org/officeDocument/2006/relationships/hyperlink" Target="https://www.nature.com/authors/policies/preprints.html" TargetMode="External"/><Relationship Id="rId709" Type="http://schemas.openxmlformats.org/officeDocument/2006/relationships/hyperlink" Target="https://www.nature.com/authors/policies/preprints.html" TargetMode="External"/><Relationship Id="rId916" Type="http://schemas.openxmlformats.org/officeDocument/2006/relationships/hyperlink" Target="http://www.aappublications.org/content/pediatrics-reviewer-guidelines" TargetMode="External"/><Relationship Id="rId1101" Type="http://schemas.openxmlformats.org/officeDocument/2006/relationships/hyperlink" Target="https://els-jbs-prod-cdn.literatumonline.com/pb/assets/raw/Lancet/authors/tlo-info-for-authors-1541596062097.pdf" TargetMode="External"/><Relationship Id="rId45" Type="http://schemas.openxmlformats.org/officeDocument/2006/relationships/hyperlink" Target="https://application.wiley-vch.de/util/cta/euchems_ethicalguidelines.pdf" TargetMode="External"/><Relationship Id="rId110" Type="http://schemas.openxmlformats.org/officeDocument/2006/relationships/hyperlink" Target="https://ard.bmj.com/pages/about/" TargetMode="External"/><Relationship Id="rId348" Type="http://schemas.openxmlformats.org/officeDocument/2006/relationships/hyperlink" Target="https://pubs.acs.org/paragonplus/submission/esthag/esthag_authguide.pdf" TargetMode="External"/><Relationship Id="rId555" Type="http://schemas.openxmlformats.org/officeDocument/2006/relationships/hyperlink" Target="https://publishingsupport.iopscience.iop.org/becoming-a-journal-reviewer/" TargetMode="External"/><Relationship Id="rId762" Type="http://schemas.openxmlformats.org/officeDocument/2006/relationships/hyperlink" Target="https://www.nature.com/authors/policies/peer_review.html" TargetMode="External"/><Relationship Id="rId194" Type="http://schemas.openxmlformats.org/officeDocument/2006/relationships/hyperlink" Target="https://www.cell.com/cancer-cell/authors" TargetMode="External"/><Relationship Id="rId208" Type="http://schemas.openxmlformats.org/officeDocument/2006/relationships/hyperlink" Target="https://www.cell.com/cell/authors" TargetMode="External"/><Relationship Id="rId415" Type="http://schemas.openxmlformats.org/officeDocument/2006/relationships/hyperlink" Target="https://www.healthaffairs.org/help-for-authors" TargetMode="External"/><Relationship Id="rId622" Type="http://schemas.openxmlformats.org/officeDocument/2006/relationships/hyperlink" Target="https://us.sagepub.com/en-us/nam/journal/journalism" TargetMode="External"/><Relationship Id="rId1045" Type="http://schemas.openxmlformats.org/officeDocument/2006/relationships/hyperlink" Target="https://www.elsevier.com/journals/social-science-and-medicine/0277-9536/guide-for-authors" TargetMode="External"/><Relationship Id="rId261" Type="http://schemas.openxmlformats.org/officeDocument/2006/relationships/hyperlink" Target="http://www.rsc.org/journals-books-databases/journal-authors-reviewers/processes-policies/" TargetMode="External"/><Relationship Id="rId499" Type="http://schemas.openxmlformats.org/officeDocument/2006/relationships/hyperlink" Target="https://www.elsevier.com/authors/journal-authors/submit-your-paper/submit-and-revise/article-transfer-service" TargetMode="External"/><Relationship Id="rId927" Type="http://schemas.openxmlformats.org/officeDocument/2006/relationships/hyperlink" Target="https://journals.aps.org/prb/authors/editorial-policies-practices" TargetMode="External"/><Relationship Id="rId1112" Type="http://schemas.openxmlformats.org/officeDocument/2006/relationships/hyperlink" Target="https://www.nejm.org/media-center/publication-process" TargetMode="External"/><Relationship Id="rId56" Type="http://schemas.openxmlformats.org/officeDocument/2006/relationships/hyperlink" Target="https://application.wiley-vch.de/util/cta/physsci-en.pdf" TargetMode="External"/><Relationship Id="rId359" Type="http://schemas.openxmlformats.org/officeDocument/2006/relationships/hyperlink" Target="https://www.europeanurology.com/content/resources-for-authors" TargetMode="External"/><Relationship Id="rId566" Type="http://schemas.openxmlformats.org/officeDocument/2006/relationships/hyperlink" Target="https://www.elsevier.com/authors/journal-authors/submit-your-paper/submit-and-revise/article-transfer-service" TargetMode="External"/><Relationship Id="rId773" Type="http://schemas.openxmlformats.org/officeDocument/2006/relationships/hyperlink" Target="https://www.nature.com/authors/author_resources/transfer_manuscripts.html" TargetMode="External"/><Relationship Id="rId121" Type="http://schemas.openxmlformats.org/officeDocument/2006/relationships/hyperlink" Target="https://www.elsevier.com/reviewers/role" TargetMode="External"/><Relationship Id="rId219" Type="http://schemas.openxmlformats.org/officeDocument/2006/relationships/hyperlink" Target="https://publons.com/journal/628/cell-metabolism" TargetMode="External"/><Relationship Id="rId426" Type="http://schemas.openxmlformats.org/officeDocument/2006/relationships/hyperlink" Target="https://pspb.ieee.org/images/files/files/opsmanual.pdf" TargetMode="External"/><Relationship Id="rId633" Type="http://schemas.openxmlformats.org/officeDocument/2006/relationships/hyperlink" Target="https://www.elsevier.com/about/policies/copyright/permissions" TargetMode="External"/><Relationship Id="rId980" Type="http://schemas.openxmlformats.org/officeDocument/2006/relationships/hyperlink" Target="https://academic.oup.com/poq/pages/general_instructions" TargetMode="External"/><Relationship Id="rId1056" Type="http://schemas.openxmlformats.org/officeDocument/2006/relationships/hyperlink" Target="https://www.elsevier.com/journals/teaching-and-teacher-education/0742-051x/guide-for-authors" TargetMode="External"/><Relationship Id="rId840" Type="http://schemas.openxmlformats.org/officeDocument/2006/relationships/hyperlink" Target="https://www.nature.com/nrg/for-referees" TargetMode="External"/><Relationship Id="rId938" Type="http://schemas.openxmlformats.org/officeDocument/2006/relationships/hyperlink" Target="https://journals.aps.org/prd/authors/editorial-policies-practices" TargetMode="External"/><Relationship Id="rId67" Type="http://schemas.openxmlformats.org/officeDocument/2006/relationships/hyperlink" Target="https://ajps.org/guidelines-for-manuscripts/" TargetMode="External"/><Relationship Id="rId272" Type="http://schemas.openxmlformats.org/officeDocument/2006/relationships/hyperlink" Target="https://pubs.acs.org/page/cmatex/submission/prior.html" TargetMode="External"/><Relationship Id="rId577" Type="http://schemas.openxmlformats.org/officeDocument/2006/relationships/hyperlink" Target="https://www.elsevier.com/about/policies/sharing" TargetMode="External"/><Relationship Id="rId700" Type="http://schemas.openxmlformats.org/officeDocument/2006/relationships/hyperlink" Target="https://www.nature.com/authors/policies/preprints.html" TargetMode="External"/><Relationship Id="rId1123" Type="http://schemas.openxmlformats.org/officeDocument/2006/relationships/hyperlink" Target="https://www.elsevier.com/journals/tourism-management/0261-5177/guide-for-authors" TargetMode="External"/><Relationship Id="rId132" Type="http://schemas.openxmlformats.org/officeDocument/2006/relationships/hyperlink" Target="https://www.elsevier.com/about/policies/copyright" TargetMode="External"/><Relationship Id="rId784" Type="http://schemas.openxmlformats.org/officeDocument/2006/relationships/hyperlink" Target="https://www.nature.com/nmeth/for-referees/policies-and-processes" TargetMode="External"/><Relationship Id="rId991" Type="http://schemas.openxmlformats.org/officeDocument/2006/relationships/hyperlink" Target="https://www.elsevier.com/reviewers/role" TargetMode="External"/><Relationship Id="rId1067" Type="http://schemas.openxmlformats.org/officeDocument/2006/relationships/hyperlink" Target="http://ideas.cochrane.org/forums/326856-cochrane-style-manual/suggestions/18762079-referencing-preprints" TargetMode="External"/><Relationship Id="rId437" Type="http://schemas.openxmlformats.org/officeDocument/2006/relationships/hyperlink" Target="http://cvpr2019.thecvf.com/submission/main_conference/reviewer_guidelines" TargetMode="External"/><Relationship Id="rId644" Type="http://schemas.openxmlformats.org/officeDocument/2006/relationships/hyperlink" Target="https://www.elsevier.com/about/policies/copyright" TargetMode="External"/><Relationship Id="rId851" Type="http://schemas.openxmlformats.org/officeDocument/2006/relationships/hyperlink" Target="https://www.nature.com/authors/author_resources/transfer_manuscripts.html" TargetMode="External"/><Relationship Id="rId283" Type="http://schemas.openxmlformats.org/officeDocument/2006/relationships/hyperlink" Target="https://www.ahajournals.org/prior-publication-policy" TargetMode="External"/><Relationship Id="rId490" Type="http://schemas.openxmlformats.org/officeDocument/2006/relationships/hyperlink" Target="https://jamanetwork.com/journals/jama/pages/instructions-for-authors" TargetMode="External"/><Relationship Id="rId504" Type="http://schemas.openxmlformats.org/officeDocument/2006/relationships/hyperlink" Target="https://www.elsevier.com/reviewers/how-to-review" TargetMode="External"/><Relationship Id="rId711" Type="http://schemas.openxmlformats.org/officeDocument/2006/relationships/hyperlink" Target="https://www.nature.com/authors/policies/peer_review.html" TargetMode="External"/><Relationship Id="rId949" Type="http://schemas.openxmlformats.org/officeDocument/2006/relationships/hyperlink" Target="https://journals.aps.org/prx/referees/referee-response-physical-review-x" TargetMode="External"/><Relationship Id="rId1134" Type="http://schemas.openxmlformats.org/officeDocument/2006/relationships/hyperlink" Target="https://www.elsevier.com/journals/world-development/0305-750x/guide-for-authors" TargetMode="External"/><Relationship Id="rId78" Type="http://schemas.openxmlformats.org/officeDocument/2006/relationships/hyperlink" Target="https://www.cambridge.org/core/services/authors/journals/preparing-and-submitting-your-paper" TargetMode="External"/><Relationship Id="rId143" Type="http://schemas.openxmlformats.org/officeDocument/2006/relationships/hyperlink" Target="https://aip.scitation.org/apl/info/policies" TargetMode="External"/><Relationship Id="rId350" Type="http://schemas.openxmlformats.org/officeDocument/2006/relationships/hyperlink" Target="https://pubs.acs.org/paragonplus/submission/esthag/esthag_authguide.pdf" TargetMode="External"/><Relationship Id="rId588" Type="http://schemas.openxmlformats.org/officeDocument/2006/relationships/hyperlink" Target="https://us.sagepub.com/en-us/nam/reviewer-rewards" TargetMode="External"/><Relationship Id="rId795" Type="http://schemas.openxmlformats.org/officeDocument/2006/relationships/hyperlink" Target="https://www.nature.com/authors/policies/preprints.html" TargetMode="External"/><Relationship Id="rId809" Type="http://schemas.openxmlformats.org/officeDocument/2006/relationships/hyperlink" Target="https://www.nature.com/authors/policies/preprints.html" TargetMode="External"/><Relationship Id="rId9" Type="http://schemas.openxmlformats.org/officeDocument/2006/relationships/hyperlink" Target="https://pubs.acs.org/paragonplus/submission/aamick/aamick_authguide.pdf" TargetMode="External"/><Relationship Id="rId210" Type="http://schemas.openxmlformats.org/officeDocument/2006/relationships/hyperlink" Target="https://www.cell.com/cell/authors" TargetMode="External"/><Relationship Id="rId448" Type="http://schemas.openxmlformats.org/officeDocument/2006/relationships/hyperlink" Target="https://ieeeauthorcenter.ieee.org/publishing-ethics/guidelines-and-policies/policy-posting-your-article/" TargetMode="External"/><Relationship Id="rId655" Type="http://schemas.openxmlformats.org/officeDocument/2006/relationships/hyperlink" Target="https://uk.sagepub.com/en-gb/eur/journal/media-culture-society" TargetMode="External"/><Relationship Id="rId862" Type="http://schemas.openxmlformats.org/officeDocument/2006/relationships/hyperlink" Target="https://www.nature.com/authors/policies/peer_review.html" TargetMode="External"/><Relationship Id="rId1078" Type="http://schemas.openxmlformats.org/officeDocument/2006/relationships/hyperlink" Target="https://cdn.ymaws.com/www.afajof.org/resource/resmgr/files/Submission_docs/JF_Submission_Guidelines-Feb.pdf" TargetMode="External"/><Relationship Id="rId294" Type="http://schemas.openxmlformats.org/officeDocument/2006/relationships/hyperlink" Target="http://aacrjournals.org/site/Info/Reviewers.xhtml" TargetMode="External"/><Relationship Id="rId308" Type="http://schemas.openxmlformats.org/officeDocument/2006/relationships/hyperlink" Target="https://www.elsevier.com/reviewers/what-is-peer-review" TargetMode="External"/><Relationship Id="rId515" Type="http://schemas.openxmlformats.org/officeDocument/2006/relationships/hyperlink" Target="https://www.springer.com/philosophy/ethics+and+moral+philosophy/journal/10551" TargetMode="External"/><Relationship Id="rId722" Type="http://schemas.openxmlformats.org/officeDocument/2006/relationships/hyperlink" Target="https://www.nature.com/authors/policies/preprints.html" TargetMode="External"/><Relationship Id="rId1145" Type="http://schemas.openxmlformats.org/officeDocument/2006/relationships/comments" Target="../comments1.xml"/><Relationship Id="rId89" Type="http://schemas.openxmlformats.org/officeDocument/2006/relationships/hyperlink" Target="https://us.sagepub.com/en-us/nam/reviewer-rewards" TargetMode="External"/><Relationship Id="rId154" Type="http://schemas.openxmlformats.org/officeDocument/2006/relationships/hyperlink" Target="https://www.elsevier.com/reviewers/role" TargetMode="External"/><Relationship Id="rId361" Type="http://schemas.openxmlformats.org/officeDocument/2006/relationships/hyperlink" Target="https://www.elsevier.com/reviewers/what-is-peer-review" TargetMode="External"/><Relationship Id="rId599" Type="http://schemas.openxmlformats.org/officeDocument/2006/relationships/hyperlink" Target="http://www.rsc.org/journals-books-databases/journal-authors-reviewers/reviewer-responsibilities/" TargetMode="External"/><Relationship Id="rId1005" Type="http://schemas.openxmlformats.org/officeDocument/2006/relationships/hyperlink" Target="https://journals.aps.org/rmp/info/procedures.html" TargetMode="External"/><Relationship Id="rId459" Type="http://schemas.openxmlformats.org/officeDocument/2006/relationships/hyperlink" Target="https://ieeeauthorcenter.ieee.org/peer-review-at-ieee/ethics-in-peer-review/" TargetMode="External"/><Relationship Id="rId666" Type="http://schemas.openxmlformats.org/officeDocument/2006/relationships/hyperlink" Target="https://academic.oup.com/mnras/pages/General_Instructions" TargetMode="External"/><Relationship Id="rId873" Type="http://schemas.openxmlformats.org/officeDocument/2006/relationships/hyperlink" Target="https://www.elsevier.com/reviewers/role" TargetMode="External"/><Relationship Id="rId1089" Type="http://schemas.openxmlformats.org/officeDocument/2006/relationships/hyperlink" Target="https://www.thelancet.com/lancet/about" TargetMode="External"/><Relationship Id="rId16" Type="http://schemas.openxmlformats.org/officeDocument/2006/relationships/hyperlink" Target="https://pubs.acs.org/paragonplus/submission/achre4/achre4_authguide.pdf" TargetMode="External"/><Relationship Id="rId221" Type="http://schemas.openxmlformats.org/officeDocument/2006/relationships/hyperlink" Target="https://www.cell.com/cell-metabolism/authors" TargetMode="External"/><Relationship Id="rId319" Type="http://schemas.openxmlformats.org/officeDocument/2006/relationships/hyperlink" Target="http://www.diabetesjournals.org/content/journal-policies" TargetMode="External"/><Relationship Id="rId526" Type="http://schemas.openxmlformats.org/officeDocument/2006/relationships/hyperlink" Target="https://www.elsevier.com/about/policies/sharing" TargetMode="External"/><Relationship Id="rId733" Type="http://schemas.openxmlformats.org/officeDocument/2006/relationships/hyperlink" Target="https://www.nature.com/ncomms/journal-policies/guide-to-referees" TargetMode="External"/><Relationship Id="rId940" Type="http://schemas.openxmlformats.org/officeDocument/2006/relationships/hyperlink" Target="https://journals.aps.org/prl/authors/editorial-policies-practices" TargetMode="External"/><Relationship Id="rId1016" Type="http://schemas.openxmlformats.org/officeDocument/2006/relationships/hyperlink" Target="https://www.sciencemag.org/authors/peer-review-science-publications" TargetMode="External"/><Relationship Id="rId165" Type="http://schemas.openxmlformats.org/officeDocument/2006/relationships/hyperlink" Target="https://www.bmj.com/about-bmj/resources-reviewers" TargetMode="External"/><Relationship Id="rId372" Type="http://schemas.openxmlformats.org/officeDocument/2006/relationships/hyperlink" Target="https://www.elsevier.com/reviewers/what-is-peer-review" TargetMode="External"/><Relationship Id="rId677" Type="http://schemas.openxmlformats.org/officeDocument/2006/relationships/hyperlink" Target="http://www.rsc.org/journals-books-databases/journal-authors-reviewers/reviewer-responsibilities/" TargetMode="External"/><Relationship Id="rId800" Type="http://schemas.openxmlformats.org/officeDocument/2006/relationships/hyperlink" Target="https://www.nature.com/authors/peer_review/index.html" TargetMode="External"/><Relationship Id="rId232" Type="http://schemas.openxmlformats.org/officeDocument/2006/relationships/hyperlink" Target="https://publons.com/journal/586/cell-stem-cell" TargetMode="External"/><Relationship Id="rId884" Type="http://schemas.openxmlformats.org/officeDocument/2006/relationships/hyperlink" Target="https://www.cell.com/neuron/authors" TargetMode="External"/><Relationship Id="rId27" Type="http://schemas.openxmlformats.org/officeDocument/2006/relationships/hyperlink" Target="http://aom.org/uploadedFiles/Publications/AMJ/07_Colquitt_IrelandApr09FTE.pdf" TargetMode="External"/><Relationship Id="rId537" Type="http://schemas.openxmlformats.org/officeDocument/2006/relationships/hyperlink" Target="https://www.elsevier.com/about/policies/sharing" TargetMode="External"/><Relationship Id="rId744" Type="http://schemas.openxmlformats.org/officeDocument/2006/relationships/hyperlink" Target="https://www.nature.com/authors/policies/peer_review.html" TargetMode="External"/><Relationship Id="rId951" Type="http://schemas.openxmlformats.org/officeDocument/2006/relationships/hyperlink" Target="https://journals.aps.org/prx/referees/referee-response-physical-review-x" TargetMode="External"/><Relationship Id="rId80" Type="http://schemas.openxmlformats.org/officeDocument/2006/relationships/hyperlink" Target="https://www.apsanet.org/APSR-Submission-Guidelines" TargetMode="External"/><Relationship Id="rId176" Type="http://schemas.openxmlformats.org/officeDocument/2006/relationships/hyperlink" Target="https://authors.bmj.com/policies/peer-review-terms-and-conditions/" TargetMode="External"/><Relationship Id="rId383" Type="http://schemas.openxmlformats.org/officeDocument/2006/relationships/hyperlink" Target="https://publications.agu.org/reviewer-resources/" TargetMode="External"/><Relationship Id="rId590" Type="http://schemas.openxmlformats.org/officeDocument/2006/relationships/hyperlink" Target="https://us.sagepub.com/en-us/nam/prior-publication" TargetMode="External"/><Relationship Id="rId604" Type="http://schemas.openxmlformats.org/officeDocument/2006/relationships/hyperlink" Target="https://www.elsevier.com/authors/journal-authors/submit-your-paper/submit-and-revise/article-transfer-service" TargetMode="External"/><Relationship Id="rId811" Type="http://schemas.openxmlformats.org/officeDocument/2006/relationships/hyperlink" Target="https://www.nature.com/nphoton/for-referees/policies-and-processes" TargetMode="External"/><Relationship Id="rId1027" Type="http://schemas.openxmlformats.org/officeDocument/2006/relationships/hyperlink" Target="https://stm.sciencemag.org/content/information-reviewers" TargetMode="External"/><Relationship Id="rId243" Type="http://schemas.openxmlformats.org/officeDocument/2006/relationships/hyperlink" Target="http://www.rsc.org/journals-books-databases/journal-authors-reviewers/reviewer-responsibilities/" TargetMode="External"/><Relationship Id="rId450" Type="http://schemas.openxmlformats.org/officeDocument/2006/relationships/hyperlink" Target="https://ieeeauthorcenter.ieee.org/publishing-ethics/guidelines-and-policies/policy-posting-your-article/" TargetMode="External"/><Relationship Id="rId688" Type="http://schemas.openxmlformats.org/officeDocument/2006/relationships/hyperlink" Target="https://www.nature.com/authors/policies/peer_review.html" TargetMode="External"/><Relationship Id="rId895" Type="http://schemas.openxmlformats.org/officeDocument/2006/relationships/hyperlink" Target="https://us.sagepub.com/en-us/nam/journal/new-media-society" TargetMode="External"/><Relationship Id="rId909" Type="http://schemas.openxmlformats.org/officeDocument/2006/relationships/hyperlink" Target="http://arxiv.org/" TargetMode="External"/><Relationship Id="rId1080" Type="http://schemas.openxmlformats.org/officeDocument/2006/relationships/hyperlink" Target="https://authorservices.wiley.com/Reviewers/journal-reviewers/how-to-perform-a-peer-review/general-and-ethical-guidelines.html" TargetMode="External"/><Relationship Id="rId38" Type="http://schemas.openxmlformats.org/officeDocument/2006/relationships/hyperlink" Target="https://pubs.acs.org/userimages/ContentEditor/1218054468605/ethics.pdf" TargetMode="External"/><Relationship Id="rId103" Type="http://schemas.openxmlformats.org/officeDocument/2006/relationships/hyperlink" Target="http://annals.org/aim/pages/authors" TargetMode="External"/><Relationship Id="rId310" Type="http://schemas.openxmlformats.org/officeDocument/2006/relationships/hyperlink" Target="https://www.elsevier.com/journals/computers-and-education/0360-1315/guide-for-authors" TargetMode="External"/><Relationship Id="rId548" Type="http://schemas.openxmlformats.org/officeDocument/2006/relationships/hyperlink" Target="https://academic.oup.com/joc/pages/General_Instructions" TargetMode="External"/><Relationship Id="rId755" Type="http://schemas.openxmlformats.org/officeDocument/2006/relationships/hyperlink" Target="https://www.nature.com/ni/for-referees/policies-and-processes" TargetMode="External"/><Relationship Id="rId962" Type="http://schemas.openxmlformats.org/officeDocument/2006/relationships/hyperlink" Target="https://journals.plos.org/plosone/s/reviewer-guidelines" TargetMode="External"/><Relationship Id="rId91" Type="http://schemas.openxmlformats.org/officeDocument/2006/relationships/hyperlink" Target="https://us.sagepub.com/en-us/nam/prior-publication" TargetMode="External"/><Relationship Id="rId187" Type="http://schemas.openxmlformats.org/officeDocument/2006/relationships/hyperlink" Target="https://www.cell.com/pb-assets/shared/guidelines/cell_press_navigator.pdf" TargetMode="External"/><Relationship Id="rId394" Type="http://schemas.openxmlformats.org/officeDocument/2006/relationships/hyperlink" Target="https://www.elsevier.com/reviewers/what-is-peer-review" TargetMode="External"/><Relationship Id="rId408" Type="http://schemas.openxmlformats.org/officeDocument/2006/relationships/hyperlink" Target="https://gut.bmj.com/pages/authors/" TargetMode="External"/><Relationship Id="rId615" Type="http://schemas.openxmlformats.org/officeDocument/2006/relationships/hyperlink" Target="http://www.onlinejacc.org/content/73/2/A28" TargetMode="External"/><Relationship Id="rId822" Type="http://schemas.openxmlformats.org/officeDocument/2006/relationships/hyperlink" Target="https://www.nature.com/nphys/for-referees/policies-and-processes" TargetMode="External"/><Relationship Id="rId1038" Type="http://schemas.openxmlformats.org/officeDocument/2006/relationships/hyperlink" Target="https://www.nature.com/srep/journal-policies/editorial-policies?draft=journal&amp;target=content" TargetMode="External"/><Relationship Id="rId254" Type="http://schemas.openxmlformats.org/officeDocument/2006/relationships/hyperlink" Target="https://pubs.acs.org/page/chreay/submission/prior.html" TargetMode="External"/><Relationship Id="rId699" Type="http://schemas.openxmlformats.org/officeDocument/2006/relationships/hyperlink" Target="https://www.nature.com/nbt/for-referees/policies-and-processes" TargetMode="External"/><Relationship Id="rId1091" Type="http://schemas.openxmlformats.org/officeDocument/2006/relationships/hyperlink" Target="https://www.thelancet.com/pb/assets/raw/Lancet/authors/lancet-information-for-authors.pdf" TargetMode="External"/><Relationship Id="rId1105" Type="http://schemas.openxmlformats.org/officeDocument/2006/relationships/hyperlink" Target="https://els-jbs-prod-cdn.literatumonline.com/pb/assets/raw/Lancet/authors/tlo-info-for-authors-1541596062097.pdf" TargetMode="External"/><Relationship Id="rId49" Type="http://schemas.openxmlformats.org/officeDocument/2006/relationships/hyperlink" Target="https://application.wiley-vch.de/util/cta/physsci-en.pdf" TargetMode="External"/><Relationship Id="rId114" Type="http://schemas.openxmlformats.org/officeDocument/2006/relationships/hyperlink" Target="https://authors.bmj.com/policies/publication-embargo/" TargetMode="External"/><Relationship Id="rId461" Type="http://schemas.openxmlformats.org/officeDocument/2006/relationships/hyperlink" Target="https://ieeeauthorcenter.ieee.org/publishing-ethics/guidelines-and-policies/policy-posting-your-article/" TargetMode="External"/><Relationship Id="rId559" Type="http://schemas.openxmlformats.org/officeDocument/2006/relationships/hyperlink" Target="https://www.aeaweb.org/journals/jep/submissions" TargetMode="External"/><Relationship Id="rId766" Type="http://schemas.openxmlformats.org/officeDocument/2006/relationships/hyperlink" Target="https://www.nature.com/authors/policies/peer_review.html" TargetMode="External"/><Relationship Id="rId198" Type="http://schemas.openxmlformats.org/officeDocument/2006/relationships/hyperlink" Target="http://aacrjournals.org/content/authors/editorial-policies" TargetMode="External"/><Relationship Id="rId321" Type="http://schemas.openxmlformats.org/officeDocument/2006/relationships/hyperlink" Target="http://www.diabetesjournals.org/content/journal-policies" TargetMode="External"/><Relationship Id="rId419" Type="http://schemas.openxmlformats.org/officeDocument/2006/relationships/hyperlink" Target="https://www.healthaffairs.org/help-for-authors" TargetMode="External"/><Relationship Id="rId626" Type="http://schemas.openxmlformats.org/officeDocument/2006/relationships/hyperlink" Target="https://www.tandfonline.com/action/authorSubmission?journalCode=rjop20&amp;page=instructions" TargetMode="External"/><Relationship Id="rId973" Type="http://schemas.openxmlformats.org/officeDocument/2006/relationships/hyperlink" Target="https://journals.sagepub.com/page/resources/reviewers" TargetMode="External"/><Relationship Id="rId1049" Type="http://schemas.openxmlformats.org/officeDocument/2006/relationships/hyperlink" Target="https://www.springer.com/philosophy/epistemology+and+philosophy+of+science/journal/11229" TargetMode="External"/><Relationship Id="rId833" Type="http://schemas.openxmlformats.org/officeDocument/2006/relationships/hyperlink" Target="https://www.nature.com/nrc/for-referees" TargetMode="External"/><Relationship Id="rId1116" Type="http://schemas.openxmlformats.org/officeDocument/2006/relationships/hyperlink" Target="https://academic.oup.com/eurheartj/pages/Manuscript_Sharing" TargetMode="External"/><Relationship Id="rId265" Type="http://schemas.openxmlformats.org/officeDocument/2006/relationships/hyperlink" Target="http://www.rsc.org/journals-books-databases/journal-authors-reviewers/reviewer-responsibilities/" TargetMode="External"/><Relationship Id="rId472" Type="http://schemas.openxmlformats.org/officeDocument/2006/relationships/hyperlink" Target="https://www.cell.com/immunity/authors" TargetMode="External"/><Relationship Id="rId900" Type="http://schemas.openxmlformats.org/officeDocument/2006/relationships/hyperlink" Target="https://authorservices.wiley.com/author-resources/Journal-Authors/open-access/preprints-policy.html" TargetMode="External"/><Relationship Id="rId125" Type="http://schemas.openxmlformats.org/officeDocument/2006/relationships/hyperlink" Target="https://www.elsevier.com/reviewers/role" TargetMode="External"/><Relationship Id="rId332" Type="http://schemas.openxmlformats.org/officeDocument/2006/relationships/hyperlink" Target="https://www.tandfonline.com/action/authorSubmission?journalCode=rdij20&amp;page=instructions" TargetMode="External"/><Relationship Id="rId777" Type="http://schemas.openxmlformats.org/officeDocument/2006/relationships/hyperlink" Target="https://www.nature.com/authors/policies/peer_review.html" TargetMode="External"/><Relationship Id="rId984" Type="http://schemas.openxmlformats.org/officeDocument/2006/relationships/hyperlink" Target="https://authorservices.taylorandfrancis.com/what-to-expect-during-peer-review/" TargetMode="External"/><Relationship Id="rId637" Type="http://schemas.openxmlformats.org/officeDocument/2006/relationships/hyperlink" Target="https://www.elsevier.com/about/policies/copyright/permissions" TargetMode="External"/><Relationship Id="rId844" Type="http://schemas.openxmlformats.org/officeDocument/2006/relationships/hyperlink" Target="https://www.nature.com/authors/policies/peer_review.html" TargetMode="External"/><Relationship Id="rId276" Type="http://schemas.openxmlformats.org/officeDocument/2006/relationships/hyperlink" Target="https://pubs.acs.org/page/cmatex/submission/prior.html" TargetMode="External"/><Relationship Id="rId483" Type="http://schemas.openxmlformats.org/officeDocument/2006/relationships/hyperlink" Target="https://www.elsevier.com/journals/international-journal-of-production-economics/0925-5273?generatepdf=true" TargetMode="External"/><Relationship Id="rId690" Type="http://schemas.openxmlformats.org/officeDocument/2006/relationships/hyperlink" Target="https://www.nature.com/nature/for-referees/policies-and-processes" TargetMode="External"/><Relationship Id="rId704" Type="http://schemas.openxmlformats.org/officeDocument/2006/relationships/hyperlink" Target="https://www.nature.com/authors/policies/preprints.html" TargetMode="External"/><Relationship Id="rId911" Type="http://schemas.openxmlformats.org/officeDocument/2006/relationships/hyperlink" Target="https://www.osapublishing.org/submit/review/peer_review.cfm" TargetMode="External"/><Relationship Id="rId1127" Type="http://schemas.openxmlformats.org/officeDocument/2006/relationships/hyperlink" Target="https://www.elsevier.com/about/policies/copyright" TargetMode="External"/><Relationship Id="rId40" Type="http://schemas.openxmlformats.org/officeDocument/2006/relationships/hyperlink" Target="https://pubs.acs.org/page/policy/manuscript_transfer/index.html" TargetMode="External"/><Relationship Id="rId136" Type="http://schemas.openxmlformats.org/officeDocument/2006/relationships/hyperlink" Target="https://www.elsevier.com/about/policies/sharing" TargetMode="External"/><Relationship Id="rId343" Type="http://schemas.openxmlformats.org/officeDocument/2006/relationships/hyperlink" Target="http://www.rsc.org/journals-books-databases/journal-authors-reviewers/licences-copyright-permissions/" TargetMode="External"/><Relationship Id="rId550" Type="http://schemas.openxmlformats.org/officeDocument/2006/relationships/hyperlink" Target="https://publishingsupport.iopscience.iop.org/becoming-a-journal-reviewer/" TargetMode="External"/><Relationship Id="rId788" Type="http://schemas.openxmlformats.org/officeDocument/2006/relationships/hyperlink" Target="https://www.nature.com/authors/author_resources/transfer_manuscripts.html" TargetMode="External"/><Relationship Id="rId995" Type="http://schemas.openxmlformats.org/officeDocument/2006/relationships/hyperlink" Target="https://www.elsevier.com/reviewers/role" TargetMode="External"/><Relationship Id="rId203" Type="http://schemas.openxmlformats.org/officeDocument/2006/relationships/hyperlink" Target="http://aacrjournals.org/content/authors/editorial-policies" TargetMode="External"/><Relationship Id="rId648" Type="http://schemas.openxmlformats.org/officeDocument/2006/relationships/hyperlink" Target="https://www.elsevier.com/reviewers/what-is-peer-review" TargetMode="External"/><Relationship Id="rId855" Type="http://schemas.openxmlformats.org/officeDocument/2006/relationships/hyperlink" Target="https://www.nature.com/nrg/for-referees" TargetMode="External"/><Relationship Id="rId1040" Type="http://schemas.openxmlformats.org/officeDocument/2006/relationships/hyperlink" Target="https://www.nature.com/authors/author_resources/transfer_manuscripts.html" TargetMode="External"/><Relationship Id="rId287" Type="http://schemas.openxmlformats.org/officeDocument/2006/relationships/hyperlink" Target="https://www.ahajournals.org/pb-assets/Ethical%20ConductPolicyApril2017finalWeb.pdf" TargetMode="External"/><Relationship Id="rId410" Type="http://schemas.openxmlformats.org/officeDocument/2006/relationships/hyperlink" Target="https://authors.bmj.com/policies/preprints/" TargetMode="External"/><Relationship Id="rId494" Type="http://schemas.openxmlformats.org/officeDocument/2006/relationships/hyperlink" Target="https://www.jacionline.org/content/authorinfo" TargetMode="External"/><Relationship Id="rId508" Type="http://schemas.openxmlformats.org/officeDocument/2006/relationships/hyperlink" Target="https://www.elsevier.com/reviewers/role" TargetMode="External"/><Relationship Id="rId715" Type="http://schemas.openxmlformats.org/officeDocument/2006/relationships/hyperlink" Target="https://www.nature.com/authors/policies/peer_review.html" TargetMode="External"/><Relationship Id="rId922" Type="http://schemas.openxmlformats.org/officeDocument/2006/relationships/hyperlink" Target="https://www.springer.com/philosophy/journal/11098" TargetMode="External"/><Relationship Id="rId1138" Type="http://schemas.openxmlformats.org/officeDocument/2006/relationships/hyperlink" Target="https://www.elsevier.com/about/policies/copyright" TargetMode="External"/><Relationship Id="rId147" Type="http://schemas.openxmlformats.org/officeDocument/2006/relationships/hyperlink" Target="https://www.aanda.org/author-information" TargetMode="External"/><Relationship Id="rId354" Type="http://schemas.openxmlformats.org/officeDocument/2006/relationships/hyperlink" Target="https://academic.oup.com/eurheartj/pages/Manuscript_Sharing" TargetMode="External"/><Relationship Id="rId799" Type="http://schemas.openxmlformats.org/officeDocument/2006/relationships/hyperlink" Target="https://www.nature.com/authors/policies/preprints.html" TargetMode="External"/><Relationship Id="rId51" Type="http://schemas.openxmlformats.org/officeDocument/2006/relationships/hyperlink" Target="https://wol-prod-cdn.literatumonline.com/pb-assets/assets/16163028/AFM-guide-for-authors-may-2018-1526994585463.pdf" TargetMode="External"/><Relationship Id="rId561" Type="http://schemas.openxmlformats.org/officeDocument/2006/relationships/hyperlink" Target="https://www.elsevier.com/reviewers/role" TargetMode="External"/><Relationship Id="rId659" Type="http://schemas.openxmlformats.org/officeDocument/2006/relationships/hyperlink" Target="https://www.cell.com/molecular-cell/authors" TargetMode="External"/><Relationship Id="rId866" Type="http://schemas.openxmlformats.org/officeDocument/2006/relationships/hyperlink" Target="https://www.nature.com/nrg/for-referees" TargetMode="External"/><Relationship Id="rId214" Type="http://schemas.openxmlformats.org/officeDocument/2006/relationships/hyperlink" Target="https://www.cell.com/reviewers" TargetMode="External"/><Relationship Id="rId298" Type="http://schemas.openxmlformats.org/officeDocument/2006/relationships/hyperlink" Target="https://ccr.msubmit.net/cgi-bin/main.plex?form_type=display_rev_instructions" TargetMode="External"/><Relationship Id="rId421" Type="http://schemas.openxmlformats.org/officeDocument/2006/relationships/hyperlink" Target="https://aasldpubs.onlinelibrary.wiley.com/hub/journal/15273350/about/author-guidelines" TargetMode="External"/><Relationship Id="rId519" Type="http://schemas.openxmlformats.org/officeDocument/2006/relationships/hyperlink" Target="https://www.elsevier.com/reviewers/how-to-review" TargetMode="External"/><Relationship Id="rId1051" Type="http://schemas.openxmlformats.org/officeDocument/2006/relationships/hyperlink" Target="https://www.springer.com/philosophy/epistemology+and+philosophy+of+science/journal/11229" TargetMode="External"/><Relationship Id="rId158" Type="http://schemas.openxmlformats.org/officeDocument/2006/relationships/hyperlink" Target="http://www.bloodjournal.org/page/authors/author-guide/peer-review" TargetMode="External"/><Relationship Id="rId726" Type="http://schemas.openxmlformats.org/officeDocument/2006/relationships/hyperlink" Target="https://www.nature.com/nclimate/for-referees/policies-and-processes" TargetMode="External"/><Relationship Id="rId933" Type="http://schemas.openxmlformats.org/officeDocument/2006/relationships/hyperlink" Target="https://journals.aps.org/prd/authors/editorial-policies-practices" TargetMode="External"/><Relationship Id="rId1009" Type="http://schemas.openxmlformats.org/officeDocument/2006/relationships/hyperlink" Target="https://journals.aps.org/rmp/info/procedures.html" TargetMode="External"/><Relationship Id="rId62" Type="http://schemas.openxmlformats.org/officeDocument/2006/relationships/hyperlink" Target="https://www.aeaweb.org/content/file?id=222" TargetMode="External"/><Relationship Id="rId365" Type="http://schemas.openxmlformats.org/officeDocument/2006/relationships/hyperlink" Target="https://www.gastrojournal.org/content/authorinfo" TargetMode="External"/><Relationship Id="rId572" Type="http://schemas.openxmlformats.org/officeDocument/2006/relationships/hyperlink" Target="https://publications.agu.org/reviewer-resources/review-criteria" TargetMode="External"/><Relationship Id="rId225" Type="http://schemas.openxmlformats.org/officeDocument/2006/relationships/hyperlink" Target="https://www.cell.com/reviewers" TargetMode="External"/><Relationship Id="rId432" Type="http://schemas.openxmlformats.org/officeDocument/2006/relationships/hyperlink" Target="https://www.comsoc.org/publications/journals/ieee-comst/guidelines-reviewers" TargetMode="External"/><Relationship Id="rId877" Type="http://schemas.openxmlformats.org/officeDocument/2006/relationships/hyperlink" Target="https://www.elsevier.com/about/policies/sharing" TargetMode="External"/><Relationship Id="rId1062" Type="http://schemas.openxmlformats.org/officeDocument/2006/relationships/hyperlink" Target="https://authorservices.wiley.com/Reviewers/journal-reviewers/recognition-for-reviewers/index.html" TargetMode="External"/><Relationship Id="rId737" Type="http://schemas.openxmlformats.org/officeDocument/2006/relationships/hyperlink" Target="https://www.nature.com/ncomms/journal-policies/guide-to-referees" TargetMode="External"/><Relationship Id="rId944" Type="http://schemas.openxmlformats.org/officeDocument/2006/relationships/hyperlink" Target="https://journals.aps.org/prl/authors/editorial-policies-practices" TargetMode="External"/><Relationship Id="rId73" Type="http://schemas.openxmlformats.org/officeDocument/2006/relationships/hyperlink" Target="https://ajph.aphapublications.org/page/authors.html" TargetMode="External"/><Relationship Id="rId169" Type="http://schemas.openxmlformats.org/officeDocument/2006/relationships/hyperlink" Target="https://authors.bmj.com/policies/peer-review-terms-and-conditions/" TargetMode="External"/><Relationship Id="rId376" Type="http://schemas.openxmlformats.org/officeDocument/2006/relationships/hyperlink" Target="https://uk.sagepub.com/en-gb/eur/online-submission-peer-review-system" TargetMode="External"/><Relationship Id="rId583" Type="http://schemas.openxmlformats.org/officeDocument/2006/relationships/hyperlink" Target="https://journals.sagepub.com/pb-assets/cmscontent/JOM/JOM_Style_Guide_revised_2017.pdf" TargetMode="External"/><Relationship Id="rId790" Type="http://schemas.openxmlformats.org/officeDocument/2006/relationships/hyperlink" Target="https://www.nature.com/authors/peer_review/index.html" TargetMode="External"/><Relationship Id="rId804" Type="http://schemas.openxmlformats.org/officeDocument/2006/relationships/hyperlink" Target="https://www.nature.com/neuro/for-referees/policies-and-processes" TargetMode="External"/><Relationship Id="rId4" Type="http://schemas.openxmlformats.org/officeDocument/2006/relationships/hyperlink" Target="https://journals.lww.com/academicmedicine/Pages/InstructionsforAuthors.aspx" TargetMode="External"/><Relationship Id="rId236" Type="http://schemas.openxmlformats.org/officeDocument/2006/relationships/hyperlink" Target="https://www.cell.com/cancer-cell/authors" TargetMode="External"/><Relationship Id="rId443" Type="http://schemas.openxmlformats.org/officeDocument/2006/relationships/hyperlink" Target="http://iccv2019.thecvf.com/submission/main_conference/reviewer_guidelines" TargetMode="External"/><Relationship Id="rId650" Type="http://schemas.openxmlformats.org/officeDocument/2006/relationships/hyperlink" Target="https://www.misq.org/skin/frontend/default/misq/pdf/ReviewerRole.pdf" TargetMode="External"/><Relationship Id="rId888" Type="http://schemas.openxmlformats.org/officeDocument/2006/relationships/hyperlink" Target="https://www.cell.com/reviewers" TargetMode="External"/><Relationship Id="rId1073" Type="http://schemas.openxmlformats.org/officeDocument/2006/relationships/hyperlink" Target="https://www.jci.org/kiosks/authors" TargetMode="External"/><Relationship Id="rId303" Type="http://schemas.openxmlformats.org/officeDocument/2006/relationships/hyperlink" Target="http://aacrjournals.org/content/authors/editorial-policies" TargetMode="External"/><Relationship Id="rId748" Type="http://schemas.openxmlformats.org/officeDocument/2006/relationships/hyperlink" Target="https://www.nature.com/authors/policies/peer_review.html" TargetMode="External"/><Relationship Id="rId955" Type="http://schemas.openxmlformats.org/officeDocument/2006/relationships/hyperlink" Target="https://www.elsevier.com/journals/physics-letters-b/0370-2693/guide-for-authors" TargetMode="External"/><Relationship Id="rId1140" Type="http://schemas.openxmlformats.org/officeDocument/2006/relationships/hyperlink" Target="https://www.elsevier.com/reviewers/role" TargetMode="External"/><Relationship Id="rId84" Type="http://schemas.openxmlformats.org/officeDocument/2006/relationships/hyperlink" Target="https://journals.sagepub.com/page/help/online-first" TargetMode="External"/><Relationship Id="rId387" Type="http://schemas.openxmlformats.org/officeDocument/2006/relationships/hyperlink" Target="https://publications.agu.org/reviewer-resources/" TargetMode="External"/><Relationship Id="rId510" Type="http://schemas.openxmlformats.org/officeDocument/2006/relationships/hyperlink" Target="https://www.elsevier.com/reviewers/how-to-review" TargetMode="External"/><Relationship Id="rId594" Type="http://schemas.openxmlformats.org/officeDocument/2006/relationships/hyperlink" Target="http://www.rsc.org/journals-books-databases/journal-authors-reviewers/reviewer-responsibilities/" TargetMode="External"/><Relationship Id="rId608" Type="http://schemas.openxmlformats.org/officeDocument/2006/relationships/hyperlink" Target="https://pubs.acs.org/page/jacsat/submission/prior.html" TargetMode="External"/><Relationship Id="rId815" Type="http://schemas.openxmlformats.org/officeDocument/2006/relationships/hyperlink" Target="https://www.nature.com/nphoton/for-referees/policies-and-processes" TargetMode="External"/><Relationship Id="rId247" Type="http://schemas.openxmlformats.org/officeDocument/2006/relationships/hyperlink" Target="http://www.rsc.org/journals-books-databases/about-journals/chemcomm/" TargetMode="External"/><Relationship Id="rId899" Type="http://schemas.openxmlformats.org/officeDocument/2006/relationships/hyperlink" Target="https://onlinelibrary.wiley.com/page/journal/14680068/homepage/forauthors.html" TargetMode="External"/><Relationship Id="rId1000" Type="http://schemas.openxmlformats.org/officeDocument/2006/relationships/hyperlink" Target="https://www.elsevier.com/reviewers/role" TargetMode="External"/><Relationship Id="rId1084" Type="http://schemas.openxmlformats.org/officeDocument/2006/relationships/hyperlink" Target="https://pubs.acs.org/userimages/ContentEditor/1218054468605/ethics.pdf" TargetMode="External"/><Relationship Id="rId107" Type="http://schemas.openxmlformats.org/officeDocument/2006/relationships/hyperlink" Target="https://academic.oup.com/journals/pages/access_purchase/rights_and_permissions/author_self_archiving_policy" TargetMode="External"/><Relationship Id="rId454" Type="http://schemas.openxmlformats.org/officeDocument/2006/relationships/hyperlink" Target="https://ieeeauthorcenter.ieee.org/publishing-ethics/guidelines-and-policies/policy-posting-your-article/" TargetMode="External"/><Relationship Id="rId661" Type="http://schemas.openxmlformats.org/officeDocument/2006/relationships/hyperlink" Target="https://www.cell.com/molecular-cell/authors" TargetMode="External"/><Relationship Id="rId759" Type="http://schemas.openxmlformats.org/officeDocument/2006/relationships/hyperlink" Target="https://www.nature.com/authors/author_resources/transfer_manuscripts.html" TargetMode="External"/><Relationship Id="rId966" Type="http://schemas.openxmlformats.org/officeDocument/2006/relationships/hyperlink" Target="https://journals.plos.org/plosone/s/reviewer-guidelines" TargetMode="External"/><Relationship Id="rId11" Type="http://schemas.openxmlformats.org/officeDocument/2006/relationships/hyperlink" Target="https://pubs.acs.org/paragonplus/submission/aamick/aamick_authguide.pdf" TargetMode="External"/><Relationship Id="rId314" Type="http://schemas.openxmlformats.org/officeDocument/2006/relationships/hyperlink" Target="https://www.elsevier.com/reviewers/role" TargetMode="External"/><Relationship Id="rId398" Type="http://schemas.openxmlformats.org/officeDocument/2006/relationships/hyperlink" Target="https://www.journals.elsevier.com/government-information-quarterly/announcements" TargetMode="External"/><Relationship Id="rId521" Type="http://schemas.openxmlformats.org/officeDocument/2006/relationships/hyperlink" Target="https://www.elsevier.com/about/policies/sharing" TargetMode="External"/><Relationship Id="rId619" Type="http://schemas.openxmlformats.org/officeDocument/2006/relationships/hyperlink" Target="https://us.sagepub.com/en-us/nam/reviewer-rewards" TargetMode="External"/><Relationship Id="rId95" Type="http://schemas.openxmlformats.org/officeDocument/2006/relationships/hyperlink" Target="https://authorservices.wiley.com/Reviewers/journal-reviewers/recognition-for-reviewers/index.html" TargetMode="External"/><Relationship Id="rId160" Type="http://schemas.openxmlformats.org/officeDocument/2006/relationships/hyperlink" Target="http://www.bloodjournal.org/page/authors/author-guide/peer-review" TargetMode="External"/><Relationship Id="rId826" Type="http://schemas.openxmlformats.org/officeDocument/2006/relationships/hyperlink" Target="https://www.nature.com/nphys/for-referees/policies-and-processes" TargetMode="External"/><Relationship Id="rId1011" Type="http://schemas.openxmlformats.org/officeDocument/2006/relationships/hyperlink" Target="http://www.sciencemag.org/authors/science-information-authors" TargetMode="External"/><Relationship Id="rId1109" Type="http://schemas.openxmlformats.org/officeDocument/2006/relationships/hyperlink" Target="https://authorservices.wiley.com/Reviewers/journal-reviewers/recognition-for-reviewers/index.html" TargetMode="External"/><Relationship Id="rId258" Type="http://schemas.openxmlformats.org/officeDocument/2006/relationships/hyperlink" Target="https://pubs.acs.org/page/chreay/submission/prior.html" TargetMode="External"/><Relationship Id="rId465" Type="http://schemas.openxmlformats.org/officeDocument/2006/relationships/hyperlink" Target="https://signalprocessingsociety.org/publications-resources/publications-faq" TargetMode="External"/><Relationship Id="rId672" Type="http://schemas.openxmlformats.org/officeDocument/2006/relationships/hyperlink" Target="https://pubs.acs.org/page/nalefd/submission/prior.html" TargetMode="External"/><Relationship Id="rId1095" Type="http://schemas.openxmlformats.org/officeDocument/2006/relationships/hyperlink" Target="https://els-jbs-prod-cdn.literatumonline.com/pb/assets/raw/Lancet/authors/tln-info-for-authors-1541596047120.pdf" TargetMode="External"/><Relationship Id="rId22" Type="http://schemas.openxmlformats.org/officeDocument/2006/relationships/hyperlink" Target="https://pubs.acs.org/page/policy/manuscript_transfer/index.html" TargetMode="External"/><Relationship Id="rId118" Type="http://schemas.openxmlformats.org/officeDocument/2006/relationships/hyperlink" Target="https://authors.bmj.com/policies/peer-review-terms-and-conditions/" TargetMode="External"/><Relationship Id="rId325" Type="http://schemas.openxmlformats.org/officeDocument/2006/relationships/hyperlink" Target="http://www.diabetesjournals.org/for-reviewers" TargetMode="External"/><Relationship Id="rId532" Type="http://schemas.openxmlformats.org/officeDocument/2006/relationships/hyperlink" Target="https://www.elsevier.com/about/policies/sharing" TargetMode="External"/><Relationship Id="rId977" Type="http://schemas.openxmlformats.org/officeDocument/2006/relationships/hyperlink" Target="https://uk.sagepub.com/en-gb/eur/journal/progress-human-geography" TargetMode="External"/><Relationship Id="rId171" Type="http://schemas.openxmlformats.org/officeDocument/2006/relationships/hyperlink" Target="https://www.bmj.com/about-bmj/resources-reviewers/guidance-patient-reviewers" TargetMode="External"/><Relationship Id="rId837" Type="http://schemas.openxmlformats.org/officeDocument/2006/relationships/hyperlink" Target="https://www.nature.com/authors/author_resources/transfer_manuscripts.html" TargetMode="External"/><Relationship Id="rId1022" Type="http://schemas.openxmlformats.org/officeDocument/2006/relationships/hyperlink" Target="http://www.sciencemag.org/authors/science-information-authors" TargetMode="External"/><Relationship Id="rId269" Type="http://schemas.openxmlformats.org/officeDocument/2006/relationships/hyperlink" Target="http://www.rsc.org/journals-books-databases/journal-authors-reviewers/processes-policies/" TargetMode="External"/><Relationship Id="rId476" Type="http://schemas.openxmlformats.org/officeDocument/2006/relationships/hyperlink" Target="https://www.cell.com/immunity/authors" TargetMode="External"/><Relationship Id="rId683" Type="http://schemas.openxmlformats.org/officeDocument/2006/relationships/hyperlink" Target="http://www.rsc.org/journals-books-databases/journal-authors-reviewers/processes-policies/" TargetMode="External"/><Relationship Id="rId890" Type="http://schemas.openxmlformats.org/officeDocument/2006/relationships/hyperlink" Target="https://www.cell.com/reviewers" TargetMode="External"/><Relationship Id="rId904" Type="http://schemas.openxmlformats.org/officeDocument/2006/relationships/hyperlink" Target="https://authorservices.wiley.com/author-resources/Journal-Authors/open-access/preprints-policy.html" TargetMode="External"/><Relationship Id="rId33" Type="http://schemas.openxmlformats.org/officeDocument/2006/relationships/hyperlink" Target="http://pubs.acs.org/paragonplus/submission/ancac3/ancac3_authguide.pdf" TargetMode="External"/><Relationship Id="rId129" Type="http://schemas.openxmlformats.org/officeDocument/2006/relationships/hyperlink" Target="https://www.elsevier.com/reviewers/role" TargetMode="External"/><Relationship Id="rId336" Type="http://schemas.openxmlformats.org/officeDocument/2006/relationships/hyperlink" Target="https://www.econometricsociety.org/publications/econometrica/information-authors/editorial-procedures-and-policies" TargetMode="External"/><Relationship Id="rId543" Type="http://schemas.openxmlformats.org/officeDocument/2006/relationships/hyperlink" Target="http://ascopubs.org/jco/site/ifc/journal-policies.xhtml" TargetMode="External"/><Relationship Id="rId988" Type="http://schemas.openxmlformats.org/officeDocument/2006/relationships/hyperlink" Target="https://www.elsevier.com/reviewers/role" TargetMode="External"/><Relationship Id="rId182" Type="http://schemas.openxmlformats.org/officeDocument/2006/relationships/hyperlink" Target="https://publons.com/journal/573/cancer-cell" TargetMode="External"/><Relationship Id="rId403" Type="http://schemas.openxmlformats.org/officeDocument/2006/relationships/hyperlink" Target="https://www.elsevier.com/about/policies/sharing" TargetMode="External"/><Relationship Id="rId750" Type="http://schemas.openxmlformats.org/officeDocument/2006/relationships/hyperlink" Target="https://www.nature.com/authors/author_resources/transfer_manuscripts.html" TargetMode="External"/><Relationship Id="rId848" Type="http://schemas.openxmlformats.org/officeDocument/2006/relationships/hyperlink" Target="https://www.nature.com/nrc/for-referees" TargetMode="External"/><Relationship Id="rId1033" Type="http://schemas.openxmlformats.org/officeDocument/2006/relationships/hyperlink" Target="https://www.nature.com/authors/author_resources/transfer_manuscripts.html" TargetMode="External"/><Relationship Id="rId487" Type="http://schemas.openxmlformats.org/officeDocument/2006/relationships/hyperlink" Target="https://www.elsevier.com/journals/international-journal-of-production-economics/0925-5273/guide-for-authors" TargetMode="External"/><Relationship Id="rId610" Type="http://schemas.openxmlformats.org/officeDocument/2006/relationships/hyperlink" Target="https://pubs.acs.org/page/policy/manuscript_transfer/index.html" TargetMode="External"/><Relationship Id="rId694" Type="http://schemas.openxmlformats.org/officeDocument/2006/relationships/hyperlink" Target="https://www.nature.com/authors/author_resources/transfer_manuscripts.html" TargetMode="External"/><Relationship Id="rId708" Type="http://schemas.openxmlformats.org/officeDocument/2006/relationships/hyperlink" Target="https://www.nature.com/ncb/for-referees/policies-and-processes" TargetMode="External"/><Relationship Id="rId915" Type="http://schemas.openxmlformats.org/officeDocument/2006/relationships/hyperlink" Target="https://www.osapublishing.org/submit/review/peer_review.cfm" TargetMode="External"/><Relationship Id="rId347" Type="http://schemas.openxmlformats.org/officeDocument/2006/relationships/hyperlink" Target="https://pubs.acs.org/paragonplus/submission/esthag/esthag_authguide.pdf" TargetMode="External"/><Relationship Id="rId999" Type="http://schemas.openxmlformats.org/officeDocument/2006/relationships/hyperlink" Target="https://www.elsevier.com/journals/research-policy/0048-7333/guide-for-authors" TargetMode="External"/><Relationship Id="rId1100" Type="http://schemas.openxmlformats.org/officeDocument/2006/relationships/hyperlink" Target="https://els-jbs-prod-cdn.literatumonline.com/pb/assets/raw/Lancet/authors/tln-info-for-authors-1541596047120.pdf" TargetMode="External"/><Relationship Id="rId44" Type="http://schemas.openxmlformats.org/officeDocument/2006/relationships/hyperlink" Target="https://application.wiley-vch.de/util/cta/physsci-en.pdf" TargetMode="External"/><Relationship Id="rId554" Type="http://schemas.openxmlformats.org/officeDocument/2006/relationships/hyperlink" Target="https://publishingsupport.iopscience.iop.org/becoming-a-journal-reviewer/" TargetMode="External"/><Relationship Id="rId761" Type="http://schemas.openxmlformats.org/officeDocument/2006/relationships/hyperlink" Target="https://www.nature.com/authors/policies/peer_review.html" TargetMode="External"/><Relationship Id="rId859" Type="http://schemas.openxmlformats.org/officeDocument/2006/relationships/hyperlink" Target="https://www.nature.com/authors/policies/preprints.html" TargetMode="External"/><Relationship Id="rId193" Type="http://schemas.openxmlformats.org/officeDocument/2006/relationships/hyperlink" Target="https://arxiv.org/" TargetMode="External"/><Relationship Id="rId207" Type="http://schemas.openxmlformats.org/officeDocument/2006/relationships/hyperlink" Target="https://www.cell.com/reviewers" TargetMode="External"/><Relationship Id="rId414" Type="http://schemas.openxmlformats.org/officeDocument/2006/relationships/hyperlink" Target="https://www.healthaffairs.org/help-for-reviewers" TargetMode="External"/><Relationship Id="rId498" Type="http://schemas.openxmlformats.org/officeDocument/2006/relationships/hyperlink" Target="https://www.jacionline.org/content/authorinfo" TargetMode="External"/><Relationship Id="rId621" Type="http://schemas.openxmlformats.org/officeDocument/2006/relationships/hyperlink" Target="https://us.sagepub.com/en-us/nam/prior-publication" TargetMode="External"/><Relationship Id="rId1044" Type="http://schemas.openxmlformats.org/officeDocument/2006/relationships/hyperlink" Target="https://www.elsevier.com/journals/social-science-and-medicine/0277-9536/guide-for-authors" TargetMode="External"/><Relationship Id="rId260" Type="http://schemas.openxmlformats.org/officeDocument/2006/relationships/hyperlink" Target="http://www.rsc.org/journals-books-databases/journal-authors-reviewers/reviewer-responsibilities/" TargetMode="External"/><Relationship Id="rId719" Type="http://schemas.openxmlformats.org/officeDocument/2006/relationships/hyperlink" Target="https://www.nature.com/authors/policies/peer_review.html" TargetMode="External"/><Relationship Id="rId926" Type="http://schemas.openxmlformats.org/officeDocument/2006/relationships/hyperlink" Target="https://journals.aps.org/prb/authors/editorial-policies-practices" TargetMode="External"/><Relationship Id="rId1111" Type="http://schemas.openxmlformats.org/officeDocument/2006/relationships/hyperlink" Target="https://authorservices.wiley.com/Reviewers/journal-reviewers/recognition-for-reviewers/index.html" TargetMode="External"/><Relationship Id="rId55" Type="http://schemas.openxmlformats.org/officeDocument/2006/relationships/hyperlink" Target="https://www.euchems.eu/wp-content/uploads/Ethicalguidelines_tcm23-54057.pdf" TargetMode="External"/><Relationship Id="rId120" Type="http://schemas.openxmlformats.org/officeDocument/2006/relationships/hyperlink" Target="https://www.elsevier.com/journals/annals-of-tourism-research/0160-7383?generatepdf=true" TargetMode="External"/><Relationship Id="rId358" Type="http://schemas.openxmlformats.org/officeDocument/2006/relationships/hyperlink" Target="https://academic.oup.com/journals/pages/access_purchase/rights_and_permissions/self_archiving_policy_b" TargetMode="External"/><Relationship Id="rId565" Type="http://schemas.openxmlformats.org/officeDocument/2006/relationships/hyperlink" Target="https://www.apa.org/pubs/journals/resources/open-science.aspx" TargetMode="External"/><Relationship Id="rId772" Type="http://schemas.openxmlformats.org/officeDocument/2006/relationships/hyperlink" Target="https://www.nature.com/authors/policies/peer_review.html" TargetMode="External"/><Relationship Id="rId218" Type="http://schemas.openxmlformats.org/officeDocument/2006/relationships/hyperlink" Target="https://www.cell.com/cell-metabolism/articletransfer" TargetMode="External"/><Relationship Id="rId425" Type="http://schemas.openxmlformats.org/officeDocument/2006/relationships/hyperlink" Target="https://www.comsoc.org/publications/magazines/ieee-communications-magazine/author-guidelines/manuscript-publishing" TargetMode="External"/><Relationship Id="rId632" Type="http://schemas.openxmlformats.org/officeDocument/2006/relationships/hyperlink" Target="https://www.elsevier.com/authors/journal-authors/submit-your-paper/submit-and-revise/article-transfer-service" TargetMode="External"/><Relationship Id="rId1055" Type="http://schemas.openxmlformats.org/officeDocument/2006/relationships/hyperlink" Target="https://www.elsevier.com/journals/teaching-and-teacher-education/0742-051x/guide-for-authors" TargetMode="External"/><Relationship Id="rId271" Type="http://schemas.openxmlformats.org/officeDocument/2006/relationships/hyperlink" Target="https://pubs.acs.org/page/policy/manuscript_transfer/index.html" TargetMode="External"/><Relationship Id="rId937" Type="http://schemas.openxmlformats.org/officeDocument/2006/relationships/hyperlink" Target="https://journals.aps.org/prd/authors/editorial-policies-practices" TargetMode="External"/><Relationship Id="rId1122" Type="http://schemas.openxmlformats.org/officeDocument/2006/relationships/hyperlink" Target="https://academic.oup.com/journals/pages/access_purchase/rights_and_permissions/self_archiving_policy_f" TargetMode="External"/><Relationship Id="rId66" Type="http://schemas.openxmlformats.org/officeDocument/2006/relationships/hyperlink" Target="https://www.aeaweb.org/journals/policies/copyright" TargetMode="External"/><Relationship Id="rId131" Type="http://schemas.openxmlformats.org/officeDocument/2006/relationships/hyperlink" Target="https://www.elsevier.com/journals/applied-energy/0306-2619/guide-for-authors" TargetMode="External"/><Relationship Id="rId369" Type="http://schemas.openxmlformats.org/officeDocument/2006/relationships/hyperlink" Target="https://www.gastrojournal.org/content/authorinfo" TargetMode="External"/><Relationship Id="rId576" Type="http://schemas.openxmlformats.org/officeDocument/2006/relationships/hyperlink" Target="https://www.elsevier.com/reviewers/role" TargetMode="External"/><Relationship Id="rId783" Type="http://schemas.openxmlformats.org/officeDocument/2006/relationships/hyperlink" Target="https://www.nature.com/authors/author_resources/transfer_manuscripts.html" TargetMode="External"/><Relationship Id="rId990" Type="http://schemas.openxmlformats.org/officeDocument/2006/relationships/hyperlink" Target="https://www.elsevier.com/journals/renewable-and-sustainable-energy-reviews/1364-0321/guide-for-authors" TargetMode="External"/><Relationship Id="rId229" Type="http://schemas.openxmlformats.org/officeDocument/2006/relationships/hyperlink" Target="https://arxiv.org/" TargetMode="External"/><Relationship Id="rId436" Type="http://schemas.openxmlformats.org/officeDocument/2006/relationships/hyperlink" Target="http://cvpr2019.thecvf.com/" TargetMode="External"/><Relationship Id="rId643" Type="http://schemas.openxmlformats.org/officeDocument/2006/relationships/hyperlink" Target="https://www.elsevier.com/reviewers/how-to-review" TargetMode="External"/><Relationship Id="rId1066" Type="http://schemas.openxmlformats.org/officeDocument/2006/relationships/hyperlink" Target="https://community.cochrane.org/editorial-and-publishing-policy-resource/cochrane-review-management/cochrane-peer-review-policy" TargetMode="External"/><Relationship Id="rId850" Type="http://schemas.openxmlformats.org/officeDocument/2006/relationships/hyperlink" Target="https://www.nature.com/authors/policies/peer_review.html" TargetMode="External"/><Relationship Id="rId948" Type="http://schemas.openxmlformats.org/officeDocument/2006/relationships/hyperlink" Target="https://journals.aps.org/prx/referees/guidelines-for-referees" TargetMode="External"/><Relationship Id="rId1133" Type="http://schemas.openxmlformats.org/officeDocument/2006/relationships/hyperlink" Target="https://www.elsevier.com/about/policies/sharing" TargetMode="External"/><Relationship Id="rId77" Type="http://schemas.openxmlformats.org/officeDocument/2006/relationships/hyperlink" Target="https://www.cambridge.org/core/services/authors/journals/preparing-and-submitting-your-paper" TargetMode="External"/><Relationship Id="rId282" Type="http://schemas.openxmlformats.org/officeDocument/2006/relationships/hyperlink" Target="https://www.ahajournals.org/pb-assets/Ethical%20ConductPolicyApril2017finalWeb.pdf" TargetMode="External"/><Relationship Id="rId503" Type="http://schemas.openxmlformats.org/officeDocument/2006/relationships/hyperlink" Target="https://www.elsevier.com/reviewers/what-is-peer-review" TargetMode="External"/><Relationship Id="rId587" Type="http://schemas.openxmlformats.org/officeDocument/2006/relationships/hyperlink" Target="https://journals.sagepub.com/pb-assets/cmscontent/JOM/JOM_Style_Guide_revised_2017.pdf" TargetMode="External"/><Relationship Id="rId710" Type="http://schemas.openxmlformats.org/officeDocument/2006/relationships/hyperlink" Target="https://www.nature.com/authors/policies/peer_review.html" TargetMode="External"/><Relationship Id="rId808" Type="http://schemas.openxmlformats.org/officeDocument/2006/relationships/hyperlink" Target="https://www.nature.com/authors/author_resources/transfer_manuscripts.html" TargetMode="External"/><Relationship Id="rId8" Type="http://schemas.openxmlformats.org/officeDocument/2006/relationships/hyperlink" Target="https://journals.lww.com/academicmedicine/Pages/InstructionsforAuthors.aspx" TargetMode="External"/><Relationship Id="rId142" Type="http://schemas.openxmlformats.org/officeDocument/2006/relationships/hyperlink" Target="https://academic.oup.com/journals/pages/access_purchase/rights_and_permissions/author_self_archiving_policy" TargetMode="External"/><Relationship Id="rId447" Type="http://schemas.openxmlformats.org/officeDocument/2006/relationships/hyperlink" Target="https://ieeeauthorcenter.ieee.org/peer-review-at-ieee/" TargetMode="External"/><Relationship Id="rId794" Type="http://schemas.openxmlformats.org/officeDocument/2006/relationships/hyperlink" Target="https://www.nature.com/nnano/for-referees/policies-and-processes" TargetMode="External"/><Relationship Id="rId1077" Type="http://schemas.openxmlformats.org/officeDocument/2006/relationships/hyperlink" Target="https://www.jci.org/kiosks/authors" TargetMode="External"/><Relationship Id="rId654" Type="http://schemas.openxmlformats.org/officeDocument/2006/relationships/hyperlink" Target="https://pubsonline.informs.org/page/mnsc/submission-guidelines" TargetMode="External"/><Relationship Id="rId861" Type="http://schemas.openxmlformats.org/officeDocument/2006/relationships/hyperlink" Target="https://www.nature.com/nrg/for-referees" TargetMode="External"/><Relationship Id="rId959" Type="http://schemas.openxmlformats.org/officeDocument/2006/relationships/hyperlink" Target="https://www.elsevier.com/journals/physics-letters-b/0370-2693/guide-for-authors" TargetMode="External"/><Relationship Id="rId293" Type="http://schemas.openxmlformats.org/officeDocument/2006/relationships/hyperlink" Target="http://aacrjournals.org/content/authors/editorial-process" TargetMode="External"/><Relationship Id="rId307" Type="http://schemas.openxmlformats.org/officeDocument/2006/relationships/hyperlink" Target="https://www.elsevier.com/authors/journal-authors/submit-your-paper" TargetMode="External"/><Relationship Id="rId514" Type="http://schemas.openxmlformats.org/officeDocument/2006/relationships/hyperlink" Target="https://www.springer.com/philosophy/ethics+and+moral+philosophy/journal/10551" TargetMode="External"/><Relationship Id="rId721" Type="http://schemas.openxmlformats.org/officeDocument/2006/relationships/hyperlink" Target="https://www.nature.com/authors/author_resources/transfer_manuscripts.html" TargetMode="External"/><Relationship Id="rId1144" Type="http://schemas.openxmlformats.org/officeDocument/2006/relationships/vmlDrawing" Target="../drawings/vmlDrawing1.vml"/><Relationship Id="rId88" Type="http://schemas.openxmlformats.org/officeDocument/2006/relationships/hyperlink" Target="https://us.sagepub.com/en-us/nam/journal/american-sociological-review" TargetMode="External"/><Relationship Id="rId153" Type="http://schemas.openxmlformats.org/officeDocument/2006/relationships/hyperlink" Target="https://www.elsevier.com/journals/biomaterials/0142-9612?generatepdf=true" TargetMode="External"/><Relationship Id="rId360" Type="http://schemas.openxmlformats.org/officeDocument/2006/relationships/hyperlink" Target="https://www.elsevier.com/reviewers/role" TargetMode="External"/><Relationship Id="rId598" Type="http://schemas.openxmlformats.org/officeDocument/2006/relationships/hyperlink" Target="http://www.rsc.org/journals-books-databases/journal-authors-reviewers/processes-policies/" TargetMode="External"/><Relationship Id="rId819" Type="http://schemas.openxmlformats.org/officeDocument/2006/relationships/hyperlink" Target="https://www.nature.com/authors/author_resources/transfer_manuscripts.html" TargetMode="External"/><Relationship Id="rId1004" Type="http://schemas.openxmlformats.org/officeDocument/2006/relationships/hyperlink" Target="https://www.mitpressjournals.org/for_authors" TargetMode="External"/><Relationship Id="rId220" Type="http://schemas.openxmlformats.org/officeDocument/2006/relationships/hyperlink" Target="https://www.cell.com/reviewers" TargetMode="External"/><Relationship Id="rId458" Type="http://schemas.openxmlformats.org/officeDocument/2006/relationships/hyperlink" Target="https://ieeeauthorcenter.ieee.org/publishing-ethics/guidelines-and-policies/policy-posting-your-article/" TargetMode="External"/><Relationship Id="rId665" Type="http://schemas.openxmlformats.org/officeDocument/2006/relationships/hyperlink" Target="https://academic.oup.com/mnras/pages/General_Instructions" TargetMode="External"/><Relationship Id="rId872" Type="http://schemas.openxmlformats.org/officeDocument/2006/relationships/hyperlink" Target="https://www.elsevier.com/journals/neuroimage/1053-8119/guide-for-authors" TargetMode="External"/><Relationship Id="rId1088" Type="http://schemas.openxmlformats.org/officeDocument/2006/relationships/hyperlink" Target="http://pubs.acs.org/paragonplus/submission/jpclcd/jpclcd_authguide.pdf" TargetMode="External"/><Relationship Id="rId15" Type="http://schemas.openxmlformats.org/officeDocument/2006/relationships/hyperlink" Target="https://pubs.acs.org/page/policy/manuscript_transfer/index.html" TargetMode="External"/><Relationship Id="rId318" Type="http://schemas.openxmlformats.org/officeDocument/2006/relationships/hyperlink" Target="https://www.elsevier.com/journals/computers-and-education/0360-1315/guide-for-authors" TargetMode="External"/><Relationship Id="rId525" Type="http://schemas.openxmlformats.org/officeDocument/2006/relationships/hyperlink" Target="https://www.elsevier.com/reviewers/how-to-review" TargetMode="External"/><Relationship Id="rId732" Type="http://schemas.openxmlformats.org/officeDocument/2006/relationships/hyperlink" Target="https://www.nature.com/ncomms/journal-policies/guide-to-referees" TargetMode="External"/><Relationship Id="rId99" Type="http://schemas.openxmlformats.org/officeDocument/2006/relationships/hyperlink" Target="http://annals.org/aim/pages/authors" TargetMode="External"/><Relationship Id="rId164" Type="http://schemas.openxmlformats.org/officeDocument/2006/relationships/hyperlink" Target="https://www.bmj.com/about-bmj/resources-reviewers" TargetMode="External"/><Relationship Id="rId371" Type="http://schemas.openxmlformats.org/officeDocument/2006/relationships/hyperlink" Target="https://www.gastrojournal.org/content/authorinfo" TargetMode="External"/><Relationship Id="rId1015" Type="http://schemas.openxmlformats.org/officeDocument/2006/relationships/hyperlink" Target="https://www.sciencemag.org/authors/science-information-authors" TargetMode="External"/><Relationship Id="rId469" Type="http://schemas.openxmlformats.org/officeDocument/2006/relationships/hyperlink" Target="https://www.cell.com/immunity/authors" TargetMode="External"/><Relationship Id="rId676" Type="http://schemas.openxmlformats.org/officeDocument/2006/relationships/hyperlink" Target="https://pubs.acs.org/page/nalefd/submission/prior.html" TargetMode="External"/><Relationship Id="rId883" Type="http://schemas.openxmlformats.org/officeDocument/2006/relationships/hyperlink" Target="https://www.cell.com/reviewers" TargetMode="External"/><Relationship Id="rId1099" Type="http://schemas.openxmlformats.org/officeDocument/2006/relationships/hyperlink" Target="https://els-jbs-prod-cdn.literatumonline.com/pb/assets/raw/Lancet/authors/tln-info-for-authors-1541596047120.pdf" TargetMode="External"/><Relationship Id="rId26" Type="http://schemas.openxmlformats.org/officeDocument/2006/relationships/hyperlink" Target="https://aom.org/Publications/AMR/Frequently-Asked-Questions.aspx" TargetMode="External"/><Relationship Id="rId231" Type="http://schemas.openxmlformats.org/officeDocument/2006/relationships/hyperlink" Target="https://www.cell.com/cell-stem-cell/articletransfer" TargetMode="External"/><Relationship Id="rId329" Type="http://schemas.openxmlformats.org/officeDocument/2006/relationships/hyperlink" Target="https://www.tandfonline.com/action/journalInformation?show=aimsScope&amp;journalCode=rdij20" TargetMode="External"/><Relationship Id="rId536" Type="http://schemas.openxmlformats.org/officeDocument/2006/relationships/hyperlink" Target="https://www.elsevier.com/reviewers/how-to-review" TargetMode="External"/><Relationship Id="rId175" Type="http://schemas.openxmlformats.org/officeDocument/2006/relationships/hyperlink" Target="https://authors.bmj.com/policies/peer-review-terms-and-conditions/" TargetMode="External"/><Relationship Id="rId743" Type="http://schemas.openxmlformats.org/officeDocument/2006/relationships/hyperlink" Target="https://www.nature.com/authors/policies/peer_review.html" TargetMode="External"/><Relationship Id="rId950" Type="http://schemas.openxmlformats.org/officeDocument/2006/relationships/hyperlink" Target="https://journals.aps.org/prx/authors/editorial-policies-practices" TargetMode="External"/><Relationship Id="rId1026" Type="http://schemas.openxmlformats.org/officeDocument/2006/relationships/hyperlink" Target="https://stm.sciencemag.org/content/information-reviewers" TargetMode="External"/><Relationship Id="rId382" Type="http://schemas.openxmlformats.org/officeDocument/2006/relationships/hyperlink" Target="https://publications.agu.org/reviewer-resources/" TargetMode="External"/><Relationship Id="rId603" Type="http://schemas.openxmlformats.org/officeDocument/2006/relationships/hyperlink" Target="https://www.journals.elsevier.com/journal-of-pragmatics/policies/peer-review-policy-for-the-journal-of-pragmatics" TargetMode="External"/><Relationship Id="rId687" Type="http://schemas.openxmlformats.org/officeDocument/2006/relationships/hyperlink" Target="https://www.nature.com/authors/policies/preprints.html" TargetMode="External"/><Relationship Id="rId810" Type="http://schemas.openxmlformats.org/officeDocument/2006/relationships/hyperlink" Target="https://www.nature.com/authors/peer_review/index.html" TargetMode="External"/><Relationship Id="rId908" Type="http://schemas.openxmlformats.org/officeDocument/2006/relationships/hyperlink" Target="https://academic.oup.com/nar/pages/Policies" TargetMode="External"/><Relationship Id="rId242" Type="http://schemas.openxmlformats.org/officeDocument/2006/relationships/hyperlink" Target="https://arxiv.org/" TargetMode="External"/><Relationship Id="rId894" Type="http://schemas.openxmlformats.org/officeDocument/2006/relationships/hyperlink" Target="https://us.sagepub.com/en-us/nam/sage-publishing-article-transfer-hub" TargetMode="External"/><Relationship Id="rId37" Type="http://schemas.openxmlformats.org/officeDocument/2006/relationships/hyperlink" Target="https://pubs.acs.org/page/policy/manuscript_transfer/index.html" TargetMode="External"/><Relationship Id="rId102" Type="http://schemas.openxmlformats.org/officeDocument/2006/relationships/hyperlink" Target="http://annals.org/aim/pages/authors" TargetMode="External"/><Relationship Id="rId547" Type="http://schemas.openxmlformats.org/officeDocument/2006/relationships/hyperlink" Target="https://academic.oup.com/journals/pages/access_purchase/rights_and_permissions/self_archiving_policy_f" TargetMode="External"/><Relationship Id="rId754" Type="http://schemas.openxmlformats.org/officeDocument/2006/relationships/hyperlink" Target="https://www.nature.com/authors/author_resources/transfer_manuscripts.html" TargetMode="External"/><Relationship Id="rId961" Type="http://schemas.openxmlformats.org/officeDocument/2006/relationships/hyperlink" Target="https://journals.plos.org/plosone/s/editorial-and-peer-review-process" TargetMode="External"/><Relationship Id="rId90" Type="http://schemas.openxmlformats.org/officeDocument/2006/relationships/hyperlink" Target="https://uk.sagepub.com/en-gb/eur/how-to-review-articles" TargetMode="External"/><Relationship Id="rId186" Type="http://schemas.openxmlformats.org/officeDocument/2006/relationships/hyperlink" Target="https://www.cell.com/cancer-cell/authors" TargetMode="External"/><Relationship Id="rId393" Type="http://schemas.openxmlformats.org/officeDocument/2006/relationships/hyperlink" Target="https://www.elsevier.com/reviewers/role" TargetMode="External"/><Relationship Id="rId407" Type="http://schemas.openxmlformats.org/officeDocument/2006/relationships/hyperlink" Target="https://authors.bmj.com/policies/peer-review-terms-and-conditions/" TargetMode="External"/><Relationship Id="rId614" Type="http://schemas.openxmlformats.org/officeDocument/2006/relationships/hyperlink" Target="http://www.onlinejacc.org/content/73/2/A28" TargetMode="External"/><Relationship Id="rId821" Type="http://schemas.openxmlformats.org/officeDocument/2006/relationships/hyperlink" Target="https://www.nature.com/authors/policies/preprints.html" TargetMode="External"/><Relationship Id="rId1037" Type="http://schemas.openxmlformats.org/officeDocument/2006/relationships/hyperlink" Target="https://www.nature.com/srep/journal-policies/referees" TargetMode="External"/><Relationship Id="rId253" Type="http://schemas.openxmlformats.org/officeDocument/2006/relationships/hyperlink" Target="https://pubs.acs.org/page/policy/manuscript_transfer/index.html" TargetMode="External"/><Relationship Id="rId460" Type="http://schemas.openxmlformats.org/officeDocument/2006/relationships/hyperlink" Target="https://ieeeauthorcenter.ieee.org/peer-review-at-ieee/ethics-in-peer-review/" TargetMode="External"/><Relationship Id="rId698" Type="http://schemas.openxmlformats.org/officeDocument/2006/relationships/hyperlink" Target="https://www.nature.com/authors/author_resources/transfer_manuscripts.html" TargetMode="External"/><Relationship Id="rId919" Type="http://schemas.openxmlformats.org/officeDocument/2006/relationships/hyperlink" Target="http://www.aappublications.org/content/pediatrics-reviewer-guidelines" TargetMode="External"/><Relationship Id="rId1090" Type="http://schemas.openxmlformats.org/officeDocument/2006/relationships/hyperlink" Target="mailto:pressoffice@lancet.com" TargetMode="External"/><Relationship Id="rId1104" Type="http://schemas.openxmlformats.org/officeDocument/2006/relationships/hyperlink" Target="https://els-jbs-prod-cdn.literatumonline.com/pb/assets/raw/Lancet/authors/tlo-info-for-authors-1553790033677.pdf" TargetMode="External"/><Relationship Id="rId48" Type="http://schemas.openxmlformats.org/officeDocument/2006/relationships/hyperlink" Target="https://www.euchems.eu/wp-content/uploads/Ethicalguidelines_tcm23-54057.pdf" TargetMode="External"/><Relationship Id="rId113" Type="http://schemas.openxmlformats.org/officeDocument/2006/relationships/hyperlink" Target="https://authors.bmj.com/policies/peer-review-terms-and-conditions/" TargetMode="External"/><Relationship Id="rId320" Type="http://schemas.openxmlformats.org/officeDocument/2006/relationships/hyperlink" Target="http://www.diabetesjournals.org/for-reviewers" TargetMode="External"/><Relationship Id="rId558" Type="http://schemas.openxmlformats.org/officeDocument/2006/relationships/hyperlink" Target="https://jcap.sissa.it/jcap/help/helpLoader.jsp?pgType=flow" TargetMode="External"/><Relationship Id="rId765" Type="http://schemas.openxmlformats.org/officeDocument/2006/relationships/hyperlink" Target="https://www.nature.com/authors/policies/preprints.html" TargetMode="External"/><Relationship Id="rId972" Type="http://schemas.openxmlformats.org/officeDocument/2006/relationships/hyperlink" Target="https://www.pnas.org/page/authors/reviewers" TargetMode="External"/><Relationship Id="rId197" Type="http://schemas.openxmlformats.org/officeDocument/2006/relationships/hyperlink" Target="http://aacrjournals.org/content/authors/manuscript-transfer" TargetMode="External"/><Relationship Id="rId418" Type="http://schemas.openxmlformats.org/officeDocument/2006/relationships/hyperlink" Target="https://www.healthaffairs.org/help-for-reviewers" TargetMode="External"/><Relationship Id="rId625" Type="http://schemas.openxmlformats.org/officeDocument/2006/relationships/hyperlink" Target="https://us.sagepub.com/en-us/nam/prior-publication" TargetMode="External"/><Relationship Id="rId832" Type="http://schemas.openxmlformats.org/officeDocument/2006/relationships/hyperlink" Target="https://www.nature.com/nrc/for-referees" TargetMode="External"/><Relationship Id="rId1048" Type="http://schemas.openxmlformats.org/officeDocument/2006/relationships/hyperlink" Target="https://www.springer.com/philosophy/epistemology+and+philosophy+of+science/journal/11229" TargetMode="External"/><Relationship Id="rId264" Type="http://schemas.openxmlformats.org/officeDocument/2006/relationships/hyperlink" Target="https://www.rsc.org/journals-books-databases/journal-authors-reviewers/reviewer-responsibilities/" TargetMode="External"/><Relationship Id="rId471" Type="http://schemas.openxmlformats.org/officeDocument/2006/relationships/hyperlink" Target="https://www.cell.com/immunity/authors" TargetMode="External"/><Relationship Id="rId1115" Type="http://schemas.openxmlformats.org/officeDocument/2006/relationships/hyperlink" Target="https://academic.oup.com/qje/pages/Policies" TargetMode="External"/><Relationship Id="rId59" Type="http://schemas.openxmlformats.org/officeDocument/2006/relationships/hyperlink" Target="https://wol-prod-cdn.literatumonline.com/pb-assets/assets/15214095/2089_guidelines-1510017322000.pdf" TargetMode="External"/><Relationship Id="rId124" Type="http://schemas.openxmlformats.org/officeDocument/2006/relationships/hyperlink" Target="https://www.elsevier.com/journals/annals-of-tourism-research/0160-7383?generatepdf=true" TargetMode="External"/><Relationship Id="rId569" Type="http://schemas.openxmlformats.org/officeDocument/2006/relationships/hyperlink" Target="https://publications.agu.org/reviewer-resources/review-criteria" TargetMode="External"/><Relationship Id="rId776" Type="http://schemas.openxmlformats.org/officeDocument/2006/relationships/hyperlink" Target="https://www.nature.com/authors/policies/peer_review.html" TargetMode="External"/><Relationship Id="rId983" Type="http://schemas.openxmlformats.org/officeDocument/2006/relationships/hyperlink" Target="https://academic.oup.com/journals/pages/access_purchase/rights_and_permissions/self_archiving_policy_a" TargetMode="External"/><Relationship Id="rId331" Type="http://schemas.openxmlformats.org/officeDocument/2006/relationships/hyperlink" Target="https://www.tandfonline.com/action/authorSubmission?journalCode=rdij20&amp;page=instructions" TargetMode="External"/><Relationship Id="rId429" Type="http://schemas.openxmlformats.org/officeDocument/2006/relationships/hyperlink" Target="https://www.comsoc.org/publications/journals/ieee-comst/guidelines-reviewers" TargetMode="External"/><Relationship Id="rId636" Type="http://schemas.openxmlformats.org/officeDocument/2006/relationships/hyperlink" Target="https://www.elsevier.com/authors/journal-authors/submit-your-paper/submit-and-revise/article-transfer-service" TargetMode="External"/><Relationship Id="rId1059" Type="http://schemas.openxmlformats.org/officeDocument/2006/relationships/hyperlink" Target="https://onlinelibrary.wiley.com/page/journal/15457249/homepage/forauthors.html" TargetMode="External"/><Relationship Id="rId843" Type="http://schemas.openxmlformats.org/officeDocument/2006/relationships/hyperlink" Target="https://www.nature.com/nrg/for-referees" TargetMode="External"/><Relationship Id="rId1126" Type="http://schemas.openxmlformats.org/officeDocument/2006/relationships/hyperlink" Target="https://www.elsevier.com/reviewers/how-to-review" TargetMode="External"/><Relationship Id="rId275" Type="http://schemas.openxmlformats.org/officeDocument/2006/relationships/hyperlink" Target="https://pubs.acs.org/page/policy/manuscript_transfer/index.html" TargetMode="External"/><Relationship Id="rId482" Type="http://schemas.openxmlformats.org/officeDocument/2006/relationships/hyperlink" Target="https://www.elsevier.com/journals/international-journal-of-production-economics/0925-5273/guide-for-authors" TargetMode="External"/><Relationship Id="rId703" Type="http://schemas.openxmlformats.org/officeDocument/2006/relationships/hyperlink" Target="https://www.nature.com/authors/author_resources/transfer_manuscripts.html" TargetMode="External"/><Relationship Id="rId910" Type="http://schemas.openxmlformats.org/officeDocument/2006/relationships/hyperlink" Target="https://www.osapublishing.org/submit/review/peer_review.cfm" TargetMode="External"/><Relationship Id="rId135" Type="http://schemas.openxmlformats.org/officeDocument/2006/relationships/hyperlink" Target="https://www.elsevier.com/reviewers/what-is-peer-review" TargetMode="External"/><Relationship Id="rId342" Type="http://schemas.openxmlformats.org/officeDocument/2006/relationships/hyperlink" Target="http://www.rsc.org/journals-books-databases/journal-authors-reviewers/processes-policies/" TargetMode="External"/><Relationship Id="rId787" Type="http://schemas.openxmlformats.org/officeDocument/2006/relationships/hyperlink" Target="https://www.nature.com/authors/policies/peer_review.html" TargetMode="External"/><Relationship Id="rId994" Type="http://schemas.openxmlformats.org/officeDocument/2006/relationships/hyperlink" Target="https://www.elsevier.com/journals/research-policy/0048-7333/guide-for-authors" TargetMode="External"/><Relationship Id="rId202" Type="http://schemas.openxmlformats.org/officeDocument/2006/relationships/hyperlink" Target="http://aacrjournals.org/content/authors/manuscript-transfer" TargetMode="External"/><Relationship Id="rId647" Type="http://schemas.openxmlformats.org/officeDocument/2006/relationships/hyperlink" Target="https://www.elsevier.com/reviewers/role" TargetMode="External"/><Relationship Id="rId854" Type="http://schemas.openxmlformats.org/officeDocument/2006/relationships/hyperlink" Target="https://www.nature.com/nrg/for-referees" TargetMode="External"/><Relationship Id="rId286" Type="http://schemas.openxmlformats.org/officeDocument/2006/relationships/hyperlink" Target="https://www.ahajournals.org/prior-publication-policy" TargetMode="External"/><Relationship Id="rId493" Type="http://schemas.openxmlformats.org/officeDocument/2006/relationships/hyperlink" Target="https://jamanetwork.com/journals/jama/pages/instructions-for-authors" TargetMode="External"/><Relationship Id="rId507" Type="http://schemas.openxmlformats.org/officeDocument/2006/relationships/hyperlink" Target="https://www.elsevier.com/journals/journal-of-banking-and-finance/0378-4266/guide-for-authors" TargetMode="External"/><Relationship Id="rId714" Type="http://schemas.openxmlformats.org/officeDocument/2006/relationships/hyperlink" Target="https://www.nature.com/authors/policies/peer_review.html" TargetMode="External"/><Relationship Id="rId921" Type="http://schemas.openxmlformats.org/officeDocument/2006/relationships/hyperlink" Target="http://www.aappublications.org/content/pediatrics-reviewer-guidelines" TargetMode="External"/><Relationship Id="rId1137" Type="http://schemas.openxmlformats.org/officeDocument/2006/relationships/hyperlink" Target="https://www.elsevier.com/reviewers/how-to-review" TargetMode="External"/><Relationship Id="rId50" Type="http://schemas.openxmlformats.org/officeDocument/2006/relationships/hyperlink" Target="https://application.wiley-vch.de/util/cta/euchems_ethicalguidelines.pdf" TargetMode="External"/><Relationship Id="rId146" Type="http://schemas.openxmlformats.org/officeDocument/2006/relationships/hyperlink" Target="https://aip.scitation.org/apl/info/policies" TargetMode="External"/><Relationship Id="rId353" Type="http://schemas.openxmlformats.org/officeDocument/2006/relationships/hyperlink" Target="https://academic.oup.com/eurheartj/pages/General_Instructions" TargetMode="External"/><Relationship Id="rId560" Type="http://schemas.openxmlformats.org/officeDocument/2006/relationships/hyperlink" Target="https://www.aeaweb.org/journals/jep/submissions" TargetMode="External"/><Relationship Id="rId798" Type="http://schemas.openxmlformats.org/officeDocument/2006/relationships/hyperlink" Target="https://www.nature.com/authors/author_resources/transfer_manuscripts.html" TargetMode="External"/><Relationship Id="rId213" Type="http://schemas.openxmlformats.org/officeDocument/2006/relationships/hyperlink" Target="https://www.cell.com/cell/articletransfer" TargetMode="External"/><Relationship Id="rId420" Type="http://schemas.openxmlformats.org/officeDocument/2006/relationships/hyperlink" Target="https://aasldpubs.onlinelibrary.wiley.com/hub/journal/15273350/about/author-guidelines" TargetMode="External"/><Relationship Id="rId658" Type="http://schemas.openxmlformats.org/officeDocument/2006/relationships/hyperlink" Target="https://uk.sagepub.com/en-gb/eur/journal-author-archiving-policies-and-re-use" TargetMode="External"/><Relationship Id="rId865" Type="http://schemas.openxmlformats.org/officeDocument/2006/relationships/hyperlink" Target="https://www.nature.com/authors/policies/preprints.html" TargetMode="External"/><Relationship Id="rId1050" Type="http://schemas.openxmlformats.org/officeDocument/2006/relationships/hyperlink" Target="https://www.springer.com/philosophy/epistemology+and+philosophy+of+science/journal/11229" TargetMode="External"/><Relationship Id="rId297" Type="http://schemas.openxmlformats.org/officeDocument/2006/relationships/hyperlink" Target="https://ccr.msubmit.net/cgi-bin/main.plex?form_type=display_rev_instructions" TargetMode="External"/><Relationship Id="rId518" Type="http://schemas.openxmlformats.org/officeDocument/2006/relationships/hyperlink" Target="https://www.elsevier.com/reviewers/what-is-peer-review" TargetMode="External"/><Relationship Id="rId725" Type="http://schemas.openxmlformats.org/officeDocument/2006/relationships/hyperlink" Target="https://www.nature.com/authors/author_resources/transfer_manuscripts.html" TargetMode="External"/><Relationship Id="rId932" Type="http://schemas.openxmlformats.org/officeDocument/2006/relationships/hyperlink" Target="https://journals.aps.org/prb/authors/editorial-policies-practices" TargetMode="External"/><Relationship Id="rId157" Type="http://schemas.openxmlformats.org/officeDocument/2006/relationships/hyperlink" Target="http://www.bloodjournal.org/page/authors/author-guide/peer-review" TargetMode="External"/><Relationship Id="rId364" Type="http://schemas.openxmlformats.org/officeDocument/2006/relationships/hyperlink" Target="https://www.elsevier.com/reviewers/what-is-peer-review" TargetMode="External"/><Relationship Id="rId1008" Type="http://schemas.openxmlformats.org/officeDocument/2006/relationships/hyperlink" Target="https://journals.aps.org/rmp/referees/guidelines-for-referees" TargetMode="External"/><Relationship Id="rId61" Type="http://schemas.openxmlformats.org/officeDocument/2006/relationships/hyperlink" Target="https://www.aeaweb.org/journals/aer/reviewers" TargetMode="External"/><Relationship Id="rId571" Type="http://schemas.openxmlformats.org/officeDocument/2006/relationships/hyperlink" Target="https://publications.agu.org/reviewer-resources/" TargetMode="External"/><Relationship Id="rId669" Type="http://schemas.openxmlformats.org/officeDocument/2006/relationships/hyperlink" Target="https://academic.oup.com/mnras/pages/General_Instructions" TargetMode="External"/><Relationship Id="rId876" Type="http://schemas.openxmlformats.org/officeDocument/2006/relationships/hyperlink" Target="https://www.elsevier.com/about/policies/copyright" TargetMode="External"/><Relationship Id="rId19" Type="http://schemas.openxmlformats.org/officeDocument/2006/relationships/hyperlink" Target="http://pubs.acs.org/paragonplus/submission/accacs/accacs_authguide.pdf" TargetMode="External"/><Relationship Id="rId224" Type="http://schemas.openxmlformats.org/officeDocument/2006/relationships/hyperlink" Target="https://www.cell.com/pb-assets/shared/guidelines/cell_press_navigator.pdf" TargetMode="External"/><Relationship Id="rId431" Type="http://schemas.openxmlformats.org/officeDocument/2006/relationships/hyperlink" Target="https://pspb.ieee.org/images/files/files/opsmanual.pdf" TargetMode="External"/><Relationship Id="rId529" Type="http://schemas.openxmlformats.org/officeDocument/2006/relationships/hyperlink" Target="https://www.elsevier.com/reviewers/what-is-peer-review" TargetMode="External"/><Relationship Id="rId736" Type="http://schemas.openxmlformats.org/officeDocument/2006/relationships/hyperlink" Target="https://www.nature.com/authors/author_resources/transfer_manuscripts.html" TargetMode="External"/><Relationship Id="rId1061" Type="http://schemas.openxmlformats.org/officeDocument/2006/relationships/hyperlink" Target="https://www.tesol.org/read-and-publish/journals/tesol-journal" TargetMode="External"/><Relationship Id="rId168" Type="http://schemas.openxmlformats.org/officeDocument/2006/relationships/hyperlink" Target="https://authors.bmj.com/policies/peer-review-terms-and-conditions/" TargetMode="External"/><Relationship Id="rId943" Type="http://schemas.openxmlformats.org/officeDocument/2006/relationships/hyperlink" Target="https://journals.aps.org/referees/referee-response-physical-review-letters" TargetMode="External"/><Relationship Id="rId1019" Type="http://schemas.openxmlformats.org/officeDocument/2006/relationships/hyperlink" Target="https://www.sciencemag.org/authors/peer-review-science-publications" TargetMode="External"/><Relationship Id="rId72" Type="http://schemas.openxmlformats.org/officeDocument/2006/relationships/hyperlink" Target="https://ajpsblogging.files.wordpress.com/2015/09/ajps-author-resources-ver-1-0.pdf" TargetMode="External"/><Relationship Id="rId375" Type="http://schemas.openxmlformats.org/officeDocument/2006/relationships/hyperlink" Target="https://uk.sagepub.com/en-gb/eur/gender-society/journal200793" TargetMode="External"/><Relationship Id="rId582" Type="http://schemas.openxmlformats.org/officeDocument/2006/relationships/hyperlink" Target="https://jhep.sissa.it/jhep/help/helpLoader.jsp?pgType=author" TargetMode="External"/><Relationship Id="rId803" Type="http://schemas.openxmlformats.org/officeDocument/2006/relationships/hyperlink" Target="https://www.nature.com/authors/author_resources/transfer_manuscripts.html" TargetMode="External"/><Relationship Id="rId3" Type="http://schemas.openxmlformats.org/officeDocument/2006/relationships/hyperlink" Target="https://journals.lww.com/academicmedicine/Documents/ReviewerFAQs_Sept2012_v1.pdf" TargetMode="External"/><Relationship Id="rId235" Type="http://schemas.openxmlformats.org/officeDocument/2006/relationships/hyperlink" Target="https://arxiv.org/" TargetMode="External"/><Relationship Id="rId442" Type="http://schemas.openxmlformats.org/officeDocument/2006/relationships/hyperlink" Target="http://iccv2019.thecvf.com/submission/timeline" TargetMode="External"/><Relationship Id="rId887" Type="http://schemas.openxmlformats.org/officeDocument/2006/relationships/hyperlink" Target="https://www.cell.com/neuron/authors?code=cell-site" TargetMode="External"/><Relationship Id="rId1072" Type="http://schemas.openxmlformats.org/officeDocument/2006/relationships/hyperlink" Target="https://www.jci.org/kiosks/authors" TargetMode="External"/><Relationship Id="rId302" Type="http://schemas.openxmlformats.org/officeDocument/2006/relationships/hyperlink" Target="https://ccr.msubmit.net/cgi-bin/main.plex?form_type=display_rev_instructions" TargetMode="External"/><Relationship Id="rId747" Type="http://schemas.openxmlformats.org/officeDocument/2006/relationships/hyperlink" Target="https://www.nature.com/authors/policies/preprints.html" TargetMode="External"/><Relationship Id="rId954" Type="http://schemas.openxmlformats.org/officeDocument/2006/relationships/hyperlink" Target="https://www.elsevier.com/journals/physics-letters-b/0370-2693/guide-for-authors" TargetMode="External"/><Relationship Id="rId83" Type="http://schemas.openxmlformats.org/officeDocument/2006/relationships/hyperlink" Target="https://uk.sagepub.com/en-gb/eur/how-to-review-articles" TargetMode="External"/><Relationship Id="rId179" Type="http://schemas.openxmlformats.org/officeDocument/2006/relationships/hyperlink" Target="https://authors.bmj.com/policies/preprints/" TargetMode="External"/><Relationship Id="rId386" Type="http://schemas.openxmlformats.org/officeDocument/2006/relationships/hyperlink" Target="https://publications.agu.org/reviewer-resources/" TargetMode="External"/><Relationship Id="rId593" Type="http://schemas.openxmlformats.org/officeDocument/2006/relationships/hyperlink" Target="http://www.rsc.org/journals-books-databases/journal-authors-reviewers/processes-policies/" TargetMode="External"/><Relationship Id="rId607" Type="http://schemas.openxmlformats.org/officeDocument/2006/relationships/hyperlink" Target="http://pubs.acs.org/paragonplus/submission/jacsat/jacsat_authguide.pdf" TargetMode="External"/><Relationship Id="rId814" Type="http://schemas.openxmlformats.org/officeDocument/2006/relationships/hyperlink" Target="https://www.nature.com/authors/author_resources/transfer_manuscripts.html" TargetMode="External"/><Relationship Id="rId246" Type="http://schemas.openxmlformats.org/officeDocument/2006/relationships/hyperlink" Target="http://www.rsc.org/journals-books-databases/journal-authors-reviewers/processes-policies/" TargetMode="External"/><Relationship Id="rId453" Type="http://schemas.openxmlformats.org/officeDocument/2006/relationships/hyperlink" Target="https://ieeeauthorcenter.ieee.org/peer-review-at-ieee/" TargetMode="External"/><Relationship Id="rId660" Type="http://schemas.openxmlformats.org/officeDocument/2006/relationships/hyperlink" Target="https://www.cell.com/molecular-cell/authors" TargetMode="External"/><Relationship Id="rId898" Type="http://schemas.openxmlformats.org/officeDocument/2006/relationships/hyperlink" Target="https://authorservices.wiley.com/Reviewers/journal-reviewers/how-to-perform-a-peer-review/general-and-ethical-guidelines.html" TargetMode="External"/><Relationship Id="rId1083" Type="http://schemas.openxmlformats.org/officeDocument/2006/relationships/hyperlink" Target="https://cdn.ymaws.com/www.afajof.org/resource/resmgr/files/Submission_docs/JF_Submission_Guidelines-Feb.pdf" TargetMode="External"/><Relationship Id="rId106" Type="http://schemas.openxmlformats.org/officeDocument/2006/relationships/hyperlink" Target="https://academic.oup.com/annonc/pages/General_Instructions" TargetMode="External"/><Relationship Id="rId313" Type="http://schemas.openxmlformats.org/officeDocument/2006/relationships/hyperlink" Target="https://www.elsevier.com/journals/computers-and-education/0360-1315?generatepdf=true" TargetMode="External"/><Relationship Id="rId758" Type="http://schemas.openxmlformats.org/officeDocument/2006/relationships/hyperlink" Target="https://www.nature.com/authors/policies/peer_review.html" TargetMode="External"/><Relationship Id="rId965" Type="http://schemas.openxmlformats.org/officeDocument/2006/relationships/hyperlink" Target="https://journals.plos.org/plosone/s/editorial-and-peer-review-process" TargetMode="External"/><Relationship Id="rId10" Type="http://schemas.openxmlformats.org/officeDocument/2006/relationships/hyperlink" Target="https://pubs.acs.org/paragonplus/submission/aamick/aamick_authguide.pdf" TargetMode="External"/><Relationship Id="rId94" Type="http://schemas.openxmlformats.org/officeDocument/2006/relationships/hyperlink" Target="https://authorservices.wiley.com/Reviewers/journal-reviewers/tools-and-resources/review-confidentiality-policy.html" TargetMode="External"/><Relationship Id="rId397" Type="http://schemas.openxmlformats.org/officeDocument/2006/relationships/hyperlink" Target="https://www.elsevier.com/journals/government-information-quarterly/0740-624x/guide-for-authors" TargetMode="External"/><Relationship Id="rId520" Type="http://schemas.openxmlformats.org/officeDocument/2006/relationships/hyperlink" Target="https://www.elsevier.com/about/policies/copyright" TargetMode="External"/><Relationship Id="rId618" Type="http://schemas.openxmlformats.org/officeDocument/2006/relationships/hyperlink" Target="https://us.sagepub.com/en-us/nam/journal/journalism" TargetMode="External"/><Relationship Id="rId825" Type="http://schemas.openxmlformats.org/officeDocument/2006/relationships/hyperlink" Target="https://www.nature.com/authors/author_resources/transfer_manuscripts.html" TargetMode="External"/><Relationship Id="rId257" Type="http://schemas.openxmlformats.org/officeDocument/2006/relationships/hyperlink" Target="https://pubs.acs.org/page/policy/manuscript_transfer/index.html" TargetMode="External"/><Relationship Id="rId464" Type="http://schemas.openxmlformats.org/officeDocument/2006/relationships/hyperlink" Target="https://ieeeauthorcenter.ieee.org/peer-review-at-ieee/ethics-in-peer-review/" TargetMode="External"/><Relationship Id="rId1010" Type="http://schemas.openxmlformats.org/officeDocument/2006/relationships/hyperlink" Target="https://journals.aps.org/rmp/info/procedures.html" TargetMode="External"/><Relationship Id="rId1094" Type="http://schemas.openxmlformats.org/officeDocument/2006/relationships/hyperlink" Target="https://www.thelancet.com/pb/assets/raw/Lancet/authors/lancet-information-for-authors.pdf" TargetMode="External"/><Relationship Id="rId1108" Type="http://schemas.openxmlformats.org/officeDocument/2006/relationships/hyperlink" Target="https://authorservices.wiley.com/Reviewers/journal-reviewers/how-to-perform-a-peer-review/step-by-step-guide-to-reviewing-a-manuscript.html" TargetMode="External"/><Relationship Id="rId117" Type="http://schemas.openxmlformats.org/officeDocument/2006/relationships/hyperlink" Target="https://authors.bmj.com/policies/peer-review-terms-and-conditions/" TargetMode="External"/><Relationship Id="rId671" Type="http://schemas.openxmlformats.org/officeDocument/2006/relationships/hyperlink" Target="https://pubs.acs.org/page/policy/manuscript_transfer/index.html" TargetMode="External"/><Relationship Id="rId769" Type="http://schemas.openxmlformats.org/officeDocument/2006/relationships/hyperlink" Target="https://www.nature.com/authors/policies/preprints.html" TargetMode="External"/><Relationship Id="rId976" Type="http://schemas.openxmlformats.org/officeDocument/2006/relationships/hyperlink" Target="https://uk.sagepub.com/en-gb/eur/how-to-review-articles" TargetMode="External"/><Relationship Id="rId324" Type="http://schemas.openxmlformats.org/officeDocument/2006/relationships/hyperlink" Target="http://www.diabetesjournals.org/content/journal-policies" TargetMode="External"/><Relationship Id="rId531" Type="http://schemas.openxmlformats.org/officeDocument/2006/relationships/hyperlink" Target="https://www.elsevier.com/about/policies/copyright" TargetMode="External"/><Relationship Id="rId629" Type="http://schemas.openxmlformats.org/officeDocument/2006/relationships/hyperlink" Target="https://www.tandfonline.com/action/authorSubmission?journalCode=rjos20&amp;page=instructions" TargetMode="External"/><Relationship Id="rId836" Type="http://schemas.openxmlformats.org/officeDocument/2006/relationships/hyperlink" Target="https://www.nature.com/authors/policies/peer_review.html" TargetMode="External"/><Relationship Id="rId1021" Type="http://schemas.openxmlformats.org/officeDocument/2006/relationships/hyperlink" Target="http://www.sciencemag.org/authors/science-information-authors" TargetMode="External"/><Relationship Id="rId1119" Type="http://schemas.openxmlformats.org/officeDocument/2006/relationships/hyperlink" Target="https://academic.oup.com/journals/pages/access_purchase/rights_and_permissions/self_archiving_policy_f" TargetMode="External"/><Relationship Id="rId903" Type="http://schemas.openxmlformats.org/officeDocument/2006/relationships/hyperlink" Target="https://authorservices.wiley.com/Reviewers/journal-reviewers/how-to-perform-a-peer-review/general-and-ethical-guidelines.html" TargetMode="External"/><Relationship Id="rId32" Type="http://schemas.openxmlformats.org/officeDocument/2006/relationships/hyperlink" Target="https://pubs.acs.org/pb-assets/acspubs/Migrated/ancac3_revguide.pdf" TargetMode="External"/><Relationship Id="rId181" Type="http://schemas.openxmlformats.org/officeDocument/2006/relationships/hyperlink" Target="https://www.cell.com/cancer-cell/articletransfer" TargetMode="External"/><Relationship Id="rId279" Type="http://schemas.openxmlformats.org/officeDocument/2006/relationships/hyperlink" Target="https://www.ahajournals.org/prior-publication-policy" TargetMode="External"/><Relationship Id="rId486" Type="http://schemas.openxmlformats.org/officeDocument/2006/relationships/hyperlink" Target="https://www.elsevier.com/reviewers/how-to-review" TargetMode="External"/><Relationship Id="rId693" Type="http://schemas.openxmlformats.org/officeDocument/2006/relationships/hyperlink" Target="https://www.nature.com/authors/policies/peer_review.html" TargetMode="External"/><Relationship Id="rId139" Type="http://schemas.openxmlformats.org/officeDocument/2006/relationships/hyperlink" Target="https://academic.oup.com/journals/pages/access_purchase/rights_and_permissions/author_self_archiving_policy" TargetMode="External"/><Relationship Id="rId346" Type="http://schemas.openxmlformats.org/officeDocument/2006/relationships/hyperlink" Target="https://www.rsc.org/journals-books-databases/journal-authors-reviewers/processes-policies/" TargetMode="External"/><Relationship Id="rId553" Type="http://schemas.openxmlformats.org/officeDocument/2006/relationships/hyperlink" Target="https://publishingsupport.iopscience.iop.org/becoming-a-journal-reviewer/" TargetMode="External"/><Relationship Id="rId760" Type="http://schemas.openxmlformats.org/officeDocument/2006/relationships/hyperlink" Target="https://www.nature.com/authors/policies/preprints.html" TargetMode="External"/><Relationship Id="rId998" Type="http://schemas.openxmlformats.org/officeDocument/2006/relationships/hyperlink" Target="https://www.elsevier.com/about/policies/copyright" TargetMode="External"/><Relationship Id="rId206" Type="http://schemas.openxmlformats.org/officeDocument/2006/relationships/hyperlink" Target="https://publons.com/journal/270/cell" TargetMode="External"/><Relationship Id="rId413" Type="http://schemas.openxmlformats.org/officeDocument/2006/relationships/hyperlink" Target="https://www.healthaffairs.org/help-for-reviewers" TargetMode="External"/><Relationship Id="rId858" Type="http://schemas.openxmlformats.org/officeDocument/2006/relationships/hyperlink" Target="https://www.nature.com/authors/policies/peer_review.html" TargetMode="External"/><Relationship Id="rId1043" Type="http://schemas.openxmlformats.org/officeDocument/2006/relationships/hyperlink" Target="https://www.elsevier.com/journals/social-science-and-medicine/0277-9536/guide-for-authors" TargetMode="External"/><Relationship Id="rId620" Type="http://schemas.openxmlformats.org/officeDocument/2006/relationships/hyperlink" Target="https://us.sagepub.com/en-us/nam/how-to-review-articles" TargetMode="External"/><Relationship Id="rId718" Type="http://schemas.openxmlformats.org/officeDocument/2006/relationships/hyperlink" Target="https://www.nature.com/authors/policies/preprints.html" TargetMode="External"/><Relationship Id="rId925" Type="http://schemas.openxmlformats.org/officeDocument/2006/relationships/hyperlink" Target="https://journals.aps.org/prb/authors/editorial-policies-practices" TargetMode="External"/><Relationship Id="rId1110" Type="http://schemas.openxmlformats.org/officeDocument/2006/relationships/hyperlink" Target="https://onlinelibrary.wiley.com/page/journal/15404781/homepage/forauthors.html" TargetMode="External"/><Relationship Id="rId54" Type="http://schemas.openxmlformats.org/officeDocument/2006/relationships/hyperlink" Target="https://wol-prod-cdn.literatumonline.com/pb-assets/assets/16163028/AFM-guide-for-authors-may-2018-1526994585463.pdf" TargetMode="External"/><Relationship Id="rId270" Type="http://schemas.openxmlformats.org/officeDocument/2006/relationships/hyperlink" Target="https://pubs.acs.org/paragonplus/submission/cmatex/cmatex_scope.pdf" TargetMode="External"/><Relationship Id="rId130" Type="http://schemas.openxmlformats.org/officeDocument/2006/relationships/hyperlink" Target="https://www.elsevier.com/reviewers/what-is-peer-review" TargetMode="External"/><Relationship Id="rId368" Type="http://schemas.openxmlformats.org/officeDocument/2006/relationships/hyperlink" Target="https://www.gastrojournal.org/content/authorinfo" TargetMode="External"/><Relationship Id="rId575" Type="http://schemas.openxmlformats.org/officeDocument/2006/relationships/hyperlink" Target="https://www.elsevier.com/about/policies/sharing" TargetMode="External"/><Relationship Id="rId782" Type="http://schemas.openxmlformats.org/officeDocument/2006/relationships/hyperlink" Target="https://www.nature.com/authors/policies/peer_review.html" TargetMode="External"/><Relationship Id="rId228" Type="http://schemas.openxmlformats.org/officeDocument/2006/relationships/hyperlink" Target="https://www.cell.com/cell-metabolism/authors" TargetMode="External"/><Relationship Id="rId435" Type="http://schemas.openxmlformats.org/officeDocument/2006/relationships/hyperlink" Target="http://cvpr2019.thecvf.com/submission/main_conference/author_guidelines" TargetMode="External"/><Relationship Id="rId642" Type="http://schemas.openxmlformats.org/officeDocument/2006/relationships/hyperlink" Target="https://www.elsevier.com/reviewers/what-is-peer-review" TargetMode="External"/><Relationship Id="rId1065" Type="http://schemas.openxmlformats.org/officeDocument/2006/relationships/hyperlink" Target="http://ideas.cochrane.org/forums/326856-cochrane-style-manual/suggestions/18762079-referencing-preprints" TargetMode="External"/><Relationship Id="rId502" Type="http://schemas.openxmlformats.org/officeDocument/2006/relationships/hyperlink" Target="https://www.elsevier.com/reviewers/role" TargetMode="External"/><Relationship Id="rId947" Type="http://schemas.openxmlformats.org/officeDocument/2006/relationships/hyperlink" Target="https://journals.aps.org/prx/authors/editorial-policies-practices" TargetMode="External"/><Relationship Id="rId1132" Type="http://schemas.openxmlformats.org/officeDocument/2006/relationships/hyperlink" Target="https://www.elsevier.com/reviewers/how-to-review" TargetMode="External"/><Relationship Id="rId76" Type="http://schemas.openxmlformats.org/officeDocument/2006/relationships/hyperlink" Target="https://ajph.aphapublications.org/page/authors.html" TargetMode="External"/><Relationship Id="rId807" Type="http://schemas.openxmlformats.org/officeDocument/2006/relationships/hyperlink" Target="https://www.nature.com/authors/policies/peer_review.html" TargetMode="External"/><Relationship Id="rId292" Type="http://schemas.openxmlformats.org/officeDocument/2006/relationships/hyperlink" Target="https://www.ahajournals.org/pb-assets/Ethical%20ConductPolicyApril2017finalWeb.pdf" TargetMode="External"/><Relationship Id="rId597" Type="http://schemas.openxmlformats.org/officeDocument/2006/relationships/hyperlink" Target="http://www.rsc.org/journals-books-databases/journal-authors-reviewers/reviewer-responsibilities/" TargetMode="External"/><Relationship Id="rId152" Type="http://schemas.openxmlformats.org/officeDocument/2006/relationships/hyperlink" Target="https://www.elsevier.com/reviewers/how-to-review" TargetMode="External"/><Relationship Id="rId457" Type="http://schemas.openxmlformats.org/officeDocument/2006/relationships/hyperlink" Target="https://ieeeauthorcenter.ieee.org/peer-review-at-ieee/" TargetMode="External"/><Relationship Id="rId1087" Type="http://schemas.openxmlformats.org/officeDocument/2006/relationships/hyperlink" Target="http://pubs.acs.org/paragonplus/submission/jpclcd/jpclcd_authguide.pdf" TargetMode="External"/><Relationship Id="rId664" Type="http://schemas.openxmlformats.org/officeDocument/2006/relationships/hyperlink" Target="https://www.cell.com/molecular-cell/authors" TargetMode="External"/><Relationship Id="rId871" Type="http://schemas.openxmlformats.org/officeDocument/2006/relationships/hyperlink" Target="https://nips.cc/Conferences/2019/CallForPapers" TargetMode="External"/><Relationship Id="rId969" Type="http://schemas.openxmlformats.org/officeDocument/2006/relationships/hyperlink" Target="https://www.pnas.org/page/authors/reviewers" TargetMode="External"/><Relationship Id="rId317" Type="http://schemas.openxmlformats.org/officeDocument/2006/relationships/hyperlink" Target="https://www.elsevier.com/journals/computers-and-education/0360-1315?generatepdf=true" TargetMode="External"/><Relationship Id="rId524" Type="http://schemas.openxmlformats.org/officeDocument/2006/relationships/hyperlink" Target="https://www.elsevier.com/reviewers/what-is-peer-review" TargetMode="External"/><Relationship Id="rId731" Type="http://schemas.openxmlformats.org/officeDocument/2006/relationships/hyperlink" Target="https://www.nature.com/authors/policies/preprints.html" TargetMode="External"/><Relationship Id="rId98" Type="http://schemas.openxmlformats.org/officeDocument/2006/relationships/hyperlink" Target="http://annals.org/aim/pages/authors" TargetMode="External"/><Relationship Id="rId829" Type="http://schemas.openxmlformats.org/officeDocument/2006/relationships/hyperlink" Target="https://www.nature.com/authors/author_resources/transfer_manuscripts.html" TargetMode="External"/><Relationship Id="rId1014" Type="http://schemas.openxmlformats.org/officeDocument/2006/relationships/hyperlink" Target="http://www.sciencemag.org/authors/science-journals-editorial-policies" TargetMode="External"/><Relationship Id="rId25" Type="http://schemas.openxmlformats.org/officeDocument/2006/relationships/hyperlink" Target="https://aom.org/Publications/AMR/Frequently-Asked-Questions.aspx" TargetMode="External"/><Relationship Id="rId174" Type="http://schemas.openxmlformats.org/officeDocument/2006/relationships/hyperlink" Target="https://authors.bmj.com/for-reviewers/reviewer-recognition/" TargetMode="External"/><Relationship Id="rId381" Type="http://schemas.openxmlformats.org/officeDocument/2006/relationships/hyperlink" Target="https://publications.agu.org/author-resource-center/steps-to-publication/" TargetMode="External"/><Relationship Id="rId241" Type="http://schemas.openxmlformats.org/officeDocument/2006/relationships/hyperlink" Target="https://www.cell.com/cell-stem-cell/authors" TargetMode="External"/><Relationship Id="rId479" Type="http://schemas.openxmlformats.org/officeDocument/2006/relationships/hyperlink" Target="https://www.elsevier.com/reviewers/what-is-peer-review" TargetMode="External"/><Relationship Id="rId686" Type="http://schemas.openxmlformats.org/officeDocument/2006/relationships/hyperlink" Target="https://www.nature.com/authors/author_resources/transfer_manuscripts.html" TargetMode="External"/><Relationship Id="rId893" Type="http://schemas.openxmlformats.org/officeDocument/2006/relationships/hyperlink" Target="https://us.sagepub.com/en-us/nam/journal/new-media-society" TargetMode="External"/><Relationship Id="rId339" Type="http://schemas.openxmlformats.org/officeDocument/2006/relationships/hyperlink" Target="https://www.econometricsociety.org/publications/econometrica/information-authors/editorial-procedures-and-policies" TargetMode="External"/><Relationship Id="rId546" Type="http://schemas.openxmlformats.org/officeDocument/2006/relationships/hyperlink" Target="https://academic.oup.com/joc/pages/General_Instructions" TargetMode="External"/><Relationship Id="rId753" Type="http://schemas.openxmlformats.org/officeDocument/2006/relationships/hyperlink" Target="https://www.nature.com/authors/policies/peer_review.html" TargetMode="External"/><Relationship Id="rId101" Type="http://schemas.openxmlformats.org/officeDocument/2006/relationships/hyperlink" Target="http://annals.org/aim/pages/authors" TargetMode="External"/><Relationship Id="rId406" Type="http://schemas.openxmlformats.org/officeDocument/2006/relationships/hyperlink" Target="https://authors.bmj.com/policies/preprints/" TargetMode="External"/><Relationship Id="rId960" Type="http://schemas.openxmlformats.org/officeDocument/2006/relationships/hyperlink" Target="https://journals.plos.org/plosone/s/editorial-and-peer-review-process" TargetMode="External"/><Relationship Id="rId1036" Type="http://schemas.openxmlformats.org/officeDocument/2006/relationships/hyperlink" Target="https://www.nature.com/srep/journal-policies/peer-review"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hajournals.org/pb-assets/Ethical%20ConductPolicyApril2017finalWeb.pdf" TargetMode="External"/><Relationship Id="rId21" Type="http://schemas.openxmlformats.org/officeDocument/2006/relationships/hyperlink" Target="https://ajps.org/guidelines-for-manuscripts/" TargetMode="External"/><Relationship Id="rId324" Type="http://schemas.openxmlformats.org/officeDocument/2006/relationships/hyperlink" Target="https://www.nature.com/ncb/for-referees/policies-and-processes" TargetMode="External"/><Relationship Id="rId170" Type="http://schemas.openxmlformats.org/officeDocument/2006/relationships/hyperlink" Target="https://www.elsevier.com/reviewers/how-to-review" TargetMode="External"/><Relationship Id="rId268" Type="http://schemas.openxmlformats.org/officeDocument/2006/relationships/hyperlink" Target="http://www.rsc.org/journals-books-databases/journal-authors-reviewers/reviewer-responsibilities/" TargetMode="External"/><Relationship Id="rId475" Type="http://schemas.openxmlformats.org/officeDocument/2006/relationships/hyperlink" Target="https://www.nature.com/srep/journal-policies/editorial-policies?draft=journal&amp;target=content" TargetMode="External"/><Relationship Id="rId32" Type="http://schemas.openxmlformats.org/officeDocument/2006/relationships/hyperlink" Target="http://annals.org/aim/pages/authors" TargetMode="External"/><Relationship Id="rId74" Type="http://schemas.openxmlformats.org/officeDocument/2006/relationships/hyperlink" Target="https://publons.com/journal/573/cancer-cell" TargetMode="External"/><Relationship Id="rId128" Type="http://schemas.openxmlformats.org/officeDocument/2006/relationships/hyperlink" Target="https://www.elsevier.com/reviewers/role" TargetMode="External"/><Relationship Id="rId335" Type="http://schemas.openxmlformats.org/officeDocument/2006/relationships/hyperlink" Target="https://www.nature.com/authors/policies/preprints.html" TargetMode="External"/><Relationship Id="rId377" Type="http://schemas.openxmlformats.org/officeDocument/2006/relationships/hyperlink" Target="https://www.nature.com/authors/policies/peer_review.html" TargetMode="External"/><Relationship Id="rId500" Type="http://schemas.openxmlformats.org/officeDocument/2006/relationships/hyperlink" Target="https://www.thelancet.com/pb/assets/raw/Lancet/authors/lancet-information-for-authors.pdf" TargetMode="External"/><Relationship Id="rId5" Type="http://schemas.openxmlformats.org/officeDocument/2006/relationships/hyperlink" Target="https://pubs.acs.org/page/accacs/submission/prior.htmlhttps:/pubs.acs.org/page/policy/authorchoice/index.html" TargetMode="External"/><Relationship Id="rId181" Type="http://schemas.openxmlformats.org/officeDocument/2006/relationships/hyperlink" Target="https://www.healthaffairs.org/help-for-reviewers" TargetMode="External"/><Relationship Id="rId237" Type="http://schemas.openxmlformats.org/officeDocument/2006/relationships/hyperlink" Target="https://www.elsevier.com/about/policies/sharing" TargetMode="External"/><Relationship Id="rId402" Type="http://schemas.openxmlformats.org/officeDocument/2006/relationships/hyperlink" Target="https://www.elsevier.com/reviewers/what-is-peer-review" TargetMode="External"/><Relationship Id="rId279" Type="http://schemas.openxmlformats.org/officeDocument/2006/relationships/hyperlink" Target="https://www.springer.com/psychology/child+%26+school+psychology/journal/10964?detailsPage=pltci_1692324" TargetMode="External"/><Relationship Id="rId444" Type="http://schemas.openxmlformats.org/officeDocument/2006/relationships/hyperlink" Target="https://journals.plos.org/plosone/s/preprints" TargetMode="External"/><Relationship Id="rId486" Type="http://schemas.openxmlformats.org/officeDocument/2006/relationships/hyperlink" Target="https://authorservices.wiley.com/Reviewers/journal-reviewers/recognition-for-reviewers/index.html" TargetMode="External"/><Relationship Id="rId43" Type="http://schemas.openxmlformats.org/officeDocument/2006/relationships/hyperlink" Target="https://www.elsevier.com/journals/annals-of-tourism-research/0160-7383?generatepdf=true" TargetMode="External"/><Relationship Id="rId139" Type="http://schemas.openxmlformats.org/officeDocument/2006/relationships/hyperlink" Target="https://www.tandfonline.com/action/authorSubmission?show=instructions&amp;journalCode=rdij20" TargetMode="External"/><Relationship Id="rId290" Type="http://schemas.openxmlformats.org/officeDocument/2006/relationships/hyperlink" Target="https://onlinelibrary.wiley.com/page/journal/14679922/homepage/forauthors.html" TargetMode="External"/><Relationship Id="rId304" Type="http://schemas.openxmlformats.org/officeDocument/2006/relationships/hyperlink" Target="https://pubs.acs.org/paragonplus/submission/nalefd/nalefd_authguide.pdf" TargetMode="External"/><Relationship Id="rId346" Type="http://schemas.openxmlformats.org/officeDocument/2006/relationships/hyperlink" Target="https://www.nature.com/authors/policies/peer_review.html" TargetMode="External"/><Relationship Id="rId388" Type="http://schemas.openxmlformats.org/officeDocument/2006/relationships/hyperlink" Target="https://www.nature.com/nrg/for-referees" TargetMode="External"/><Relationship Id="rId511" Type="http://schemas.openxmlformats.org/officeDocument/2006/relationships/hyperlink" Target="https://academic.oup.com/journals/pages/access_purchase/rights_and_permissions/self_archiving_policy_f" TargetMode="External"/><Relationship Id="rId85" Type="http://schemas.openxmlformats.org/officeDocument/2006/relationships/hyperlink" Target="https://www.cell.com/reviewers" TargetMode="External"/><Relationship Id="rId150" Type="http://schemas.openxmlformats.org/officeDocument/2006/relationships/hyperlink" Target="https://academic.oup.com/eurheartj/pages/Manuscript_Sharing" TargetMode="External"/><Relationship Id="rId192" Type="http://schemas.openxmlformats.org/officeDocument/2006/relationships/hyperlink" Target="http://cvpr2019.thecvf.com/submission/main_conference/author_guidelines" TargetMode="External"/><Relationship Id="rId206" Type="http://schemas.openxmlformats.org/officeDocument/2006/relationships/hyperlink" Target="https://ieeeauthorcenter.ieee.org/publishing-ethics/guidelines-and-policies/policy-posting-your-article/" TargetMode="External"/><Relationship Id="rId413" Type="http://schemas.openxmlformats.org/officeDocument/2006/relationships/hyperlink" Target="https://authorservices.wiley.com/Reviewers/journal-reviewers/how-to-perform-a-peer-review/general-and-ethical-guidelines.html" TargetMode="External"/><Relationship Id="rId248" Type="http://schemas.openxmlformats.org/officeDocument/2006/relationships/hyperlink" Target="https://www.aeaweb.org/journals/jep/submissions" TargetMode="External"/><Relationship Id="rId455" Type="http://schemas.openxmlformats.org/officeDocument/2006/relationships/hyperlink" Target="https://www.elsevier.com/reviewers/role" TargetMode="External"/><Relationship Id="rId497" Type="http://schemas.openxmlformats.org/officeDocument/2006/relationships/hyperlink" Target="https://cdn.ymaws.com/www.afajof.org/resource/resmgr/files/Submission_docs/JF_Submission_Guidelines-Feb.pdf" TargetMode="External"/><Relationship Id="rId12" Type="http://schemas.openxmlformats.org/officeDocument/2006/relationships/hyperlink" Target="https://pubs.acs.org/page/ancac3/submission/prior.html" TargetMode="External"/><Relationship Id="rId108" Type="http://schemas.openxmlformats.org/officeDocument/2006/relationships/hyperlink" Target="https://www.rsc.org/journals-books-databases/journal-authors-reviewers/reviewer-responsibilities/" TargetMode="External"/><Relationship Id="rId315" Type="http://schemas.openxmlformats.org/officeDocument/2006/relationships/hyperlink" Target="https://www.nature.com/authors/policies/preprints.html" TargetMode="External"/><Relationship Id="rId357" Type="http://schemas.openxmlformats.org/officeDocument/2006/relationships/hyperlink" Target="https://www.nature.com/authors/policies/peer_review.html" TargetMode="External"/><Relationship Id="rId522" Type="http://schemas.openxmlformats.org/officeDocument/2006/relationships/hyperlink" Target="https://www.elsevier.com/about/policies/sharing" TargetMode="External"/><Relationship Id="rId54" Type="http://schemas.openxmlformats.org/officeDocument/2006/relationships/hyperlink" Target="https://aip.scitation.org/apl/info/policies" TargetMode="External"/><Relationship Id="rId96" Type="http://schemas.openxmlformats.org/officeDocument/2006/relationships/hyperlink" Target="https://www.cell.com/cell-stem-cell/authors" TargetMode="External"/><Relationship Id="rId161" Type="http://schemas.openxmlformats.org/officeDocument/2006/relationships/hyperlink" Target="https://uk.sagepub.com/en-gb/eur/online-submission-peer-review-system" TargetMode="External"/><Relationship Id="rId217" Type="http://schemas.openxmlformats.org/officeDocument/2006/relationships/hyperlink" Target="https://jamanetwork.com/journals/jama/pages/instructions-for-authors" TargetMode="External"/><Relationship Id="rId399" Type="http://schemas.openxmlformats.org/officeDocument/2006/relationships/hyperlink" Target="https://nips.cc/Conferences/2019/CallForPapers" TargetMode="External"/><Relationship Id="rId259" Type="http://schemas.openxmlformats.org/officeDocument/2006/relationships/hyperlink" Target="https://www.elsevier.com/about/policies/sharing" TargetMode="External"/><Relationship Id="rId424" Type="http://schemas.openxmlformats.org/officeDocument/2006/relationships/hyperlink" Target="https://www.springer.com/philosophy/journal/11098" TargetMode="External"/><Relationship Id="rId466" Type="http://schemas.openxmlformats.org/officeDocument/2006/relationships/hyperlink" Target="https://www.sciencemag.org/authors/science-information-authors" TargetMode="External"/><Relationship Id="rId23" Type="http://schemas.openxmlformats.org/officeDocument/2006/relationships/hyperlink" Target="https://ajpsblogging.files.wordpress.com/2015/09/ajps-author-resources-ver-1-0.pdf" TargetMode="External"/><Relationship Id="rId119" Type="http://schemas.openxmlformats.org/officeDocument/2006/relationships/hyperlink" Target="https://www.ahajournals.org/prior-publication-policy" TargetMode="External"/><Relationship Id="rId270" Type="http://schemas.openxmlformats.org/officeDocument/2006/relationships/hyperlink" Target="http://www.rsc.org/journals-books-databases/journal-authors-reviewers/reviewer-responsibilities/" TargetMode="External"/><Relationship Id="rId326" Type="http://schemas.openxmlformats.org/officeDocument/2006/relationships/hyperlink" Target="https://www.nature.com/authors/policies/peer_review.html" TargetMode="External"/><Relationship Id="rId65" Type="http://schemas.openxmlformats.org/officeDocument/2006/relationships/hyperlink" Target="https://www.bmj.com/about-bmj/resources-reviewers" TargetMode="External"/><Relationship Id="rId130" Type="http://schemas.openxmlformats.org/officeDocument/2006/relationships/hyperlink" Target="https://www.elsevier.com/reviewers/what-is-peer-review" TargetMode="External"/><Relationship Id="rId368" Type="http://schemas.openxmlformats.org/officeDocument/2006/relationships/hyperlink" Target="https://www.nature.com/authors/author_resources/transfer_manuscripts.html" TargetMode="External"/><Relationship Id="rId172" Type="http://schemas.openxmlformats.org/officeDocument/2006/relationships/hyperlink" Target="https://www.elsevier.com/journals/government-information-quarterly/0740-624X?generatepdf=true" TargetMode="External"/><Relationship Id="rId228" Type="http://schemas.openxmlformats.org/officeDocument/2006/relationships/hyperlink" Target="https://www.elsevier.com/journals/journal-of-business-research/0148-2963/guide-for-authors" TargetMode="External"/><Relationship Id="rId435" Type="http://schemas.openxmlformats.org/officeDocument/2006/relationships/hyperlink" Target="https://journals.aps.org/prx/referees/referee-response-physical-review-x" TargetMode="External"/><Relationship Id="rId477" Type="http://schemas.openxmlformats.org/officeDocument/2006/relationships/hyperlink" Target="https://www.elsevier.com/journals/social-science-and-medicine/0277-9536/guide-for-authors" TargetMode="External"/><Relationship Id="rId281" Type="http://schemas.openxmlformats.org/officeDocument/2006/relationships/hyperlink" Target="https://us.sagepub.com/en-us/nam/reviewer-rewards" TargetMode="External"/><Relationship Id="rId337" Type="http://schemas.openxmlformats.org/officeDocument/2006/relationships/hyperlink" Target="https://www.nature.com/ncomms/journal-policies/guide-to-referees" TargetMode="External"/><Relationship Id="rId502" Type="http://schemas.openxmlformats.org/officeDocument/2006/relationships/hyperlink" Target="https://els-jbs-prod-cdn.literatumonline.com/pb/assets/raw/Lancet/authors/tln-info-for-authors-1541596047120.pdf" TargetMode="External"/><Relationship Id="rId34" Type="http://schemas.openxmlformats.org/officeDocument/2006/relationships/hyperlink" Target="http://annals.org/aim/pages/authors" TargetMode="External"/><Relationship Id="rId76" Type="http://schemas.openxmlformats.org/officeDocument/2006/relationships/hyperlink" Target="https://www.cell.com/cancer-cell/authors" TargetMode="External"/><Relationship Id="rId141" Type="http://schemas.openxmlformats.org/officeDocument/2006/relationships/hyperlink" Target="https://www.econometricsociety.org/publications/econometrica/information-authors/editorial-procedures-and-policies" TargetMode="External"/><Relationship Id="rId379" Type="http://schemas.openxmlformats.org/officeDocument/2006/relationships/hyperlink" Target="https://www.nature.com/nphoton/for-referees/policies-and-processes" TargetMode="External"/><Relationship Id="rId7" Type="http://schemas.openxmlformats.org/officeDocument/2006/relationships/hyperlink" Target="https://aom.org/Publications/AMR/Frequently-Asked-Questions.aspx" TargetMode="External"/><Relationship Id="rId183" Type="http://schemas.openxmlformats.org/officeDocument/2006/relationships/hyperlink" Target="https://www.healthaffairs.org/help-for-authors" TargetMode="External"/><Relationship Id="rId239" Type="http://schemas.openxmlformats.org/officeDocument/2006/relationships/hyperlink" Target="http://ascopubs.org/reviewers" TargetMode="External"/><Relationship Id="rId390" Type="http://schemas.openxmlformats.org/officeDocument/2006/relationships/hyperlink" Target="https://www.nature.com/nrc/for-referees" TargetMode="External"/><Relationship Id="rId404" Type="http://schemas.openxmlformats.org/officeDocument/2006/relationships/hyperlink" Target="https://www.elsevier.com/about/policies/sharing" TargetMode="External"/><Relationship Id="rId446" Type="http://schemas.openxmlformats.org/officeDocument/2006/relationships/hyperlink" Target="https://www.pnas.org/content/115/52/E12466" TargetMode="External"/><Relationship Id="rId250" Type="http://schemas.openxmlformats.org/officeDocument/2006/relationships/hyperlink" Target="https://www.apa.org/pubs/journals/resources/open-science.aspx" TargetMode="External"/><Relationship Id="rId292" Type="http://schemas.openxmlformats.org/officeDocument/2006/relationships/hyperlink" Target="https://www.elsevier.com/reviewers/role" TargetMode="External"/><Relationship Id="rId306" Type="http://schemas.openxmlformats.org/officeDocument/2006/relationships/hyperlink" Target="https://pubs.acs.org/userimages/ContentEditor/1218054468605/ethics.pdf" TargetMode="External"/><Relationship Id="rId488" Type="http://schemas.openxmlformats.org/officeDocument/2006/relationships/hyperlink" Target="https://community.cochrane.org/editorial-and-publishing-policy-resource/cochrane-review-management/cochrane-peer-review-policy" TargetMode="External"/><Relationship Id="rId45" Type="http://schemas.openxmlformats.org/officeDocument/2006/relationships/hyperlink" Target="https://www.elsevier.com/reviewers/what-is-peer-review" TargetMode="External"/><Relationship Id="rId87" Type="http://schemas.openxmlformats.org/officeDocument/2006/relationships/hyperlink" Target="https://arxiv.org/" TargetMode="External"/><Relationship Id="rId110" Type="http://schemas.openxmlformats.org/officeDocument/2006/relationships/hyperlink" Target="https://pubs.acs.org/paragonplus/submission/cmatex/cmatex_scope.pdf" TargetMode="External"/><Relationship Id="rId348" Type="http://schemas.openxmlformats.org/officeDocument/2006/relationships/hyperlink" Target="https://www.nature.com/authors/author_resources/transfer_manuscripts.html" TargetMode="External"/><Relationship Id="rId513" Type="http://schemas.openxmlformats.org/officeDocument/2006/relationships/hyperlink" Target="https://www.elsevier.com/journals/tourism-management/0261-5177/guide-for-authors" TargetMode="External"/><Relationship Id="rId152" Type="http://schemas.openxmlformats.org/officeDocument/2006/relationships/hyperlink" Target="https://www.europeanurology.com/content/resources-for-authors" TargetMode="External"/><Relationship Id="rId194" Type="http://schemas.openxmlformats.org/officeDocument/2006/relationships/hyperlink" Target="http://iccv2019.thecvf.com/submission/main_conference/reviewer_guidelines" TargetMode="External"/><Relationship Id="rId208" Type="http://schemas.openxmlformats.org/officeDocument/2006/relationships/hyperlink" Target="http://www.cell.com/immunity/articletransfer" TargetMode="External"/><Relationship Id="rId415" Type="http://schemas.openxmlformats.org/officeDocument/2006/relationships/hyperlink" Target="https://academic.oup.com/nar/pages/Policies" TargetMode="External"/><Relationship Id="rId457" Type="http://schemas.openxmlformats.org/officeDocument/2006/relationships/hyperlink" Target="https://www.elsevier.com/reviewers/how-to-review" TargetMode="External"/><Relationship Id="rId261" Type="http://schemas.openxmlformats.org/officeDocument/2006/relationships/hyperlink" Target="https://www.springer.com/us/authors-editors/journal-author/the-springer-transfer-desk" TargetMode="External"/><Relationship Id="rId499" Type="http://schemas.openxmlformats.org/officeDocument/2006/relationships/hyperlink" Target="http://pubs.acs.org/paragonplus/submission/jpclcd/jpclcd_authguide.pdf" TargetMode="External"/><Relationship Id="rId14" Type="http://schemas.openxmlformats.org/officeDocument/2006/relationships/hyperlink" Target="https://application.wiley-vch.de/util/cta/euchems_ethicalguidelines.pdf" TargetMode="External"/><Relationship Id="rId56" Type="http://schemas.openxmlformats.org/officeDocument/2006/relationships/hyperlink" Target="https://www.aanda.org/author-information" TargetMode="External"/><Relationship Id="rId317" Type="http://schemas.openxmlformats.org/officeDocument/2006/relationships/hyperlink" Target="https://www.nature.com/authors/policies/peer_review.html" TargetMode="External"/><Relationship Id="rId359" Type="http://schemas.openxmlformats.org/officeDocument/2006/relationships/hyperlink" Target="https://www.nature.com/nm/for-referees/policies-and-processes" TargetMode="External"/><Relationship Id="rId98" Type="http://schemas.openxmlformats.org/officeDocument/2006/relationships/hyperlink" Target="http://www.rsc.org/journals-books-databases/journal-authors-reviewers/reviewer-responsibilities/" TargetMode="External"/><Relationship Id="rId121" Type="http://schemas.openxmlformats.org/officeDocument/2006/relationships/hyperlink" Target="http://aacrjournals.org/content/authors/editorial-process" TargetMode="External"/><Relationship Id="rId163" Type="http://schemas.openxmlformats.org/officeDocument/2006/relationships/hyperlink" Target="https://publications.agu.org/author-resource-center/steps-to-publication/" TargetMode="External"/><Relationship Id="rId219" Type="http://schemas.openxmlformats.org/officeDocument/2006/relationships/hyperlink" Target="https://www.elsevier.com/authors/journal-authors/submit-your-paper/submit-and-revise/article-transfer-service" TargetMode="External"/><Relationship Id="rId370" Type="http://schemas.openxmlformats.org/officeDocument/2006/relationships/hyperlink" Target="https://www.nature.com/authors/policies/preprints.html" TargetMode="External"/><Relationship Id="rId426" Type="http://schemas.openxmlformats.org/officeDocument/2006/relationships/hyperlink" Target="https://journals.aps.org/prb/authors/editorial-policies-practices" TargetMode="External"/><Relationship Id="rId230" Type="http://schemas.openxmlformats.org/officeDocument/2006/relationships/hyperlink" Target="https://www.elsevier.com/reviewers/what-is-peer-review" TargetMode="External"/><Relationship Id="rId468" Type="http://schemas.openxmlformats.org/officeDocument/2006/relationships/hyperlink" Target="http://www.sciencemag.org/authors/science-journals-editorial-policies" TargetMode="External"/><Relationship Id="rId25" Type="http://schemas.openxmlformats.org/officeDocument/2006/relationships/hyperlink" Target="https://ajph.aphapublications.org/page/authors.html" TargetMode="External"/><Relationship Id="rId67" Type="http://schemas.openxmlformats.org/officeDocument/2006/relationships/hyperlink" Target="https://authors.bmj.com/policies/peer-review-terms-and-conditions/" TargetMode="External"/><Relationship Id="rId272" Type="http://schemas.openxmlformats.org/officeDocument/2006/relationships/hyperlink" Target="https://www.journals.elsevier.com/journal-of-pragmatics/policies/peer-review-policy-for-the-journal-of-pragmatics" TargetMode="External"/><Relationship Id="rId328" Type="http://schemas.openxmlformats.org/officeDocument/2006/relationships/hyperlink" Target="https://www.nature.com/authors/author_resources/transfer_manuscripts.html" TargetMode="External"/><Relationship Id="rId132" Type="http://schemas.openxmlformats.org/officeDocument/2006/relationships/hyperlink" Target="https://www.elsevier.com/journals/computers-and-education/0360-1315/guide-for-authors" TargetMode="External"/><Relationship Id="rId174" Type="http://schemas.openxmlformats.org/officeDocument/2006/relationships/hyperlink" Target="https://www.elsevier.com/reviewers/how-to-review" TargetMode="External"/><Relationship Id="rId381" Type="http://schemas.openxmlformats.org/officeDocument/2006/relationships/hyperlink" Target="https://www.nature.com/authors/policies/peer_review.html" TargetMode="External"/><Relationship Id="rId241" Type="http://schemas.openxmlformats.org/officeDocument/2006/relationships/hyperlink" Target="https://academic.oup.com/joc/pages/General_Instructions" TargetMode="External"/><Relationship Id="rId437" Type="http://schemas.openxmlformats.org/officeDocument/2006/relationships/hyperlink" Target="https://journals.aps.org/prx/authors/editorial-policies-practices" TargetMode="External"/><Relationship Id="rId479" Type="http://schemas.openxmlformats.org/officeDocument/2006/relationships/hyperlink" Target="https://www.springer.com/philosophy/epistemology+and+philosophy+of+science/journal/11229" TargetMode="External"/><Relationship Id="rId36" Type="http://schemas.openxmlformats.org/officeDocument/2006/relationships/hyperlink" Target="https://academic.oup.com/annonc/pages/General_Instructions" TargetMode="External"/><Relationship Id="rId283" Type="http://schemas.openxmlformats.org/officeDocument/2006/relationships/hyperlink" Target="https://us.sagepub.com/en-us/nam/prior-publication" TargetMode="External"/><Relationship Id="rId339" Type="http://schemas.openxmlformats.org/officeDocument/2006/relationships/hyperlink" Target="https://www.nature.com/ncomms/journal-policies/guide-to-referees" TargetMode="External"/><Relationship Id="rId490" Type="http://schemas.openxmlformats.org/officeDocument/2006/relationships/hyperlink" Target="https://www.springer.com/physics/particle+and+nuclear+physics/journal/10052" TargetMode="External"/><Relationship Id="rId504" Type="http://schemas.openxmlformats.org/officeDocument/2006/relationships/hyperlink" Target="https://els-jbs-prod-cdn.literatumonline.com/pb/assets/raw/Lancet/authors/tln-info-for-authors-1541596047120.pdf" TargetMode="External"/><Relationship Id="rId78" Type="http://schemas.openxmlformats.org/officeDocument/2006/relationships/hyperlink" Target="https://www.cell.com/cancer-cell/authors" TargetMode="External"/><Relationship Id="rId101" Type="http://schemas.openxmlformats.org/officeDocument/2006/relationships/hyperlink" Target="http://www.rsc.org/journals-books-databases/journal-authors-reviewers/processes-policies/" TargetMode="External"/><Relationship Id="rId143" Type="http://schemas.openxmlformats.org/officeDocument/2006/relationships/hyperlink" Target="http://www.rsc.org/journals-books-databases/journal-authors-reviewers/reviewer-responsibilities/" TargetMode="External"/><Relationship Id="rId185" Type="http://schemas.openxmlformats.org/officeDocument/2006/relationships/hyperlink" Target="https://aasldpubs.onlinelibrary.wiley.com/hub/journal/15273350/about/author-guidelines" TargetMode="External"/><Relationship Id="rId350" Type="http://schemas.openxmlformats.org/officeDocument/2006/relationships/hyperlink" Target="https://www.nature.com/authors/policies/preprints.html" TargetMode="External"/><Relationship Id="rId406" Type="http://schemas.openxmlformats.org/officeDocument/2006/relationships/hyperlink" Target="https://www.cell.com/neuron/authors" TargetMode="External"/><Relationship Id="rId9" Type="http://schemas.openxmlformats.org/officeDocument/2006/relationships/hyperlink" Target="https://pubs.acs.org/userimages/ContentEditor/1218054468605/ethics.pdf" TargetMode="External"/><Relationship Id="rId210" Type="http://schemas.openxmlformats.org/officeDocument/2006/relationships/hyperlink" Target="https://www.elsevier.com/journals/international-journal-of-production-economics/0925-5273?generatepdf=true" TargetMode="External"/><Relationship Id="rId392" Type="http://schemas.openxmlformats.org/officeDocument/2006/relationships/hyperlink" Target="https://www.nature.com/nrg/for-referees" TargetMode="External"/><Relationship Id="rId448" Type="http://schemas.openxmlformats.org/officeDocument/2006/relationships/hyperlink" Target="https://uk.sagepub.com/en-gb/eur/journal/progress-human-geography" TargetMode="External"/><Relationship Id="rId252" Type="http://schemas.openxmlformats.org/officeDocument/2006/relationships/hyperlink" Target="https://www.elsevier.com/reviewers/role" TargetMode="External"/><Relationship Id="rId294" Type="http://schemas.openxmlformats.org/officeDocument/2006/relationships/hyperlink" Target="https://www.elsevier.com/reviewers/how-to-review" TargetMode="External"/><Relationship Id="rId308" Type="http://schemas.openxmlformats.org/officeDocument/2006/relationships/hyperlink" Target="https://www.rsc.org/journals-books-databases/journal-authors-reviewers/reviewer-responsibilities/" TargetMode="External"/><Relationship Id="rId515" Type="http://schemas.openxmlformats.org/officeDocument/2006/relationships/hyperlink" Target="https://www.elsevier.com/reviewers/what-is-peer-review" TargetMode="External"/><Relationship Id="rId47" Type="http://schemas.openxmlformats.org/officeDocument/2006/relationships/hyperlink" Target="https://www.elsevier.com/journals/applied-energy/0306-2619/guide-for-authors" TargetMode="External"/><Relationship Id="rId89" Type="http://schemas.openxmlformats.org/officeDocument/2006/relationships/hyperlink" Target="https://www.cell.com/cell-metabolism/articletransfer" TargetMode="External"/><Relationship Id="rId112" Type="http://schemas.openxmlformats.org/officeDocument/2006/relationships/hyperlink" Target="https://pubs.acs.org/page/cmatex/submission/prior.html" TargetMode="External"/><Relationship Id="rId154" Type="http://schemas.openxmlformats.org/officeDocument/2006/relationships/hyperlink" Target="https://www.elsevier.com/reviewers/what-is-peer-review" TargetMode="External"/><Relationship Id="rId361" Type="http://schemas.openxmlformats.org/officeDocument/2006/relationships/hyperlink" Target="https://www.nature.com/authors/policies/peer_review.html" TargetMode="External"/><Relationship Id="rId196" Type="http://schemas.openxmlformats.org/officeDocument/2006/relationships/hyperlink" Target="https://ieeeauthorcenter.ieee.org/peer-review-at-ieee/" TargetMode="External"/><Relationship Id="rId417" Type="http://schemas.openxmlformats.org/officeDocument/2006/relationships/hyperlink" Target="https://www.osapublishing.org/submit/review/peer_review.cfm" TargetMode="External"/><Relationship Id="rId459" Type="http://schemas.openxmlformats.org/officeDocument/2006/relationships/hyperlink" Target="https://www.elsevier.com/reviewers/role" TargetMode="External"/><Relationship Id="rId16" Type="http://schemas.openxmlformats.org/officeDocument/2006/relationships/hyperlink" Target="https://wol-prod-cdn.literatumonline.com/pb-assets/assets/15214095/2089_guidelines-1510017322000.pdf" TargetMode="External"/><Relationship Id="rId221" Type="http://schemas.openxmlformats.org/officeDocument/2006/relationships/hyperlink" Target="https://www.elsevier.com/journals/journal-of-banking-and-finance/0378-4266/guide-for-authors" TargetMode="External"/><Relationship Id="rId263" Type="http://schemas.openxmlformats.org/officeDocument/2006/relationships/hyperlink" Target="https://journals.sagepub.com/pb-assets/cmscontent/JOM/JOM_Style_Guide_revised_2017.pdf" TargetMode="External"/><Relationship Id="rId319" Type="http://schemas.openxmlformats.org/officeDocument/2006/relationships/hyperlink" Target="https://www.nature.com/nbt/for-referees/policies-and-processes" TargetMode="External"/><Relationship Id="rId470" Type="http://schemas.openxmlformats.org/officeDocument/2006/relationships/hyperlink" Target="https://stm.sciencemag.org/content/information-reviewers" TargetMode="External"/><Relationship Id="rId58" Type="http://schemas.openxmlformats.org/officeDocument/2006/relationships/hyperlink" Target="https://www.elsevier.com/reviewers/role" TargetMode="External"/><Relationship Id="rId123" Type="http://schemas.openxmlformats.org/officeDocument/2006/relationships/hyperlink" Target="http://aacrjournals.org/content/authors/manuscript-transfer" TargetMode="External"/><Relationship Id="rId330" Type="http://schemas.openxmlformats.org/officeDocument/2006/relationships/hyperlink" Target="https://www.nature.com/authors/policies/preprints.html" TargetMode="External"/><Relationship Id="rId165" Type="http://schemas.openxmlformats.org/officeDocument/2006/relationships/hyperlink" Target="https://publications.agu.org/reviewer-resources/" TargetMode="External"/><Relationship Id="rId372" Type="http://schemas.openxmlformats.org/officeDocument/2006/relationships/hyperlink" Target="https://www.nature.com/authors/policies/peer_review.html" TargetMode="External"/><Relationship Id="rId428" Type="http://schemas.openxmlformats.org/officeDocument/2006/relationships/hyperlink" Target="https://journals.aps.org/prd/authors/editorial-policies-practices" TargetMode="External"/><Relationship Id="rId232" Type="http://schemas.openxmlformats.org/officeDocument/2006/relationships/hyperlink" Target="https://www.elsevier.com/about/policies/sharing" TargetMode="External"/><Relationship Id="rId274" Type="http://schemas.openxmlformats.org/officeDocument/2006/relationships/hyperlink" Target="http://pubs.acs.org/paragonplus/submission/jacsat/jacsat_authguide.pdf" TargetMode="External"/><Relationship Id="rId481" Type="http://schemas.openxmlformats.org/officeDocument/2006/relationships/hyperlink" Target="https://www.journals.elsevier.com/system" TargetMode="External"/><Relationship Id="rId27" Type="http://schemas.openxmlformats.org/officeDocument/2006/relationships/hyperlink" Target="https://us.sagepub.com/en-us/nam/journal/american-sociological-review" TargetMode="External"/><Relationship Id="rId69" Type="http://schemas.openxmlformats.org/officeDocument/2006/relationships/hyperlink" Target="https://authors.bmj.com/policies/peer-review-terms-and-conditions/" TargetMode="External"/><Relationship Id="rId134" Type="http://schemas.openxmlformats.org/officeDocument/2006/relationships/hyperlink" Target="http://www.diabetesjournals.org/for-reviewers" TargetMode="External"/><Relationship Id="rId80" Type="http://schemas.openxmlformats.org/officeDocument/2006/relationships/hyperlink" Target="http://aacrjournals.org/site/Info/Reviewers.xhtml" TargetMode="External"/><Relationship Id="rId176" Type="http://schemas.openxmlformats.org/officeDocument/2006/relationships/hyperlink" Target="https://authors.bmj.com/policies/peer-review-terms-and-conditions/" TargetMode="External"/><Relationship Id="rId341" Type="http://schemas.openxmlformats.org/officeDocument/2006/relationships/hyperlink" Target="https://www.nature.com/authors/policies/peer_review.html" TargetMode="External"/><Relationship Id="rId383" Type="http://schemas.openxmlformats.org/officeDocument/2006/relationships/hyperlink" Target="https://www.nature.com/authors/author_resources/transfer_manuscripts.html" TargetMode="External"/><Relationship Id="rId439" Type="http://schemas.openxmlformats.org/officeDocument/2006/relationships/hyperlink" Target="https://www.elsevier.com/journals/physics-letters-b/0370-2693/guide-for-authors" TargetMode="External"/><Relationship Id="rId201" Type="http://schemas.openxmlformats.org/officeDocument/2006/relationships/hyperlink" Target="https://ieeeauthorcenter.ieee.org/publishing-ethics/guidelines-and-policies/policy-posting-your-article/" TargetMode="External"/><Relationship Id="rId243" Type="http://schemas.openxmlformats.org/officeDocument/2006/relationships/hyperlink" Target="https://publishingsupport.iopscience.iop.org/becoming-a-journal-reviewer/" TargetMode="External"/><Relationship Id="rId285" Type="http://schemas.openxmlformats.org/officeDocument/2006/relationships/hyperlink" Target="https://www.tandfonline.com/action/authorSubmission?journalCode=rjos20&amp;page=instructions" TargetMode="External"/><Relationship Id="rId450" Type="http://schemas.openxmlformats.org/officeDocument/2006/relationships/hyperlink" Target="https://uk.sagepub.com/en-gb/eur/how-to-review-articles" TargetMode="External"/><Relationship Id="rId506" Type="http://schemas.openxmlformats.org/officeDocument/2006/relationships/hyperlink" Target="https://els-jbs-prod-cdn.literatumonline.com/pb/assets/raw/Lancet/authors/tlo-info-for-authors-1541596062097.pdf" TargetMode="External"/><Relationship Id="rId38" Type="http://schemas.openxmlformats.org/officeDocument/2006/relationships/hyperlink" Target="https://ard.bmj.com/pages/about/" TargetMode="External"/><Relationship Id="rId103" Type="http://schemas.openxmlformats.org/officeDocument/2006/relationships/hyperlink" Target="https://pubs.acs.org/page/policy/manuscript_transfer/index.html" TargetMode="External"/><Relationship Id="rId310" Type="http://schemas.openxmlformats.org/officeDocument/2006/relationships/hyperlink" Target="https://www.rsc.org/journals-books-databases/journal-authors-reviewers/reviewer-responsibilities/" TargetMode="External"/><Relationship Id="rId492" Type="http://schemas.openxmlformats.org/officeDocument/2006/relationships/hyperlink" Target="https://www.jci.org/kiosks/authors" TargetMode="External"/><Relationship Id="rId91" Type="http://schemas.openxmlformats.org/officeDocument/2006/relationships/hyperlink" Target="https://www.cell.com/cell-metabolism/authors" TargetMode="External"/><Relationship Id="rId145" Type="http://schemas.openxmlformats.org/officeDocument/2006/relationships/hyperlink" Target="https://www.rsc.org/journals-books-databases/journal-authors-reviewers/processes-policies/" TargetMode="External"/><Relationship Id="rId187" Type="http://schemas.openxmlformats.org/officeDocument/2006/relationships/hyperlink" Target="https://pspb.ieee.org/images/files/files/opsmanual.pdf" TargetMode="External"/><Relationship Id="rId352" Type="http://schemas.openxmlformats.org/officeDocument/2006/relationships/hyperlink" Target="https://www.nature.com/authors/policies/peer_review.html" TargetMode="External"/><Relationship Id="rId394" Type="http://schemas.openxmlformats.org/officeDocument/2006/relationships/hyperlink" Target="https://www.nature.com/nrg/for-referees" TargetMode="External"/><Relationship Id="rId408" Type="http://schemas.openxmlformats.org/officeDocument/2006/relationships/hyperlink" Target="https://www.cell.com/neuron/authors" TargetMode="External"/><Relationship Id="rId212" Type="http://schemas.openxmlformats.org/officeDocument/2006/relationships/hyperlink" Target="https://www.elsevier.com/reviewers/what-is-peer-review" TargetMode="External"/><Relationship Id="rId254" Type="http://schemas.openxmlformats.org/officeDocument/2006/relationships/hyperlink" Target="https://www.elsevier.com/reviewers/how-to-review" TargetMode="External"/><Relationship Id="rId49" Type="http://schemas.openxmlformats.org/officeDocument/2006/relationships/hyperlink" Target="https://www.elsevier.com/reviewers/what-is-peer-review" TargetMode="External"/><Relationship Id="rId114" Type="http://schemas.openxmlformats.org/officeDocument/2006/relationships/hyperlink" Target="https://www.ahajournals.org/pb-assets/Ethical%20ConductPolicyApril2017finalWeb.pdf" TargetMode="External"/><Relationship Id="rId296" Type="http://schemas.openxmlformats.org/officeDocument/2006/relationships/hyperlink" Target="https://pubsonline.informs.org/page/mnsc/submission-guidelines" TargetMode="External"/><Relationship Id="rId461" Type="http://schemas.openxmlformats.org/officeDocument/2006/relationships/hyperlink" Target="https://www.elsevier.com/reviewers/how-to-review" TargetMode="External"/><Relationship Id="rId517" Type="http://schemas.openxmlformats.org/officeDocument/2006/relationships/hyperlink" Target="https://www.elsevier.com/about/policies/sharing" TargetMode="External"/><Relationship Id="rId60" Type="http://schemas.openxmlformats.org/officeDocument/2006/relationships/hyperlink" Target="https://www.elsevier.com/reviewers/how-to-review" TargetMode="External"/><Relationship Id="rId156" Type="http://schemas.openxmlformats.org/officeDocument/2006/relationships/hyperlink" Target="https://www.gastrojournal.org/content/authorinfo" TargetMode="External"/><Relationship Id="rId198" Type="http://schemas.openxmlformats.org/officeDocument/2006/relationships/hyperlink" Target="https://ieeeauthorcenter.ieee.org/peer-review-at-ieee/" TargetMode="External"/><Relationship Id="rId321" Type="http://schemas.openxmlformats.org/officeDocument/2006/relationships/hyperlink" Target="https://www.nature.com/authors/policies/peer_review.html" TargetMode="External"/><Relationship Id="rId363" Type="http://schemas.openxmlformats.org/officeDocument/2006/relationships/hyperlink" Target="https://www.nature.com/authors/author_resources/transfer_manuscripts.html" TargetMode="External"/><Relationship Id="rId419" Type="http://schemas.openxmlformats.org/officeDocument/2006/relationships/hyperlink" Target="https://www.osapublishing.org/submit/review/peer_review.cfm" TargetMode="External"/><Relationship Id="rId223" Type="http://schemas.openxmlformats.org/officeDocument/2006/relationships/hyperlink" Target="https://www.elsevier.com/reviewers/what-is-peer-review" TargetMode="External"/><Relationship Id="rId430" Type="http://schemas.openxmlformats.org/officeDocument/2006/relationships/hyperlink" Target="https://journals.aps.org/prd/authors/editorial-policies-practices" TargetMode="External"/><Relationship Id="rId18" Type="http://schemas.openxmlformats.org/officeDocument/2006/relationships/hyperlink" Target="https://www.aeaweb.org/journals/aer/reviewers" TargetMode="External"/><Relationship Id="rId265" Type="http://schemas.openxmlformats.org/officeDocument/2006/relationships/hyperlink" Target="https://us.sagepub.com/en-us/nam/how-to-review-articles" TargetMode="External"/><Relationship Id="rId472" Type="http://schemas.openxmlformats.org/officeDocument/2006/relationships/hyperlink" Target="https://www.nature.com/srep/journal-policies/peer-review" TargetMode="External"/><Relationship Id="rId125" Type="http://schemas.openxmlformats.org/officeDocument/2006/relationships/hyperlink" Target="http://aacrjournals.org/content/authors/editorial-policies" TargetMode="External"/><Relationship Id="rId167" Type="http://schemas.openxmlformats.org/officeDocument/2006/relationships/hyperlink" Target="https://www.elsevier.com/journals/global-environmental-change/0959-3780/guide-for-authors" TargetMode="External"/><Relationship Id="rId332" Type="http://schemas.openxmlformats.org/officeDocument/2006/relationships/hyperlink" Target="https://www.nature.com/authors/policies/peer_review.html" TargetMode="External"/><Relationship Id="rId374" Type="http://schemas.openxmlformats.org/officeDocument/2006/relationships/hyperlink" Target="https://www.nature.com/neuro/for-referees/policies-and-processes" TargetMode="External"/><Relationship Id="rId71" Type="http://schemas.openxmlformats.org/officeDocument/2006/relationships/hyperlink" Target="https://authors.bmj.com/policies/preprints/" TargetMode="External"/><Relationship Id="rId234" Type="http://schemas.openxmlformats.org/officeDocument/2006/relationships/hyperlink" Target="https://www.elsevier.com/reviewers/role" TargetMode="External"/><Relationship Id="rId2" Type="http://schemas.openxmlformats.org/officeDocument/2006/relationships/hyperlink" Target="https://pubs.acs.org/paragonplus/submission/achre4/achre4_authguide.pdf" TargetMode="External"/><Relationship Id="rId29" Type="http://schemas.openxmlformats.org/officeDocument/2006/relationships/hyperlink" Target="https://uk.sagepub.com/en-gb/eur/how-to-review-articles" TargetMode="External"/><Relationship Id="rId276" Type="http://schemas.openxmlformats.org/officeDocument/2006/relationships/hyperlink" Target="http://pubs.acs.org/paragonplus/submission/jacsat/jacsat_authguide.pdf" TargetMode="External"/><Relationship Id="rId441" Type="http://schemas.openxmlformats.org/officeDocument/2006/relationships/hyperlink" Target="https://journals.plos.org/plosone/s/editorial-and-peer-review-process" TargetMode="External"/><Relationship Id="rId483" Type="http://schemas.openxmlformats.org/officeDocument/2006/relationships/hyperlink" Target="https://www.elsevier.com/journals/teaching-and-teacher-education/0742-051x/guide-for-authors" TargetMode="External"/><Relationship Id="rId40" Type="http://schemas.openxmlformats.org/officeDocument/2006/relationships/hyperlink" Target="https://authors.bmj.com/policies/peer-review-terms-and-conditions/" TargetMode="External"/><Relationship Id="rId136" Type="http://schemas.openxmlformats.org/officeDocument/2006/relationships/hyperlink" Target="http://www.diabetesjournals.org/content/journal-policies" TargetMode="External"/><Relationship Id="rId178" Type="http://schemas.openxmlformats.org/officeDocument/2006/relationships/hyperlink" Target="https://authors.bmj.com/policies/peer-review-terms-and-conditions/" TargetMode="External"/><Relationship Id="rId301" Type="http://schemas.openxmlformats.org/officeDocument/2006/relationships/hyperlink" Target="https://www.cell.com/molecular-cell/authors" TargetMode="External"/><Relationship Id="rId343" Type="http://schemas.openxmlformats.org/officeDocument/2006/relationships/hyperlink" Target="https://www.nature.com/authors/author_resources/transfer_manuscripts.html" TargetMode="External"/><Relationship Id="rId82" Type="http://schemas.openxmlformats.org/officeDocument/2006/relationships/hyperlink" Target="http://aacrjournals.org/content/authors/editorial-policies" TargetMode="External"/><Relationship Id="rId203" Type="http://schemas.openxmlformats.org/officeDocument/2006/relationships/hyperlink" Target="https://ieeeauthorcenter.ieee.org/publishing-ethics/guidelines-and-policies/policy-posting-your-article/" TargetMode="External"/><Relationship Id="rId385" Type="http://schemas.openxmlformats.org/officeDocument/2006/relationships/hyperlink" Target="https://www.nature.com/authors/policies/preprints.html" TargetMode="External"/><Relationship Id="rId245" Type="http://schemas.openxmlformats.org/officeDocument/2006/relationships/hyperlink" Target="https://publishingsupport.iopscience.iop.org/questions/article-transfer-service/" TargetMode="External"/><Relationship Id="rId287" Type="http://schemas.openxmlformats.org/officeDocument/2006/relationships/hyperlink" Target="https://www.elsevier.com/reviewers/role" TargetMode="External"/><Relationship Id="rId410" Type="http://schemas.openxmlformats.org/officeDocument/2006/relationships/hyperlink" Target="https://us.sagepub.com/en-us/nam/journal/new-media-society" TargetMode="External"/><Relationship Id="rId452" Type="http://schemas.openxmlformats.org/officeDocument/2006/relationships/hyperlink" Target="https://academic.oup.com/journals/pages/access_purchase/rights_and_permissions/self_archiving_policy_a" TargetMode="External"/><Relationship Id="rId494" Type="http://schemas.openxmlformats.org/officeDocument/2006/relationships/hyperlink" Target="https://www.jci.org/kiosks/authors" TargetMode="External"/><Relationship Id="rId508" Type="http://schemas.openxmlformats.org/officeDocument/2006/relationships/hyperlink" Target="https://authorservices.wiley.com/Reviewers/journal-reviewers/recognition-for-reviewers/index.html" TargetMode="External"/><Relationship Id="rId105" Type="http://schemas.openxmlformats.org/officeDocument/2006/relationships/hyperlink" Target="http://www.rsc.org/journals-books-databases/journal-authors-reviewers/reviewer-responsibilities/" TargetMode="External"/><Relationship Id="rId147" Type="http://schemas.openxmlformats.org/officeDocument/2006/relationships/hyperlink" Target="https://pubs.acs.org/paragonplus/submission/esthag/esthag_authguide.pdf" TargetMode="External"/><Relationship Id="rId312" Type="http://schemas.openxmlformats.org/officeDocument/2006/relationships/hyperlink" Target="https://www.nature.com/authors/policies/peer_review.html" TargetMode="External"/><Relationship Id="rId354" Type="http://schemas.openxmlformats.org/officeDocument/2006/relationships/hyperlink" Target="https://www.nature.com/nmat/for-referees/policies-and-processes" TargetMode="External"/><Relationship Id="rId51" Type="http://schemas.openxmlformats.org/officeDocument/2006/relationships/hyperlink" Target="https://academic.oup.com/applij/pages/General_Instructions" TargetMode="External"/><Relationship Id="rId93" Type="http://schemas.openxmlformats.org/officeDocument/2006/relationships/hyperlink" Target="https://www.cell.com/reviewers" TargetMode="External"/><Relationship Id="rId189" Type="http://schemas.openxmlformats.org/officeDocument/2006/relationships/hyperlink" Target="https://pspb.ieee.org/images/files/files/opsmanual.pdf" TargetMode="External"/><Relationship Id="rId396" Type="http://schemas.openxmlformats.org/officeDocument/2006/relationships/hyperlink" Target="https://www.nature.com/nrg/for-referees" TargetMode="External"/><Relationship Id="rId214" Type="http://schemas.openxmlformats.org/officeDocument/2006/relationships/hyperlink" Target="https://www.elsevier.com/journals/international-journal-of-production-economics/0925-5273/guide-for-authors" TargetMode="External"/><Relationship Id="rId256" Type="http://schemas.openxmlformats.org/officeDocument/2006/relationships/hyperlink" Target="https://publications.agu.org/reviewer-resources/review-criteria" TargetMode="External"/><Relationship Id="rId298" Type="http://schemas.openxmlformats.org/officeDocument/2006/relationships/hyperlink" Target="https://uk.sagepub.com/en-gb/eur/journal-author-archiving-policies-and-re-use" TargetMode="External"/><Relationship Id="rId421" Type="http://schemas.openxmlformats.org/officeDocument/2006/relationships/hyperlink" Target="http://www.aappublications.org/content/pediatrics-author-guidelines" TargetMode="External"/><Relationship Id="rId463" Type="http://schemas.openxmlformats.org/officeDocument/2006/relationships/hyperlink" Target="https://journals.aps.org/rmp/info/procedures.html" TargetMode="External"/><Relationship Id="rId519" Type="http://schemas.openxmlformats.org/officeDocument/2006/relationships/hyperlink" Target="https://www.elsevier.com/reviewers/role" TargetMode="External"/><Relationship Id="rId116" Type="http://schemas.openxmlformats.org/officeDocument/2006/relationships/hyperlink" Target="https://www.ahajournals.org/pb-assets/Ethical%20ConductPolicyApril2017finalWeb.pdf" TargetMode="External"/><Relationship Id="rId158" Type="http://schemas.openxmlformats.org/officeDocument/2006/relationships/hyperlink" Target="https://www.gastrojournal.org/content/authorinfo" TargetMode="External"/><Relationship Id="rId323" Type="http://schemas.openxmlformats.org/officeDocument/2006/relationships/hyperlink" Target="https://www.nature.com/authors/author_resources/transfer_manuscripts.html" TargetMode="External"/><Relationship Id="rId20" Type="http://schemas.openxmlformats.org/officeDocument/2006/relationships/hyperlink" Target="https://www.aeaweb.org/journals/policies/copyright" TargetMode="External"/><Relationship Id="rId62" Type="http://schemas.openxmlformats.org/officeDocument/2006/relationships/hyperlink" Target="http://www.bloodjournal.org/page/authors/author-guide/peer-review" TargetMode="External"/><Relationship Id="rId365" Type="http://schemas.openxmlformats.org/officeDocument/2006/relationships/hyperlink" Target="https://www.nature.com/authors/policies/preprints.html" TargetMode="External"/><Relationship Id="rId225" Type="http://schemas.openxmlformats.org/officeDocument/2006/relationships/hyperlink" Target="https://www.elsevier.com/about/policies/sharing" TargetMode="External"/><Relationship Id="rId267" Type="http://schemas.openxmlformats.org/officeDocument/2006/relationships/hyperlink" Target="http://www.rsc.org/journals-books-databases/journal-authors-reviewers/reviewer-responsibilities/" TargetMode="External"/><Relationship Id="rId432" Type="http://schemas.openxmlformats.org/officeDocument/2006/relationships/hyperlink" Target="https://journals.aps.org/referees/referee-response-physical-review-letters" TargetMode="External"/><Relationship Id="rId474" Type="http://schemas.openxmlformats.org/officeDocument/2006/relationships/hyperlink" Target="https://www.nature.com/srep/journal-policies/referees" TargetMode="External"/><Relationship Id="rId127" Type="http://schemas.openxmlformats.org/officeDocument/2006/relationships/hyperlink" Target="https://www.elsevier.com/journals/computers-and-education/0360-1315?generatepdf=true" TargetMode="External"/><Relationship Id="rId31" Type="http://schemas.openxmlformats.org/officeDocument/2006/relationships/hyperlink" Target="https://onlinelibrary.wiley.com/page/journal/15213773/homepage/notice-to-authors" TargetMode="External"/><Relationship Id="rId73" Type="http://schemas.openxmlformats.org/officeDocument/2006/relationships/hyperlink" Target="https://www.cell.com/cancer-cell/articletransfer" TargetMode="External"/><Relationship Id="rId169" Type="http://schemas.openxmlformats.org/officeDocument/2006/relationships/hyperlink" Target="https://www.elsevier.com/reviewers/what-is-peer-review" TargetMode="External"/><Relationship Id="rId334" Type="http://schemas.openxmlformats.org/officeDocument/2006/relationships/hyperlink" Target="https://www.nature.com/nclimate/for-referees/policies-and-processes" TargetMode="External"/><Relationship Id="rId376" Type="http://schemas.openxmlformats.org/officeDocument/2006/relationships/hyperlink" Target="https://www.nature.com/authors/policies/peer_review.html" TargetMode="External"/><Relationship Id="rId4" Type="http://schemas.openxmlformats.org/officeDocument/2006/relationships/hyperlink" Target="https://pubs.acs.org/page/policy/manuscript_transfer/index.html" TargetMode="External"/><Relationship Id="rId180" Type="http://schemas.openxmlformats.org/officeDocument/2006/relationships/hyperlink" Target="https://www.healthaffairs.org/help-for-authors" TargetMode="External"/><Relationship Id="rId236" Type="http://schemas.openxmlformats.org/officeDocument/2006/relationships/hyperlink" Target="https://www.elsevier.com/reviewers/how-to-review" TargetMode="External"/><Relationship Id="rId278" Type="http://schemas.openxmlformats.org/officeDocument/2006/relationships/hyperlink" Target="http://www.onlinejacc.org/content/73/2/A28" TargetMode="External"/><Relationship Id="rId401" Type="http://schemas.openxmlformats.org/officeDocument/2006/relationships/hyperlink" Target="https://www.elsevier.com/reviewers/role" TargetMode="External"/><Relationship Id="rId443" Type="http://schemas.openxmlformats.org/officeDocument/2006/relationships/hyperlink" Target="https://journals.plos.org/plosone/s/reviewer-guidelines" TargetMode="External"/><Relationship Id="rId303" Type="http://schemas.openxmlformats.org/officeDocument/2006/relationships/hyperlink" Target="https://academic.oup.com/mnras/pages/General_Instructions" TargetMode="External"/><Relationship Id="rId485" Type="http://schemas.openxmlformats.org/officeDocument/2006/relationships/hyperlink" Target="https://www.tesol.org/read-and-publish/journals/tesol-journal" TargetMode="External"/><Relationship Id="rId42" Type="http://schemas.openxmlformats.org/officeDocument/2006/relationships/hyperlink" Target="https://authors.bmj.com/policies/preprints/" TargetMode="External"/><Relationship Id="rId84" Type="http://schemas.openxmlformats.org/officeDocument/2006/relationships/hyperlink" Target="https://www.cell.com/cell/articletransfer" TargetMode="External"/><Relationship Id="rId138" Type="http://schemas.openxmlformats.org/officeDocument/2006/relationships/hyperlink" Target="https://www.tandfonline.com/action/authorSubmission?journalCode=rdij20&amp;page=instructions" TargetMode="External"/><Relationship Id="rId345" Type="http://schemas.openxmlformats.org/officeDocument/2006/relationships/hyperlink" Target="https://www.nature.com/authors/policies/preprints.html" TargetMode="External"/><Relationship Id="rId387" Type="http://schemas.openxmlformats.org/officeDocument/2006/relationships/hyperlink" Target="https://www.nature.com/nrc/for-referees" TargetMode="External"/><Relationship Id="rId510" Type="http://schemas.openxmlformats.org/officeDocument/2006/relationships/hyperlink" Target="https://academic.oup.com/qje/pages/Policies" TargetMode="External"/><Relationship Id="rId191" Type="http://schemas.openxmlformats.org/officeDocument/2006/relationships/hyperlink" Target="http://cvpr2019.thecvf.com/submission/main_conference/reviewer_guidelines" TargetMode="External"/><Relationship Id="rId205" Type="http://schemas.openxmlformats.org/officeDocument/2006/relationships/hyperlink" Target="https://signalprocessingsociety.org/publications-resources/publications-faq" TargetMode="External"/><Relationship Id="rId247" Type="http://schemas.openxmlformats.org/officeDocument/2006/relationships/hyperlink" Target="https://jcap.sissa.it/jcap/help/helpLoader.jsp?pgType=flow" TargetMode="External"/><Relationship Id="rId412" Type="http://schemas.openxmlformats.org/officeDocument/2006/relationships/hyperlink" Target="https://authorservices.wiley.com/Reviewers/journal-reviewers/recognition-for-reviewers/index.html" TargetMode="External"/><Relationship Id="rId107" Type="http://schemas.openxmlformats.org/officeDocument/2006/relationships/hyperlink" Target="http://www.rsc.org/journals-books-databases/journal-authors-reviewers/processes-policies/" TargetMode="External"/><Relationship Id="rId289" Type="http://schemas.openxmlformats.org/officeDocument/2006/relationships/hyperlink" Target="https://www.elsevier.com/about/policies/copyright/permissions" TargetMode="External"/><Relationship Id="rId454" Type="http://schemas.openxmlformats.org/officeDocument/2006/relationships/hyperlink" Target="https://www.elsevier.com/journals/renewable-and-sustainable-energy-reviews/1364-0321/guide-for-authors" TargetMode="External"/><Relationship Id="rId496" Type="http://schemas.openxmlformats.org/officeDocument/2006/relationships/hyperlink" Target="https://authorservices.wiley.com/Reviewers/journal-reviewers/how-to-perform-a-peer-review/general-and-ethical-guidelines.html" TargetMode="External"/><Relationship Id="rId11" Type="http://schemas.openxmlformats.org/officeDocument/2006/relationships/hyperlink" Target="https://pubs.acs.org/page/policy/manuscript_transfer/index.html" TargetMode="External"/><Relationship Id="rId53" Type="http://schemas.openxmlformats.org/officeDocument/2006/relationships/hyperlink" Target="https://academic.oup.com/journals/pages/access_purchase/rights_and_permissions/author_self_archiving_policy" TargetMode="External"/><Relationship Id="rId149" Type="http://schemas.openxmlformats.org/officeDocument/2006/relationships/hyperlink" Target="https://academic.oup.com/eurheartj/pages/General_Instructions" TargetMode="External"/><Relationship Id="rId314" Type="http://schemas.openxmlformats.org/officeDocument/2006/relationships/hyperlink" Target="https://www.nature.com/nature/for-referees/policies-and-processes" TargetMode="External"/><Relationship Id="rId356" Type="http://schemas.openxmlformats.org/officeDocument/2006/relationships/hyperlink" Target="https://www.nature.com/authors/policies/peer_review.html" TargetMode="External"/><Relationship Id="rId398" Type="http://schemas.openxmlformats.org/officeDocument/2006/relationships/hyperlink" Target="https://nips.cc/Conferences/2019/CallForPapers" TargetMode="External"/><Relationship Id="rId521" Type="http://schemas.openxmlformats.org/officeDocument/2006/relationships/hyperlink" Target="https://www.elsevier.com/reviewers/how-to-review" TargetMode="External"/><Relationship Id="rId95" Type="http://schemas.openxmlformats.org/officeDocument/2006/relationships/hyperlink" Target="https://www.cell.com/reviewers" TargetMode="External"/><Relationship Id="rId160" Type="http://schemas.openxmlformats.org/officeDocument/2006/relationships/hyperlink" Target="https://uk.sagepub.com/en-gb/eur/gender-society/journal200793" TargetMode="External"/><Relationship Id="rId216" Type="http://schemas.openxmlformats.org/officeDocument/2006/relationships/hyperlink" Target="https://jamanetwork.com/journals/jama/pages/instructions-for-authors" TargetMode="External"/><Relationship Id="rId423" Type="http://schemas.openxmlformats.org/officeDocument/2006/relationships/hyperlink" Target="https://www.springer.com/philosophy/journal/11098" TargetMode="External"/><Relationship Id="rId258" Type="http://schemas.openxmlformats.org/officeDocument/2006/relationships/hyperlink" Target="https://www.elsevier.com/reviewers/role" TargetMode="External"/><Relationship Id="rId465" Type="http://schemas.openxmlformats.org/officeDocument/2006/relationships/hyperlink" Target="http://www.sciencemag.org/authors/science-information-authors" TargetMode="External"/><Relationship Id="rId22" Type="http://schemas.openxmlformats.org/officeDocument/2006/relationships/hyperlink" Target="https://ajps.org/ajps-reviewer-instructions/" TargetMode="External"/><Relationship Id="rId64" Type="http://schemas.openxmlformats.org/officeDocument/2006/relationships/hyperlink" Target="http://www.bloodjournal.org/page/authors/author-guide/Editorial-policies-for-authors" TargetMode="External"/><Relationship Id="rId118" Type="http://schemas.openxmlformats.org/officeDocument/2006/relationships/hyperlink" Target="https://www.ahajournals.org/pb-assets/Ethical%20ConductPolicyApril2017finalWeb.pdf" TargetMode="External"/><Relationship Id="rId325" Type="http://schemas.openxmlformats.org/officeDocument/2006/relationships/hyperlink" Target="https://www.nature.com/authors/policies/preprints.html" TargetMode="External"/><Relationship Id="rId367" Type="http://schemas.openxmlformats.org/officeDocument/2006/relationships/hyperlink" Target="https://www.nature.com/authors/policies/peer_review.html" TargetMode="External"/><Relationship Id="rId171" Type="http://schemas.openxmlformats.org/officeDocument/2006/relationships/hyperlink" Target="https://www.elsevier.com/about/policies/sharing" TargetMode="External"/><Relationship Id="rId227" Type="http://schemas.openxmlformats.org/officeDocument/2006/relationships/hyperlink" Target="https://www.springer.com/philosophy/ethics+and+moral+philosophy/journal/10551" TargetMode="External"/><Relationship Id="rId269" Type="http://schemas.openxmlformats.org/officeDocument/2006/relationships/hyperlink" Target="http://www.rsc.org/journals-books-databases/journal-authors-reviewers/processes-policies/" TargetMode="External"/><Relationship Id="rId434" Type="http://schemas.openxmlformats.org/officeDocument/2006/relationships/hyperlink" Target="https://journals.aps.org/prx/authors/editorial-policies-practices" TargetMode="External"/><Relationship Id="rId476" Type="http://schemas.openxmlformats.org/officeDocument/2006/relationships/hyperlink" Target="https://www.elsevier.com/journals/social-science-and-medicine/0277-9536/guide-for-authors" TargetMode="External"/><Relationship Id="rId33" Type="http://schemas.openxmlformats.org/officeDocument/2006/relationships/hyperlink" Target="http://annals.org/aim/pages/authors" TargetMode="External"/><Relationship Id="rId129" Type="http://schemas.openxmlformats.org/officeDocument/2006/relationships/hyperlink" Target="https://www.elsevier.com/authors/journal-authors/submit-your-paper" TargetMode="External"/><Relationship Id="rId280" Type="http://schemas.openxmlformats.org/officeDocument/2006/relationships/hyperlink" Target="https://us.sagepub.com/en-us/nam/journal/journalism" TargetMode="External"/><Relationship Id="rId336" Type="http://schemas.openxmlformats.org/officeDocument/2006/relationships/hyperlink" Target="https://www.nature.com/authors/policies/peer_review.html" TargetMode="External"/><Relationship Id="rId501" Type="http://schemas.openxmlformats.org/officeDocument/2006/relationships/hyperlink" Target="https://www.thelancet.com/pb/assets/raw/Lancet/authors/lancet-information-for-authors.pdf" TargetMode="External"/><Relationship Id="rId75" Type="http://schemas.openxmlformats.org/officeDocument/2006/relationships/hyperlink" Target="https://www.cell.com/reviewers" TargetMode="External"/><Relationship Id="rId140" Type="http://schemas.openxmlformats.org/officeDocument/2006/relationships/hyperlink" Target="https://www.econometricsociety.org/publications/econometrica/information-authors/editorial-procedures-and-policies" TargetMode="External"/><Relationship Id="rId182" Type="http://schemas.openxmlformats.org/officeDocument/2006/relationships/hyperlink" Target="https://www.healthaffairs.org/help-for-reviewers" TargetMode="External"/><Relationship Id="rId378" Type="http://schemas.openxmlformats.org/officeDocument/2006/relationships/hyperlink" Target="https://www.nature.com/authors/author_resources/transfer_manuscripts.html" TargetMode="External"/><Relationship Id="rId403" Type="http://schemas.openxmlformats.org/officeDocument/2006/relationships/hyperlink" Target="https://www.elsevier.com/reviewers/how-to-review" TargetMode="External"/><Relationship Id="rId6" Type="http://schemas.openxmlformats.org/officeDocument/2006/relationships/hyperlink" Target="http://aom.org/uploadedFiles/Publications/AMJ/07_Colquitt_IrelandApr09FTE.pdf" TargetMode="External"/><Relationship Id="rId238" Type="http://schemas.openxmlformats.org/officeDocument/2006/relationships/hyperlink" Target="http://ascopubs.org/jco/site/ifc/my-article-was-submitted.xhtml" TargetMode="External"/><Relationship Id="rId445" Type="http://schemas.openxmlformats.org/officeDocument/2006/relationships/hyperlink" Target="https://www.pnas.org/page/authors/reviewers" TargetMode="External"/><Relationship Id="rId487" Type="http://schemas.openxmlformats.org/officeDocument/2006/relationships/hyperlink" Target="https://onlinelibrary.wiley.com/page/journal/15457249/homepage/forauthors.html" TargetMode="External"/><Relationship Id="rId291" Type="http://schemas.openxmlformats.org/officeDocument/2006/relationships/hyperlink" Target="https://www.elsevier.com/journals/lingua/0024-3841/guide-for-authors" TargetMode="External"/><Relationship Id="rId305" Type="http://schemas.openxmlformats.org/officeDocument/2006/relationships/hyperlink" Target="https://pubs.acs.org/page/policy/manuscript_transfer/index.html" TargetMode="External"/><Relationship Id="rId347" Type="http://schemas.openxmlformats.org/officeDocument/2006/relationships/hyperlink" Target="https://www.nature.com/authors/policies/peer_review.html" TargetMode="External"/><Relationship Id="rId512" Type="http://schemas.openxmlformats.org/officeDocument/2006/relationships/hyperlink" Target="https://academic.oup.com/journals/pages/access_purchase/rights_and_permissions/self_archiving_policy_f" TargetMode="External"/><Relationship Id="rId44" Type="http://schemas.openxmlformats.org/officeDocument/2006/relationships/hyperlink" Target="https://www.elsevier.com/reviewers/role" TargetMode="External"/><Relationship Id="rId86" Type="http://schemas.openxmlformats.org/officeDocument/2006/relationships/hyperlink" Target="https://www.cell.com/cell/authors" TargetMode="External"/><Relationship Id="rId151" Type="http://schemas.openxmlformats.org/officeDocument/2006/relationships/hyperlink" Target="https://academic.oup.com/journals/pages/access_purchase/rights_and_permissions/self_archiving_policy_b" TargetMode="External"/><Relationship Id="rId389" Type="http://schemas.openxmlformats.org/officeDocument/2006/relationships/hyperlink" Target="https://www.nature.com/nrg/for-referees" TargetMode="External"/><Relationship Id="rId193" Type="http://schemas.openxmlformats.org/officeDocument/2006/relationships/hyperlink" Target="http://iccv2019.thecvf.com/submission/timeline" TargetMode="External"/><Relationship Id="rId207" Type="http://schemas.openxmlformats.org/officeDocument/2006/relationships/hyperlink" Target="https://www.cell.com/reviewers" TargetMode="External"/><Relationship Id="rId249" Type="http://schemas.openxmlformats.org/officeDocument/2006/relationships/hyperlink" Target="https://www.apa.org/pubs/journals/reviewer-instructions.pdf" TargetMode="External"/><Relationship Id="rId414" Type="http://schemas.openxmlformats.org/officeDocument/2006/relationships/hyperlink" Target="https://authorservices.wiley.com/author-resources/Journal-Authors/open-access/preprints-policy.html" TargetMode="External"/><Relationship Id="rId456" Type="http://schemas.openxmlformats.org/officeDocument/2006/relationships/hyperlink" Target="https://www.elsevier.com/reviewers/what-is-peer-review" TargetMode="External"/><Relationship Id="rId498" Type="http://schemas.openxmlformats.org/officeDocument/2006/relationships/hyperlink" Target="http://pubs.acs.org/paragonplus/submission/jpclcd/jpclcd_authguide.pdf" TargetMode="External"/><Relationship Id="rId13" Type="http://schemas.openxmlformats.org/officeDocument/2006/relationships/hyperlink" Target="https://application.wiley-vch.de/util/cta/euchems_ethicalguidelines.pdf" TargetMode="External"/><Relationship Id="rId109" Type="http://schemas.openxmlformats.org/officeDocument/2006/relationships/hyperlink" Target="http://www.rsc.org/journals-books-databases/journal-authors-reviewers/processes-policies/" TargetMode="External"/><Relationship Id="rId260" Type="http://schemas.openxmlformats.org/officeDocument/2006/relationships/hyperlink" Target="https://www.springer.com/physics/particle+and+nuclear+physics/journal/13130" TargetMode="External"/><Relationship Id="rId316" Type="http://schemas.openxmlformats.org/officeDocument/2006/relationships/hyperlink" Target="https://www.nature.com/authors/policies/peer_review.html" TargetMode="External"/><Relationship Id="rId55" Type="http://schemas.openxmlformats.org/officeDocument/2006/relationships/hyperlink" Target="https://aip.scitation.org/apl/info/policies" TargetMode="External"/><Relationship Id="rId97" Type="http://schemas.openxmlformats.org/officeDocument/2006/relationships/hyperlink" Target="https://arxiv.org/" TargetMode="External"/><Relationship Id="rId120" Type="http://schemas.openxmlformats.org/officeDocument/2006/relationships/hyperlink" Target="https://www.ahajournals.org/pb-assets/Ethical%20ConductPolicyApril2017finalWeb.pdf" TargetMode="External"/><Relationship Id="rId358" Type="http://schemas.openxmlformats.org/officeDocument/2006/relationships/hyperlink" Target="https://www.nature.com/authors/author_resources/transfer_manuscripts.html" TargetMode="External"/><Relationship Id="rId162" Type="http://schemas.openxmlformats.org/officeDocument/2006/relationships/hyperlink" Target="https://uk.sagepub.com/en-gb/eur/prior-publication" TargetMode="External"/><Relationship Id="rId218" Type="http://schemas.openxmlformats.org/officeDocument/2006/relationships/hyperlink" Target="https://www.jacionline.org/content/authorinfo" TargetMode="External"/><Relationship Id="rId425" Type="http://schemas.openxmlformats.org/officeDocument/2006/relationships/hyperlink" Target="https://journals.aps.org/prb/referees/guidelines-for-referees" TargetMode="External"/><Relationship Id="rId467" Type="http://schemas.openxmlformats.org/officeDocument/2006/relationships/hyperlink" Target="https://www.sciencemag.org/authors/peer-review-science-publications" TargetMode="External"/><Relationship Id="rId271" Type="http://schemas.openxmlformats.org/officeDocument/2006/relationships/hyperlink" Target="http://www.rsc.org/journals-books-databases/journal-authors-reviewers/processes-policies/" TargetMode="External"/><Relationship Id="rId24" Type="http://schemas.openxmlformats.org/officeDocument/2006/relationships/hyperlink" Target="https://ajph.aphapublications.org/page/authors.html" TargetMode="External"/><Relationship Id="rId66" Type="http://schemas.openxmlformats.org/officeDocument/2006/relationships/hyperlink" Target="https://authors.bmj.com/for-reviewers/reviewer-recognition/" TargetMode="External"/><Relationship Id="rId131" Type="http://schemas.openxmlformats.org/officeDocument/2006/relationships/hyperlink" Target="https://www.elsevier.com/journals/computers-and-education/0360-1315?generatepdf=true" TargetMode="External"/><Relationship Id="rId327" Type="http://schemas.openxmlformats.org/officeDocument/2006/relationships/hyperlink" Target="https://www.nature.com/authors/policies/peer_review.html" TargetMode="External"/><Relationship Id="rId369" Type="http://schemas.openxmlformats.org/officeDocument/2006/relationships/hyperlink" Target="https://www.nature.com/nnano/for-referees/policies-and-processes" TargetMode="External"/><Relationship Id="rId173" Type="http://schemas.openxmlformats.org/officeDocument/2006/relationships/hyperlink" Target="https://www.journals.elsevier.com/government-information-quarterly/announcements" TargetMode="External"/><Relationship Id="rId229" Type="http://schemas.openxmlformats.org/officeDocument/2006/relationships/hyperlink" Target="https://www.elsevier.com/reviewers/role" TargetMode="External"/><Relationship Id="rId380" Type="http://schemas.openxmlformats.org/officeDocument/2006/relationships/hyperlink" Target="https://www.nature.com/authors/policies/preprints.html" TargetMode="External"/><Relationship Id="rId436" Type="http://schemas.openxmlformats.org/officeDocument/2006/relationships/hyperlink" Target="https://journals.aps.org/prx/authors/editorial-policies-practices" TargetMode="External"/><Relationship Id="rId240" Type="http://schemas.openxmlformats.org/officeDocument/2006/relationships/hyperlink" Target="http://ascopubs.org/jco/site/ifc/journal-policies.xhtml" TargetMode="External"/><Relationship Id="rId478" Type="http://schemas.openxmlformats.org/officeDocument/2006/relationships/hyperlink" Target="https://authorservices.wiley.com/Reviewers/journal-reviewers/how-to-perform-a-peer-review/general-and-ethical-guidelines.html" TargetMode="External"/><Relationship Id="rId35" Type="http://schemas.openxmlformats.org/officeDocument/2006/relationships/hyperlink" Target="http://annals.org/aim/pages/authors" TargetMode="External"/><Relationship Id="rId77" Type="http://schemas.openxmlformats.org/officeDocument/2006/relationships/hyperlink" Target="https://arxiv.org/" TargetMode="External"/><Relationship Id="rId100" Type="http://schemas.openxmlformats.org/officeDocument/2006/relationships/hyperlink" Target="http://www.rsc.org/journals-books-databases/journal-authors-reviewers/processes-policies/" TargetMode="External"/><Relationship Id="rId282" Type="http://schemas.openxmlformats.org/officeDocument/2006/relationships/hyperlink" Target="https://us.sagepub.com/en-us/nam/how-to-review-articles" TargetMode="External"/><Relationship Id="rId338" Type="http://schemas.openxmlformats.org/officeDocument/2006/relationships/hyperlink" Target="https://www.nature.com/authors/author_resources/transfer_manuscripts.html" TargetMode="External"/><Relationship Id="rId503" Type="http://schemas.openxmlformats.org/officeDocument/2006/relationships/hyperlink" Target="https://els-jbs-prod-cdn.literatumonline.com/pb/assets/raw/Lancet/authors/tln-info-for-authors-1541596047120.pdf" TargetMode="External"/><Relationship Id="rId8" Type="http://schemas.openxmlformats.org/officeDocument/2006/relationships/hyperlink" Target="http://aom.org/Publications/AMJ/Information-for-Contributors.aspx" TargetMode="External"/><Relationship Id="rId142" Type="http://schemas.openxmlformats.org/officeDocument/2006/relationships/hyperlink" Target="https://www.econometricsociety.org/publications/econometrica/information-authors/editorial-procedures-and-policies" TargetMode="External"/><Relationship Id="rId184" Type="http://schemas.openxmlformats.org/officeDocument/2006/relationships/hyperlink" Target="https://aasldpubs.onlinelibrary.wiley.com/hub/journal/15273350/about/author-guidelines" TargetMode="External"/><Relationship Id="rId391" Type="http://schemas.openxmlformats.org/officeDocument/2006/relationships/hyperlink" Target="https://www.nature.com/nrc/for-referees" TargetMode="External"/><Relationship Id="rId405" Type="http://schemas.openxmlformats.org/officeDocument/2006/relationships/hyperlink" Target="https://www.cell.com/reviewers" TargetMode="External"/><Relationship Id="rId447" Type="http://schemas.openxmlformats.org/officeDocument/2006/relationships/hyperlink" Target="https://www.pnas.org/page/authors/reviewers" TargetMode="External"/><Relationship Id="rId251" Type="http://schemas.openxmlformats.org/officeDocument/2006/relationships/hyperlink" Target="https://www.elsevier.com/reviewers/how-to-review" TargetMode="External"/><Relationship Id="rId489" Type="http://schemas.openxmlformats.org/officeDocument/2006/relationships/hyperlink" Target="http://ideas.cochrane.org/forums/326856-cochrane-style-manual/suggestions/18762079-referencing-preprints" TargetMode="External"/><Relationship Id="rId46" Type="http://schemas.openxmlformats.org/officeDocument/2006/relationships/hyperlink" Target="https://www.elsevier.com/about/policies/sharing" TargetMode="External"/><Relationship Id="rId293" Type="http://schemas.openxmlformats.org/officeDocument/2006/relationships/hyperlink" Target="https://www.elsevier.com/reviewers/what-is-peer-review" TargetMode="External"/><Relationship Id="rId307" Type="http://schemas.openxmlformats.org/officeDocument/2006/relationships/hyperlink" Target="https://pubs.acs.org/page/nalefd/submission/prior.html" TargetMode="External"/><Relationship Id="rId349" Type="http://schemas.openxmlformats.org/officeDocument/2006/relationships/hyperlink" Target="https://www.nature.com/ni/for-referees/policies-and-processes" TargetMode="External"/><Relationship Id="rId514" Type="http://schemas.openxmlformats.org/officeDocument/2006/relationships/hyperlink" Target="https://www.elsevier.com/reviewers/role" TargetMode="External"/><Relationship Id="rId88" Type="http://schemas.openxmlformats.org/officeDocument/2006/relationships/hyperlink" Target="https://www.cell.com/reviewers" TargetMode="External"/><Relationship Id="rId111" Type="http://schemas.openxmlformats.org/officeDocument/2006/relationships/hyperlink" Target="https://pubs.acs.org/page/policy/manuscript_transfer/index.html" TargetMode="External"/><Relationship Id="rId153" Type="http://schemas.openxmlformats.org/officeDocument/2006/relationships/hyperlink" Target="https://www.elsevier.com/reviewers/role" TargetMode="External"/><Relationship Id="rId195" Type="http://schemas.openxmlformats.org/officeDocument/2006/relationships/hyperlink" Target="http://iccv2019.thecvf.com/submission/main_conference/author_guidelines" TargetMode="External"/><Relationship Id="rId209" Type="http://schemas.openxmlformats.org/officeDocument/2006/relationships/hyperlink" Target="https://www.cell.com/immunity/authors" TargetMode="External"/><Relationship Id="rId360" Type="http://schemas.openxmlformats.org/officeDocument/2006/relationships/hyperlink" Target="https://www.nature.com/authors/policies/preprints.html" TargetMode="External"/><Relationship Id="rId416" Type="http://schemas.openxmlformats.org/officeDocument/2006/relationships/hyperlink" Target="http://arxiv.org/" TargetMode="External"/><Relationship Id="rId220" Type="http://schemas.openxmlformats.org/officeDocument/2006/relationships/hyperlink" Target="https://www.elsevier.com/about/policies/sharing" TargetMode="External"/><Relationship Id="rId458" Type="http://schemas.openxmlformats.org/officeDocument/2006/relationships/hyperlink" Target="https://www.elsevier.com/journals/research-policy/0048-7333/guide-for-authors" TargetMode="External"/><Relationship Id="rId15" Type="http://schemas.openxmlformats.org/officeDocument/2006/relationships/hyperlink" Target="https://wol-prod-cdn.literatumonline.com/pb-assets/assets/16163028/AFM-guide-for-authors-may-2018-1526994585463.pdf" TargetMode="External"/><Relationship Id="rId57" Type="http://schemas.openxmlformats.org/officeDocument/2006/relationships/hyperlink" Target="https://www.elsevier.com/journals/biomaterials/0142-9612?generatepdf=true" TargetMode="External"/><Relationship Id="rId262" Type="http://schemas.openxmlformats.org/officeDocument/2006/relationships/hyperlink" Target="https://jhep.sissa.it/jhep/help/helpLoader.jsp?pgType=author" TargetMode="External"/><Relationship Id="rId318" Type="http://schemas.openxmlformats.org/officeDocument/2006/relationships/hyperlink" Target="https://www.nature.com/authors/author_resources/transfer_manuscripts.html" TargetMode="External"/><Relationship Id="rId99" Type="http://schemas.openxmlformats.org/officeDocument/2006/relationships/hyperlink" Target="http://www.rsc.org/journals-books-databases/journal-authors-reviewers/reviewer-responsibilities/" TargetMode="External"/><Relationship Id="rId122" Type="http://schemas.openxmlformats.org/officeDocument/2006/relationships/hyperlink" Target="http://aacrjournals.org/site/Info/Reviewers.xhtml" TargetMode="External"/><Relationship Id="rId164" Type="http://schemas.openxmlformats.org/officeDocument/2006/relationships/hyperlink" Target="https://publications.agu.org/reviewer-resources/" TargetMode="External"/><Relationship Id="rId371" Type="http://schemas.openxmlformats.org/officeDocument/2006/relationships/hyperlink" Target="https://www.nature.com/authors/policies/peer_review.html" TargetMode="External"/><Relationship Id="rId427" Type="http://schemas.openxmlformats.org/officeDocument/2006/relationships/hyperlink" Target="https://journals.aps.org/prb/authors/editorial-policies-practices" TargetMode="External"/><Relationship Id="rId469" Type="http://schemas.openxmlformats.org/officeDocument/2006/relationships/hyperlink" Target="https://stm.sciencemag.org/content/science-translational-medicine-general-policies" TargetMode="External"/><Relationship Id="rId26" Type="http://schemas.openxmlformats.org/officeDocument/2006/relationships/hyperlink" Target="https://www.apsanet.org/APSR-Submission-Guidelines" TargetMode="External"/><Relationship Id="rId231" Type="http://schemas.openxmlformats.org/officeDocument/2006/relationships/hyperlink" Target="https://www.elsevier.com/reviewers/how-to-review" TargetMode="External"/><Relationship Id="rId273" Type="http://schemas.openxmlformats.org/officeDocument/2006/relationships/hyperlink" Target="https://www.elsevier.com/authors/journal-authors/submit-your-paper/submit-and-revise/article-transfer-service" TargetMode="External"/><Relationship Id="rId329" Type="http://schemas.openxmlformats.org/officeDocument/2006/relationships/hyperlink" Target="https://www.nature.com/nchem/for-referees/policies-and-processes" TargetMode="External"/><Relationship Id="rId480" Type="http://schemas.openxmlformats.org/officeDocument/2006/relationships/hyperlink" Target="https://www.springer.com/philosophy/epistemology+and+philosophy+of+science/journal/11229" TargetMode="External"/><Relationship Id="rId68" Type="http://schemas.openxmlformats.org/officeDocument/2006/relationships/hyperlink" Target="https://authors.bmj.com/policies/peer-review-terms-and-conditions/" TargetMode="External"/><Relationship Id="rId133" Type="http://schemas.openxmlformats.org/officeDocument/2006/relationships/hyperlink" Target="http://www.diabetesjournals.org/content/journal-policies" TargetMode="External"/><Relationship Id="rId175" Type="http://schemas.openxmlformats.org/officeDocument/2006/relationships/hyperlink" Target="https://www.elsevier.com/about/policies/sharing" TargetMode="External"/><Relationship Id="rId340" Type="http://schemas.openxmlformats.org/officeDocument/2006/relationships/hyperlink" Target="https://www.nature.com/authors/policies/preprints.html" TargetMode="External"/><Relationship Id="rId200" Type="http://schemas.openxmlformats.org/officeDocument/2006/relationships/hyperlink" Target="https://ieeeauthorcenter.ieee.org/peer-review-at-ieee/" TargetMode="External"/><Relationship Id="rId382" Type="http://schemas.openxmlformats.org/officeDocument/2006/relationships/hyperlink" Target="https://www.nature.com/authors/policies/peer_review.html" TargetMode="External"/><Relationship Id="rId438" Type="http://schemas.openxmlformats.org/officeDocument/2006/relationships/hyperlink" Target="https://www.elsevier.com/journals/physics-letters-b/0370-2693/guide-for-authors" TargetMode="External"/><Relationship Id="rId242" Type="http://schemas.openxmlformats.org/officeDocument/2006/relationships/hyperlink" Target="https://academic.oup.com/journals/pages/access_purchase/rights_and_permissions/self_archiving_policy_f" TargetMode="External"/><Relationship Id="rId284" Type="http://schemas.openxmlformats.org/officeDocument/2006/relationships/hyperlink" Target="https://www.tandfonline.com/action/authorSubmission?journalCode=rjop20&amp;page=instructions" TargetMode="External"/><Relationship Id="rId491" Type="http://schemas.openxmlformats.org/officeDocument/2006/relationships/hyperlink" Target="https://epjc.epj.org/epjc-faq" TargetMode="External"/><Relationship Id="rId505" Type="http://schemas.openxmlformats.org/officeDocument/2006/relationships/hyperlink" Target="https://els-jbs-prod-cdn.literatumonline.com/pb/assets/raw/Lancet/authors/tlo-info-for-authors-1541596062097.pdf" TargetMode="External"/><Relationship Id="rId37" Type="http://schemas.openxmlformats.org/officeDocument/2006/relationships/hyperlink" Target="https://academic.oup.com/journals/pages/access_purchase/rights_and_permissions/author_self_archiving_policy" TargetMode="External"/><Relationship Id="rId79" Type="http://schemas.openxmlformats.org/officeDocument/2006/relationships/hyperlink" Target="http://aacrjournals.org/content/authors/editorial-process" TargetMode="External"/><Relationship Id="rId102" Type="http://schemas.openxmlformats.org/officeDocument/2006/relationships/hyperlink" Target="https://pubs.acs.org/page/chreay/submission/reviewers.html" TargetMode="External"/><Relationship Id="rId144" Type="http://schemas.openxmlformats.org/officeDocument/2006/relationships/hyperlink" Target="https://www.rsc.org/journals-books-databases/journal-authors-reviewers/processes-policies/" TargetMode="External"/><Relationship Id="rId90" Type="http://schemas.openxmlformats.org/officeDocument/2006/relationships/hyperlink" Target="https://www.cell.com/reviewers" TargetMode="External"/><Relationship Id="rId186" Type="http://schemas.openxmlformats.org/officeDocument/2006/relationships/hyperlink" Target="https://www.comsoc.org/publications/magazines/ieee-communications-magazine/magazine-reviewer" TargetMode="External"/><Relationship Id="rId351" Type="http://schemas.openxmlformats.org/officeDocument/2006/relationships/hyperlink" Target="https://www.nature.com/authors/policies/peer_review.html" TargetMode="External"/><Relationship Id="rId393" Type="http://schemas.openxmlformats.org/officeDocument/2006/relationships/hyperlink" Target="https://www.nature.com/nrg/for-referees" TargetMode="External"/><Relationship Id="rId407" Type="http://schemas.openxmlformats.org/officeDocument/2006/relationships/hyperlink" Target="https://www.cell.com/reviewers" TargetMode="External"/><Relationship Id="rId449" Type="http://schemas.openxmlformats.org/officeDocument/2006/relationships/hyperlink" Target="https://uk.sagepub.com/en-gb/eur/get-credit-for-your-reviews" TargetMode="External"/><Relationship Id="rId211" Type="http://schemas.openxmlformats.org/officeDocument/2006/relationships/hyperlink" Target="https://www.elsevier.com/reviewers/role" TargetMode="External"/><Relationship Id="rId253" Type="http://schemas.openxmlformats.org/officeDocument/2006/relationships/hyperlink" Target="https://www.elsevier.com/authors/journal-authors/submit-your-paper/submit-and-revise/article-transfer-service" TargetMode="External"/><Relationship Id="rId295" Type="http://schemas.openxmlformats.org/officeDocument/2006/relationships/hyperlink" Target="https://www.misq.org/skin/frontend/default/misq/pdf/ReviewerRole.pdf" TargetMode="External"/><Relationship Id="rId309" Type="http://schemas.openxmlformats.org/officeDocument/2006/relationships/hyperlink" Target="http://www.rsc.org/journals-books-databases/journal-authors-reviewers/reviewer-responsibilities/" TargetMode="External"/><Relationship Id="rId460" Type="http://schemas.openxmlformats.org/officeDocument/2006/relationships/hyperlink" Target="https://www.elsevier.com/reviewers/what-is-peer-review" TargetMode="External"/><Relationship Id="rId516" Type="http://schemas.openxmlformats.org/officeDocument/2006/relationships/hyperlink" Target="https://www.elsevier.com/reviewers/how-to-review" TargetMode="External"/><Relationship Id="rId48" Type="http://schemas.openxmlformats.org/officeDocument/2006/relationships/hyperlink" Target="https://www.elsevier.com/reviewers/role" TargetMode="External"/><Relationship Id="rId113" Type="http://schemas.openxmlformats.org/officeDocument/2006/relationships/hyperlink" Target="https://pubs.acs.org/paragonplus/submission/cmatex/cmatex_authguide.pdf" TargetMode="External"/><Relationship Id="rId320" Type="http://schemas.openxmlformats.org/officeDocument/2006/relationships/hyperlink" Target="https://www.nature.com/authors/policies/preprints.html" TargetMode="External"/><Relationship Id="rId155" Type="http://schemas.openxmlformats.org/officeDocument/2006/relationships/hyperlink" Target="https://www.gastrojournal.org/content/authorinfo" TargetMode="External"/><Relationship Id="rId197" Type="http://schemas.openxmlformats.org/officeDocument/2006/relationships/hyperlink" Target="https://ieeeauthorcenter.ieee.org/publishing-ethics/guidelines-and-policies/policy-posting-your-article/" TargetMode="External"/><Relationship Id="rId362" Type="http://schemas.openxmlformats.org/officeDocument/2006/relationships/hyperlink" Target="https://www.nature.com/authors/policies/peer_review.html" TargetMode="External"/><Relationship Id="rId418" Type="http://schemas.openxmlformats.org/officeDocument/2006/relationships/hyperlink" Target="https://www.osapublishing.org/oe/submit/review/outstandingreviewers.cfm" TargetMode="External"/><Relationship Id="rId222" Type="http://schemas.openxmlformats.org/officeDocument/2006/relationships/hyperlink" Target="https://www.elsevier.com/reviewers/role" TargetMode="External"/><Relationship Id="rId264" Type="http://schemas.openxmlformats.org/officeDocument/2006/relationships/hyperlink" Target="https://us.sagepub.com/en-us/nam/reviewer-rewards" TargetMode="External"/><Relationship Id="rId471" Type="http://schemas.openxmlformats.org/officeDocument/2006/relationships/hyperlink" Target="https://stm.sciencemag.org/content/science-translational-medicine-general-policies" TargetMode="External"/><Relationship Id="rId17" Type="http://schemas.openxmlformats.org/officeDocument/2006/relationships/hyperlink" Target="https://onlinelibrary.wiley.com/pb-assets/assets/15214095/2089_guidelines.pdf" TargetMode="External"/><Relationship Id="rId59" Type="http://schemas.openxmlformats.org/officeDocument/2006/relationships/hyperlink" Target="https://www.elsevier.com/reviewers/what-is-peer-review" TargetMode="External"/><Relationship Id="rId124" Type="http://schemas.openxmlformats.org/officeDocument/2006/relationships/hyperlink" Target="https://ccr.msubmit.net/cgi-bin/main.plex?form_type=display_rev_instructions" TargetMode="External"/><Relationship Id="rId70" Type="http://schemas.openxmlformats.org/officeDocument/2006/relationships/hyperlink" Target="https://www.bmj.com/about-bmj/resources-reviewers" TargetMode="External"/><Relationship Id="rId166" Type="http://schemas.openxmlformats.org/officeDocument/2006/relationships/hyperlink" Target="https://publications.agu.org/author-resource-center/publication-policies/dual-publication-policy/" TargetMode="External"/><Relationship Id="rId331" Type="http://schemas.openxmlformats.org/officeDocument/2006/relationships/hyperlink" Target="https://www.nature.com/authors/policies/peer_review.html" TargetMode="External"/><Relationship Id="rId373" Type="http://schemas.openxmlformats.org/officeDocument/2006/relationships/hyperlink" Target="https://www.nature.com/authors/author_resources/transfer_manuscripts.html" TargetMode="External"/><Relationship Id="rId429" Type="http://schemas.openxmlformats.org/officeDocument/2006/relationships/hyperlink" Target="https://journals.aps.org/prd/authors/editorial-policies-practices" TargetMode="External"/><Relationship Id="rId1" Type="http://schemas.openxmlformats.org/officeDocument/2006/relationships/hyperlink" Target="https://pubs.acs.org/paragonplus/submission/aamick/aamick_authguide.pdf" TargetMode="External"/><Relationship Id="rId233" Type="http://schemas.openxmlformats.org/officeDocument/2006/relationships/hyperlink" Target="https://www.elsevier.com/journals/journal-of-cleaner-production/0959-6526/guide-for-authors" TargetMode="External"/><Relationship Id="rId440" Type="http://schemas.openxmlformats.org/officeDocument/2006/relationships/hyperlink" Target="https://www.elsevier.com/journals/physics-letters-b/0370-2693/guide-for-authors" TargetMode="External"/><Relationship Id="rId28" Type="http://schemas.openxmlformats.org/officeDocument/2006/relationships/hyperlink" Target="https://us.sagepub.com/en-us/nam/reviewer-rewards" TargetMode="External"/><Relationship Id="rId275" Type="http://schemas.openxmlformats.org/officeDocument/2006/relationships/hyperlink" Target="https://pubs.acs.org/page/policy/manuscript_transfer/index.html" TargetMode="External"/><Relationship Id="rId300" Type="http://schemas.openxmlformats.org/officeDocument/2006/relationships/hyperlink" Target="https://www.cell.com/molecular-cell/authors" TargetMode="External"/><Relationship Id="rId482" Type="http://schemas.openxmlformats.org/officeDocument/2006/relationships/hyperlink" Target="https://www.elsevier.com/reviewers/role" TargetMode="External"/><Relationship Id="rId81" Type="http://schemas.openxmlformats.org/officeDocument/2006/relationships/hyperlink" Target="http://aacrjournals.org/content/authors/manuscript-transfer" TargetMode="External"/><Relationship Id="rId135" Type="http://schemas.openxmlformats.org/officeDocument/2006/relationships/hyperlink" Target="http://www.diabetesjournals.org/for-reviewers" TargetMode="External"/><Relationship Id="rId177" Type="http://schemas.openxmlformats.org/officeDocument/2006/relationships/hyperlink" Target="https://gut.bmj.com/pages/authors/" TargetMode="External"/><Relationship Id="rId342" Type="http://schemas.openxmlformats.org/officeDocument/2006/relationships/hyperlink" Target="https://www.nature.com/authors/policies/peer_review.html" TargetMode="External"/><Relationship Id="rId384" Type="http://schemas.openxmlformats.org/officeDocument/2006/relationships/hyperlink" Target="https://www.nature.com/nphys/for-referees/policies-and-processes" TargetMode="External"/><Relationship Id="rId202" Type="http://schemas.openxmlformats.org/officeDocument/2006/relationships/hyperlink" Target="https://ieeeauthorcenter.ieee.org/peer-review-at-ieee/ethics-in-peer-review/" TargetMode="External"/><Relationship Id="rId244" Type="http://schemas.openxmlformats.org/officeDocument/2006/relationships/hyperlink" Target="https://publishingsupport.iopscience.iop.org/becoming-a-journal-reviewer/" TargetMode="External"/><Relationship Id="rId39" Type="http://schemas.openxmlformats.org/officeDocument/2006/relationships/hyperlink" Target="https://authors.bmj.com/policies/peer-review-terms-and-conditions/" TargetMode="External"/><Relationship Id="rId286" Type="http://schemas.openxmlformats.org/officeDocument/2006/relationships/hyperlink" Target="https://www.elsevier.com/journals/land-use-policy/0264-8377?generatepdf=true" TargetMode="External"/><Relationship Id="rId451" Type="http://schemas.openxmlformats.org/officeDocument/2006/relationships/hyperlink" Target="https://academic.oup.com/poq/pages/general_instructions" TargetMode="External"/><Relationship Id="rId493" Type="http://schemas.openxmlformats.org/officeDocument/2006/relationships/hyperlink" Target="https://www.jci.org/kiosks/authors" TargetMode="External"/><Relationship Id="rId507" Type="http://schemas.openxmlformats.org/officeDocument/2006/relationships/hyperlink" Target="https://onlinelibrary.wiley.com/page/journal/15404781/homepage/forauthors.html" TargetMode="External"/><Relationship Id="rId50" Type="http://schemas.openxmlformats.org/officeDocument/2006/relationships/hyperlink" Target="https://www.elsevier.com/about/policies/sharing" TargetMode="External"/><Relationship Id="rId104" Type="http://schemas.openxmlformats.org/officeDocument/2006/relationships/hyperlink" Target="https://pubs.acs.org/page/chreay/submission/prior.html" TargetMode="External"/><Relationship Id="rId146" Type="http://schemas.openxmlformats.org/officeDocument/2006/relationships/hyperlink" Target="https://pubs.acs.org/paragonplus/submission/esthag/esthag_authguide.pdf" TargetMode="External"/><Relationship Id="rId188" Type="http://schemas.openxmlformats.org/officeDocument/2006/relationships/hyperlink" Target="https://www.comsoc.org/publications/journals/ieee-comst/guidelines-reviewers" TargetMode="External"/><Relationship Id="rId311" Type="http://schemas.openxmlformats.org/officeDocument/2006/relationships/hyperlink" Target="http://www.rsc.org/journals-books-databases/journal-authors-reviewers/processes-policies/" TargetMode="External"/><Relationship Id="rId353" Type="http://schemas.openxmlformats.org/officeDocument/2006/relationships/hyperlink" Target="https://www.nature.com/authors/author_resources/transfer_manuscripts.html" TargetMode="External"/><Relationship Id="rId395" Type="http://schemas.openxmlformats.org/officeDocument/2006/relationships/hyperlink" Target="https://www.nature.com/nrg/for-referees" TargetMode="External"/><Relationship Id="rId409" Type="http://schemas.openxmlformats.org/officeDocument/2006/relationships/hyperlink" Target="https://www.cell.com/neuron/authors?code=cell-site" TargetMode="External"/><Relationship Id="rId92" Type="http://schemas.openxmlformats.org/officeDocument/2006/relationships/hyperlink" Target="https://arxiv.org/" TargetMode="External"/><Relationship Id="rId213" Type="http://schemas.openxmlformats.org/officeDocument/2006/relationships/hyperlink" Target="https://www.elsevier.com/reviewers/how-to-review" TargetMode="External"/><Relationship Id="rId420" Type="http://schemas.openxmlformats.org/officeDocument/2006/relationships/hyperlink" Target="http://www.aappublications.org/content/pediatrics-reviewer-guidelines" TargetMode="External"/><Relationship Id="rId255" Type="http://schemas.openxmlformats.org/officeDocument/2006/relationships/hyperlink" Target="https://publications.agu.org/reviewer-resources/" TargetMode="External"/><Relationship Id="rId297" Type="http://schemas.openxmlformats.org/officeDocument/2006/relationships/hyperlink" Target="https://uk.sagepub.com/en-gb/eur/journal/media-culture-society" TargetMode="External"/><Relationship Id="rId462" Type="http://schemas.openxmlformats.org/officeDocument/2006/relationships/hyperlink" Target="https://www.mitpressjournals.org/for_authors" TargetMode="External"/><Relationship Id="rId518" Type="http://schemas.openxmlformats.org/officeDocument/2006/relationships/hyperlink" Target="https://www.elsevier.com/journals/world-development/0305-750x/guide-for-authors" TargetMode="External"/><Relationship Id="rId115" Type="http://schemas.openxmlformats.org/officeDocument/2006/relationships/hyperlink" Target="https://www.ahajournals.org/prior-publication-policy" TargetMode="External"/><Relationship Id="rId157" Type="http://schemas.openxmlformats.org/officeDocument/2006/relationships/hyperlink" Target="https://www.elsevier.com/reviewers/what-is-peer-review" TargetMode="External"/><Relationship Id="rId322" Type="http://schemas.openxmlformats.org/officeDocument/2006/relationships/hyperlink" Target="https://www.nature.com/authors/policies/peer_review.html" TargetMode="External"/><Relationship Id="rId364" Type="http://schemas.openxmlformats.org/officeDocument/2006/relationships/hyperlink" Target="https://www.nature.com/nmeth/for-referees/policies-and-processes" TargetMode="External"/><Relationship Id="rId61" Type="http://schemas.openxmlformats.org/officeDocument/2006/relationships/hyperlink" Target="http://www.bloodjournal.org/page/authors/author-guide/peer-review" TargetMode="External"/><Relationship Id="rId199" Type="http://schemas.openxmlformats.org/officeDocument/2006/relationships/hyperlink" Target="https://ieeeauthorcenter.ieee.org/publishing-ethics/guidelines-and-policies/policy-posting-your-article/" TargetMode="External"/><Relationship Id="rId19" Type="http://schemas.openxmlformats.org/officeDocument/2006/relationships/hyperlink" Target="https://www.aeaweb.org/content/file?id=222" TargetMode="External"/><Relationship Id="rId224" Type="http://schemas.openxmlformats.org/officeDocument/2006/relationships/hyperlink" Target="https://www.elsevier.com/reviewers/how-to-review" TargetMode="External"/><Relationship Id="rId266" Type="http://schemas.openxmlformats.org/officeDocument/2006/relationships/hyperlink" Target="https://us.sagepub.com/en-us/nam/prior-publication" TargetMode="External"/><Relationship Id="rId431" Type="http://schemas.openxmlformats.org/officeDocument/2006/relationships/hyperlink" Target="https://journals.aps.org/prl/authors/editorial-policies-practices" TargetMode="External"/><Relationship Id="rId473" Type="http://schemas.openxmlformats.org/officeDocument/2006/relationships/hyperlink" Target="https://www.nature.com/authors/author_resources/transfer_manuscripts.html" TargetMode="External"/><Relationship Id="rId30" Type="http://schemas.openxmlformats.org/officeDocument/2006/relationships/hyperlink" Target="https://us.sagepub.com/en-us/nam/prior-publication" TargetMode="External"/><Relationship Id="rId126" Type="http://schemas.openxmlformats.org/officeDocument/2006/relationships/hyperlink" Target="https://ccr.msubmit.net/cgi-bin/main.plex?form_type=display_rev_instructions" TargetMode="External"/><Relationship Id="rId168" Type="http://schemas.openxmlformats.org/officeDocument/2006/relationships/hyperlink" Target="https://www.elsevier.com/reviewers/role" TargetMode="External"/><Relationship Id="rId333" Type="http://schemas.openxmlformats.org/officeDocument/2006/relationships/hyperlink" Target="https://www.nature.com/authors/author_resources/transfer_manuscripts.html" TargetMode="External"/><Relationship Id="rId72" Type="http://schemas.openxmlformats.org/officeDocument/2006/relationships/hyperlink" Target="https://www.cell.com/reviewers" TargetMode="External"/><Relationship Id="rId375" Type="http://schemas.openxmlformats.org/officeDocument/2006/relationships/hyperlink" Target="https://www.nature.com/authors/policies/preprints.html" TargetMode="External"/><Relationship Id="rId3" Type="http://schemas.openxmlformats.org/officeDocument/2006/relationships/hyperlink" Target="https://pubs.acs.org/paragonplus/submission/achre4/achre4_authguide.pdf" TargetMode="External"/><Relationship Id="rId235" Type="http://schemas.openxmlformats.org/officeDocument/2006/relationships/hyperlink" Target="https://www.elsevier.com/reviewers/what-is-peer-review" TargetMode="External"/><Relationship Id="rId277" Type="http://schemas.openxmlformats.org/officeDocument/2006/relationships/hyperlink" Target="http://www.onlinejacc.org/content/73/2/A28" TargetMode="External"/><Relationship Id="rId400" Type="http://schemas.openxmlformats.org/officeDocument/2006/relationships/hyperlink" Target="https://www.elsevier.com/journals/neuroimage/1053-8119/guide-for-authors" TargetMode="External"/><Relationship Id="rId442" Type="http://schemas.openxmlformats.org/officeDocument/2006/relationships/hyperlink" Target="https://journals.plos.org/plosone/s/editorial-and-peer-review-process" TargetMode="External"/><Relationship Id="rId484" Type="http://schemas.openxmlformats.org/officeDocument/2006/relationships/hyperlink" Target="https://www.elsevier.com/journals/teaching-and-teacher-education/0742-051x/guide-for-authors" TargetMode="External"/><Relationship Id="rId137" Type="http://schemas.openxmlformats.org/officeDocument/2006/relationships/hyperlink" Target="http://care.diabetesjournals.org/content/early/recent" TargetMode="External"/><Relationship Id="rId302" Type="http://schemas.openxmlformats.org/officeDocument/2006/relationships/hyperlink" Target="https://academic.oup.com/mnras/pages/General_Instructions" TargetMode="External"/><Relationship Id="rId344" Type="http://schemas.openxmlformats.org/officeDocument/2006/relationships/hyperlink" Target="https://www.nature.com/ng/for-referees/policies-and-processes" TargetMode="External"/><Relationship Id="rId41" Type="http://schemas.openxmlformats.org/officeDocument/2006/relationships/hyperlink" Target="https://authors.bmj.com/policies/peer-review-terms-and-conditions/" TargetMode="External"/><Relationship Id="rId83" Type="http://schemas.openxmlformats.org/officeDocument/2006/relationships/hyperlink" Target="https://www.cell.com/reviewers" TargetMode="External"/><Relationship Id="rId179" Type="http://schemas.openxmlformats.org/officeDocument/2006/relationships/hyperlink" Target="https://authors.bmj.com/policies/preprints/" TargetMode="External"/><Relationship Id="rId386" Type="http://schemas.openxmlformats.org/officeDocument/2006/relationships/hyperlink" Target="https://www.nature.com/nrc/for-referees" TargetMode="External"/><Relationship Id="rId190" Type="http://schemas.openxmlformats.org/officeDocument/2006/relationships/hyperlink" Target="http://cvpr2019.thecvf.com/" TargetMode="External"/><Relationship Id="rId204" Type="http://schemas.openxmlformats.org/officeDocument/2006/relationships/hyperlink" Target="https://ieeeauthorcenter.ieee.org/peer-review-at-ieee/ethics-in-peer-review/" TargetMode="External"/><Relationship Id="rId246" Type="http://schemas.openxmlformats.org/officeDocument/2006/relationships/hyperlink" Target="https://publishingsupport.iopscience.iop.org/questions/ethics-for-reviewers/" TargetMode="External"/><Relationship Id="rId288" Type="http://schemas.openxmlformats.org/officeDocument/2006/relationships/hyperlink" Target="https://www.elsevier.com/authors/journal-authors/submit-your-paper/submit-and-revise/article-transfer-service" TargetMode="External"/><Relationship Id="rId411" Type="http://schemas.openxmlformats.org/officeDocument/2006/relationships/hyperlink" Target="https://onlinelibrary.wiley.com/page/journal/14680068/homepage/forauthors.html" TargetMode="External"/><Relationship Id="rId453" Type="http://schemas.openxmlformats.org/officeDocument/2006/relationships/hyperlink" Target="https://www.tandfonline.com/action/authorSubmission?show=instructions&amp;journalCode=cres20" TargetMode="External"/><Relationship Id="rId509" Type="http://schemas.openxmlformats.org/officeDocument/2006/relationships/hyperlink" Target="https://www.nejm.org/about-nejm/editorial-policies" TargetMode="External"/><Relationship Id="rId106" Type="http://schemas.openxmlformats.org/officeDocument/2006/relationships/hyperlink" Target="http://www.rsc.org/journals-books-databases/journal-authors-reviewers/reviewer-responsibilities/" TargetMode="External"/><Relationship Id="rId313" Type="http://schemas.openxmlformats.org/officeDocument/2006/relationships/hyperlink" Target="https://www.nature.com/authors/author_resources/transfer_manuscripts.html" TargetMode="External"/><Relationship Id="rId495" Type="http://schemas.openxmlformats.org/officeDocument/2006/relationships/hyperlink" Target="https://authorservices.wiley.com/Reviewers/journal-reviewers/recognition-for-reviewers/index.html" TargetMode="External"/><Relationship Id="rId10" Type="http://schemas.openxmlformats.org/officeDocument/2006/relationships/hyperlink" Target="https://pubs.acs.org/pb-assets/acspubs/Migrated/ancac3_revguide.pdf" TargetMode="External"/><Relationship Id="rId52" Type="http://schemas.openxmlformats.org/officeDocument/2006/relationships/hyperlink" Target="https://academic.oup.com/journals/pages/authors/ethics" TargetMode="External"/><Relationship Id="rId94" Type="http://schemas.openxmlformats.org/officeDocument/2006/relationships/hyperlink" Target="https://www.cell.com/cell-stem-cell/articletransfer" TargetMode="External"/><Relationship Id="rId148" Type="http://schemas.openxmlformats.org/officeDocument/2006/relationships/hyperlink" Target="https://pubs.acs.org/page/esthag/submission/prior.html" TargetMode="External"/><Relationship Id="rId355" Type="http://schemas.openxmlformats.org/officeDocument/2006/relationships/hyperlink" Target="https://www.nature.com/authors/policies/preprints.html" TargetMode="External"/><Relationship Id="rId397" Type="http://schemas.openxmlformats.org/officeDocument/2006/relationships/hyperlink" Target="https://www.nature.com/nrg/for-referees" TargetMode="External"/><Relationship Id="rId520" Type="http://schemas.openxmlformats.org/officeDocument/2006/relationships/hyperlink" Target="https://www.elsevier.com/reviewers/what-is-peer-review" TargetMode="External"/><Relationship Id="rId215" Type="http://schemas.openxmlformats.org/officeDocument/2006/relationships/hyperlink" Target="https://jamanetwork.com/journals/jama/pages/instructions-for-authors" TargetMode="External"/><Relationship Id="rId257" Type="http://schemas.openxmlformats.org/officeDocument/2006/relationships/hyperlink" Target="https://publications.agu.org/reviewer-resources/" TargetMode="External"/><Relationship Id="rId422" Type="http://schemas.openxmlformats.org/officeDocument/2006/relationships/hyperlink" Target="http://www.aappublications.org/content/pediatrics-reviewer-guidelines" TargetMode="External"/><Relationship Id="rId464" Type="http://schemas.openxmlformats.org/officeDocument/2006/relationships/hyperlink" Target="https://journals.aps.org/rmp/info/procedures.html" TargetMode="External"/><Relationship Id="rId299" Type="http://schemas.openxmlformats.org/officeDocument/2006/relationships/hyperlink" Target="https://www.cell.com/molecular-cell/authors" TargetMode="External"/><Relationship Id="rId63" Type="http://schemas.openxmlformats.org/officeDocument/2006/relationships/hyperlink" Target="http://www.bloodjournal.org/page/authors/author-guide/peer-review" TargetMode="External"/><Relationship Id="rId159" Type="http://schemas.openxmlformats.org/officeDocument/2006/relationships/hyperlink" Target="https://www.gastrojournal.org/content/authorinfo" TargetMode="External"/><Relationship Id="rId366" Type="http://schemas.openxmlformats.org/officeDocument/2006/relationships/hyperlink" Target="https://www.nature.com/authors/policies/peer_review.html" TargetMode="External"/><Relationship Id="rId226" Type="http://schemas.openxmlformats.org/officeDocument/2006/relationships/hyperlink" Target="https://www.springer.com/philosophy/ethics+and+moral+philosophy/journal/10551" TargetMode="External"/><Relationship Id="rId433" Type="http://schemas.openxmlformats.org/officeDocument/2006/relationships/hyperlink" Target="https://journals.aps.org/prl/authors/editorial-policies-practices"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ell.com/reviewers" TargetMode="External"/><Relationship Id="rId21" Type="http://schemas.openxmlformats.org/officeDocument/2006/relationships/hyperlink" Target="http://www.bloodjournal.org/page/authors/author-guide/peer-review" TargetMode="External"/><Relationship Id="rId324" Type="http://schemas.openxmlformats.org/officeDocument/2006/relationships/hyperlink" Target="https://www.cell.com/reviewers" TargetMode="External"/><Relationship Id="rId170" Type="http://schemas.openxmlformats.org/officeDocument/2006/relationships/hyperlink" Target="http://www.rsc.org/journals-books-databases/journal-authors-reviewers/reviewer-responsibilities/" TargetMode="External"/><Relationship Id="rId268" Type="http://schemas.openxmlformats.org/officeDocument/2006/relationships/hyperlink" Target="https://pubs.acs.org/page/policy/manuscript_transfer/index.html" TargetMode="External"/><Relationship Id="rId475" Type="http://schemas.openxmlformats.org/officeDocument/2006/relationships/hyperlink" Target="https://www.nature.com/authors/policies/preprints.html" TargetMode="External"/><Relationship Id="rId32" Type="http://schemas.openxmlformats.org/officeDocument/2006/relationships/hyperlink" Target="https://www.ahajournals.org/pb-assets/Ethical%20ConductPolicyApril2017finalWeb.pdf" TargetMode="External"/><Relationship Id="rId74" Type="http://schemas.openxmlformats.org/officeDocument/2006/relationships/hyperlink" Target="https://www.springer.com/physics/particle+and+nuclear+physics/journal/13130" TargetMode="External"/><Relationship Id="rId128" Type="http://schemas.openxmlformats.org/officeDocument/2006/relationships/hyperlink" Target="https://journals.plos.org/plosone/s/editorial-and-peer-review-process" TargetMode="External"/><Relationship Id="rId335" Type="http://schemas.openxmlformats.org/officeDocument/2006/relationships/hyperlink" Target="https://www.healthaffairs.org/help-for-reviewers" TargetMode="External"/><Relationship Id="rId377" Type="http://schemas.openxmlformats.org/officeDocument/2006/relationships/hyperlink" Target="http://www.aappublications.org/content/pediatrics-reviewer-guidelines" TargetMode="External"/><Relationship Id="rId500" Type="http://schemas.openxmlformats.org/officeDocument/2006/relationships/hyperlink" Target="https://www.nature.com/srep/journal-policies/editorial-policies?draft=journal&amp;target=content" TargetMode="External"/><Relationship Id="rId5" Type="http://schemas.openxmlformats.org/officeDocument/2006/relationships/hyperlink" Target="https://application.wiley-vch.de/util/cta/euchems_ethicalguidelines.pdf" TargetMode="External"/><Relationship Id="rId181" Type="http://schemas.openxmlformats.org/officeDocument/2006/relationships/hyperlink" Target="https://www.elsevier.com/reviewers/role" TargetMode="External"/><Relationship Id="rId237" Type="http://schemas.openxmlformats.org/officeDocument/2006/relationships/hyperlink" Target="https://www.cell.com/cancer-cell/articletransfer" TargetMode="External"/><Relationship Id="rId402" Type="http://schemas.openxmlformats.org/officeDocument/2006/relationships/hyperlink" Target="https://www.aeaweb.org/journals/policies/copyright" TargetMode="External"/><Relationship Id="rId279" Type="http://schemas.openxmlformats.org/officeDocument/2006/relationships/hyperlink" Target="https://www.nature.com/authors/author_resources/transfer_manuscripts.html" TargetMode="External"/><Relationship Id="rId444" Type="http://schemas.openxmlformats.org/officeDocument/2006/relationships/hyperlink" Target="http://iccv2019.thecvf.com/submission/main_conference/author_guidelines" TargetMode="External"/><Relationship Id="rId486" Type="http://schemas.openxmlformats.org/officeDocument/2006/relationships/hyperlink" Target="https://www.nature.com/authors/policies/preprints.html" TargetMode="External"/><Relationship Id="rId43" Type="http://schemas.openxmlformats.org/officeDocument/2006/relationships/hyperlink" Target="https://www.gastrojournal.org/content/authorinfo" TargetMode="External"/><Relationship Id="rId139" Type="http://schemas.openxmlformats.org/officeDocument/2006/relationships/hyperlink" Target="https://www.springer.com/philosophy/epistemology+and+philosophy+of+science/journal/11229" TargetMode="External"/><Relationship Id="rId290" Type="http://schemas.openxmlformats.org/officeDocument/2006/relationships/hyperlink" Target="http://www.aappublications.org/content/pediatrics-author-guidelines" TargetMode="External"/><Relationship Id="rId304" Type="http://schemas.openxmlformats.org/officeDocument/2006/relationships/hyperlink" Target="https://els-jbs-prod-cdn.literatumonline.com/pb/assets/raw/Lancet/authors/tln-info-for-authors-1541596047120.pdf" TargetMode="External"/><Relationship Id="rId346" Type="http://schemas.openxmlformats.org/officeDocument/2006/relationships/hyperlink" Target="https://us.sagepub.com/en-us/nam/how-to-review-articles" TargetMode="External"/><Relationship Id="rId388" Type="http://schemas.openxmlformats.org/officeDocument/2006/relationships/hyperlink" Target="https://www.sciencemag.org/authors/peer-review-science-publications" TargetMode="External"/><Relationship Id="rId511" Type="http://schemas.openxmlformats.org/officeDocument/2006/relationships/hyperlink" Target="https://academic.oup.com/journals/pages/access_purchase/rights_and_permissions/self_archiving_policy_f" TargetMode="External"/><Relationship Id="rId85" Type="http://schemas.openxmlformats.org/officeDocument/2006/relationships/hyperlink" Target="https://onlinelibrary.wiley.com/page/journal/14679922/homepage/forauthors.html" TargetMode="External"/><Relationship Id="rId150" Type="http://schemas.openxmlformats.org/officeDocument/2006/relationships/hyperlink" Target="https://academic.oup.com/qje/pages/Policies" TargetMode="External"/><Relationship Id="rId192" Type="http://schemas.openxmlformats.org/officeDocument/2006/relationships/hyperlink" Target="https://us.sagepub.com/en-us/nam/reviewer-rewards" TargetMode="External"/><Relationship Id="rId206" Type="http://schemas.openxmlformats.org/officeDocument/2006/relationships/hyperlink" Target="https://www.nature.com/authors/policies/peer_review.html" TargetMode="External"/><Relationship Id="rId413" Type="http://schemas.openxmlformats.org/officeDocument/2006/relationships/hyperlink" Target="http://www.bloodjournal.org/page/authors/author-guide/Editorial-policies-for-authors" TargetMode="External"/><Relationship Id="rId248" Type="http://schemas.openxmlformats.org/officeDocument/2006/relationships/hyperlink" Target="https://www.econometricsociety.org/publications/econometrica/information-authors/editorial-procedures-and-policies" TargetMode="External"/><Relationship Id="rId455" Type="http://schemas.openxmlformats.org/officeDocument/2006/relationships/hyperlink" Target="https://www.elsevier.com/about/policies/sharing" TargetMode="External"/><Relationship Id="rId497" Type="http://schemas.openxmlformats.org/officeDocument/2006/relationships/hyperlink" Target="https://journals.aps.org/rmp/info/procedures.html" TargetMode="External"/><Relationship Id="rId12" Type="http://schemas.openxmlformats.org/officeDocument/2006/relationships/hyperlink" Target="https://us.sagepub.com/en-us/nam/journal/american-sociological-review" TargetMode="External"/><Relationship Id="rId108" Type="http://schemas.openxmlformats.org/officeDocument/2006/relationships/hyperlink" Target="https://www.nature.com/authors/policies/peer_review.html" TargetMode="External"/><Relationship Id="rId315" Type="http://schemas.openxmlformats.org/officeDocument/2006/relationships/hyperlink" Target="https://uk.sagepub.com/en-gb/eur/how-to-review-articles" TargetMode="External"/><Relationship Id="rId357" Type="http://schemas.openxmlformats.org/officeDocument/2006/relationships/hyperlink" Target="https://www.nature.com/ncomms/journal-policies/guide-to-referees" TargetMode="External"/><Relationship Id="rId54" Type="http://schemas.openxmlformats.org/officeDocument/2006/relationships/hyperlink" Target="http://iccv2019.thecvf.com/submission/timeline" TargetMode="External"/><Relationship Id="rId96" Type="http://schemas.openxmlformats.org/officeDocument/2006/relationships/hyperlink" Target="https://www.nature.com/authors/policies/peer_review.html" TargetMode="External"/><Relationship Id="rId161" Type="http://schemas.openxmlformats.org/officeDocument/2006/relationships/hyperlink" Target="http://annals.org/aim/pages/authors" TargetMode="External"/><Relationship Id="rId217" Type="http://schemas.openxmlformats.org/officeDocument/2006/relationships/hyperlink" Target="https://www.elsevier.com/reviewers/role" TargetMode="External"/><Relationship Id="rId399" Type="http://schemas.openxmlformats.org/officeDocument/2006/relationships/hyperlink" Target="https://pubs.acs.org/page/ancac3/submission/prior.html" TargetMode="External"/><Relationship Id="rId259" Type="http://schemas.openxmlformats.org/officeDocument/2006/relationships/hyperlink" Target="https://www.elsevier.com/authors/journal-authors/submit-your-paper/submit-and-revise/article-transfer-service" TargetMode="External"/><Relationship Id="rId424" Type="http://schemas.openxmlformats.org/officeDocument/2006/relationships/hyperlink" Target="https://www.ahajournals.org/prior-publication-policy" TargetMode="External"/><Relationship Id="rId466" Type="http://schemas.openxmlformats.org/officeDocument/2006/relationships/hyperlink" Target="http://www.onlinejacc.org/content/73/2/A28" TargetMode="External"/><Relationship Id="rId23" Type="http://schemas.openxmlformats.org/officeDocument/2006/relationships/hyperlink" Target="https://www.cell.com/reviewers" TargetMode="External"/><Relationship Id="rId119" Type="http://schemas.openxmlformats.org/officeDocument/2006/relationships/hyperlink" Target="https://onlinelibrary.wiley.com/page/journal/14680068/homepage/forauthors.html" TargetMode="External"/><Relationship Id="rId270" Type="http://schemas.openxmlformats.org/officeDocument/2006/relationships/hyperlink" Target="https://www.elsevier.com/reviewers/what-is-peer-review" TargetMode="External"/><Relationship Id="rId326" Type="http://schemas.openxmlformats.org/officeDocument/2006/relationships/hyperlink" Target="https://www.rsc.org/journals-books-databases/journal-authors-reviewers/reviewer-responsibilities/" TargetMode="External"/><Relationship Id="rId65" Type="http://schemas.openxmlformats.org/officeDocument/2006/relationships/hyperlink" Target="https://www.springer.com/philosophy/ethics+and+moral+philosophy/journal/10551" TargetMode="External"/><Relationship Id="rId130" Type="http://schemas.openxmlformats.org/officeDocument/2006/relationships/hyperlink" Target="https://uk.sagepub.com/en-gb/eur/journal/progress-human-geography" TargetMode="External"/><Relationship Id="rId368" Type="http://schemas.openxmlformats.org/officeDocument/2006/relationships/hyperlink" Target="https://www.nature.com/nrg/for-referees" TargetMode="External"/><Relationship Id="rId172" Type="http://schemas.openxmlformats.org/officeDocument/2006/relationships/hyperlink" Target="https://www.elsevier.com/reviewers/role" TargetMode="External"/><Relationship Id="rId228" Type="http://schemas.openxmlformats.org/officeDocument/2006/relationships/hyperlink" Target="https://pubs.acs.org/paragonplus/submission/aamick/aamick_authguide.pdf" TargetMode="External"/><Relationship Id="rId435" Type="http://schemas.openxmlformats.org/officeDocument/2006/relationships/hyperlink" Target="https://publications.agu.org/author-resource-center/publication-policies/dual-publication-policy/" TargetMode="External"/><Relationship Id="rId477" Type="http://schemas.openxmlformats.org/officeDocument/2006/relationships/hyperlink" Target="https://www.nature.com/authors/policies/preprints.html" TargetMode="External"/><Relationship Id="rId281" Type="http://schemas.openxmlformats.org/officeDocument/2006/relationships/hyperlink" Target="https://www.nature.com/authors/author_resources/transfer_manuscripts.html" TargetMode="External"/><Relationship Id="rId337" Type="http://schemas.openxmlformats.org/officeDocument/2006/relationships/hyperlink" Target="http://iccv2019.thecvf.com/submission/main_conference/reviewer_guidelines" TargetMode="External"/><Relationship Id="rId502" Type="http://schemas.openxmlformats.org/officeDocument/2006/relationships/hyperlink" Target="https://onlinelibrary.wiley.com/page/journal/15457249/homepage/forauthors.html" TargetMode="External"/><Relationship Id="rId34" Type="http://schemas.openxmlformats.org/officeDocument/2006/relationships/hyperlink" Target="http://aacrjournals.org/content/authors/editorial-process" TargetMode="External"/><Relationship Id="rId76" Type="http://schemas.openxmlformats.org/officeDocument/2006/relationships/hyperlink" Target="http://www.rsc.org/journals-books-databases/journal-authors-reviewers/reviewer-responsibilities/" TargetMode="External"/><Relationship Id="rId141" Type="http://schemas.openxmlformats.org/officeDocument/2006/relationships/hyperlink" Target="https://www.elsevier.com/journals/teaching-and-teacher-education/0742-051x/guide-for-authors" TargetMode="External"/><Relationship Id="rId379" Type="http://schemas.openxmlformats.org/officeDocument/2006/relationships/hyperlink" Target="https://journals.aps.org/prd/authors/editorial-policies-practices" TargetMode="External"/><Relationship Id="rId7" Type="http://schemas.openxmlformats.org/officeDocument/2006/relationships/hyperlink" Target="https://wol-prod-cdn.literatumonline.com/pb-assets/assets/15214095/2089_guidelines-1510017322000.pdf" TargetMode="External"/><Relationship Id="rId183" Type="http://schemas.openxmlformats.org/officeDocument/2006/relationships/hyperlink" Target="https://www.elsevier.com/reviewers/role" TargetMode="External"/><Relationship Id="rId239" Type="http://schemas.openxmlformats.org/officeDocument/2006/relationships/hyperlink" Target="https://www.cell.com/cell/articletransfer" TargetMode="External"/><Relationship Id="rId390" Type="http://schemas.openxmlformats.org/officeDocument/2006/relationships/hyperlink" Target="https://www.nature.com/srep/journal-policies/referees" TargetMode="External"/><Relationship Id="rId404" Type="http://schemas.openxmlformats.org/officeDocument/2006/relationships/hyperlink" Target="https://us.sagepub.com/en-us/nam/prior-publication" TargetMode="External"/><Relationship Id="rId446" Type="http://schemas.openxmlformats.org/officeDocument/2006/relationships/hyperlink" Target="https://ieeeauthorcenter.ieee.org/publishing-ethics/guidelines-and-policies/policy-posting-your-article/" TargetMode="External"/><Relationship Id="rId250" Type="http://schemas.openxmlformats.org/officeDocument/2006/relationships/hyperlink" Target="https://pubs.acs.org/paragonplus/submission/esthag/esthag_authguide.pdf" TargetMode="External"/><Relationship Id="rId292" Type="http://schemas.openxmlformats.org/officeDocument/2006/relationships/hyperlink" Target="https://journals.aps.org/prd/authors/editorial-policies-practices" TargetMode="External"/><Relationship Id="rId306" Type="http://schemas.openxmlformats.org/officeDocument/2006/relationships/hyperlink" Target="https://www.elsevier.com/reviewers/what-is-peer-review" TargetMode="External"/><Relationship Id="rId488" Type="http://schemas.openxmlformats.org/officeDocument/2006/relationships/hyperlink" Target="https://nips.cc/Conferences/2019/CallForPapers" TargetMode="External"/><Relationship Id="rId45" Type="http://schemas.openxmlformats.org/officeDocument/2006/relationships/hyperlink" Target="https://publications.agu.org/author-resource-center/steps-to-publication/" TargetMode="External"/><Relationship Id="rId87" Type="http://schemas.openxmlformats.org/officeDocument/2006/relationships/hyperlink" Target="https://www.misq.org/skin/frontend/default/misq/pdf/ReviewerRole.pdf" TargetMode="External"/><Relationship Id="rId110" Type="http://schemas.openxmlformats.org/officeDocument/2006/relationships/hyperlink" Target="https://www.nature.com/nrg/for-referees" TargetMode="External"/><Relationship Id="rId348" Type="http://schemas.openxmlformats.org/officeDocument/2006/relationships/hyperlink" Target="https://us.sagepub.com/en-us/nam/how-to-review-articles" TargetMode="External"/><Relationship Id="rId513" Type="http://schemas.openxmlformats.org/officeDocument/2006/relationships/hyperlink" Target="https://www.elsevier.com/about/policies/sharing" TargetMode="External"/><Relationship Id="rId152" Type="http://schemas.openxmlformats.org/officeDocument/2006/relationships/hyperlink" Target="https://www.elsevier.com/journals/world-development/0305-750x/guide-for-authors" TargetMode="External"/><Relationship Id="rId194" Type="http://schemas.openxmlformats.org/officeDocument/2006/relationships/hyperlink" Target="https://www.elsevier.com/reviewers/role" TargetMode="External"/><Relationship Id="rId208" Type="http://schemas.openxmlformats.org/officeDocument/2006/relationships/hyperlink" Target="https://www.nature.com/authors/policies/peer_review.html" TargetMode="External"/><Relationship Id="rId415" Type="http://schemas.openxmlformats.org/officeDocument/2006/relationships/hyperlink" Target="https://www.cell.com/cancer-cell/authors" TargetMode="External"/><Relationship Id="rId457" Type="http://schemas.openxmlformats.org/officeDocument/2006/relationships/hyperlink" Target="http://ascopubs.org/jco/site/ifc/journal-policies.xhtml" TargetMode="External"/><Relationship Id="rId261" Type="http://schemas.openxmlformats.org/officeDocument/2006/relationships/hyperlink" Target="https://www.elsevier.com/reviewers/what-is-peer-review" TargetMode="External"/><Relationship Id="rId499" Type="http://schemas.openxmlformats.org/officeDocument/2006/relationships/hyperlink" Target="https://stm.sciencemag.org/content/science-translational-medicine-general-policies" TargetMode="External"/><Relationship Id="rId14" Type="http://schemas.openxmlformats.org/officeDocument/2006/relationships/hyperlink" Target="https://academic.oup.com/annonc/pages/General_Instructions" TargetMode="External"/><Relationship Id="rId56" Type="http://schemas.openxmlformats.org/officeDocument/2006/relationships/hyperlink" Target="https://ieeeauthorcenter.ieee.org/peer-review-at-ieee/" TargetMode="External"/><Relationship Id="rId317" Type="http://schemas.openxmlformats.org/officeDocument/2006/relationships/hyperlink" Target="https://authors.bmj.com/policies/peer-review-terms-and-conditions/" TargetMode="External"/><Relationship Id="rId359" Type="http://schemas.openxmlformats.org/officeDocument/2006/relationships/hyperlink" Target="https://www.nature.com/ni/for-referees/policies-and-processes" TargetMode="External"/><Relationship Id="rId98" Type="http://schemas.openxmlformats.org/officeDocument/2006/relationships/hyperlink" Target="https://www.nature.com/authors/policies/peer_review.html" TargetMode="External"/><Relationship Id="rId121" Type="http://schemas.openxmlformats.org/officeDocument/2006/relationships/hyperlink" Target="http://www.aappublications.org/content/pediatrics-reviewer-guidelines" TargetMode="External"/><Relationship Id="rId163" Type="http://schemas.openxmlformats.org/officeDocument/2006/relationships/hyperlink" Target="https://www.elsevier.com/reviewers/role" TargetMode="External"/><Relationship Id="rId219" Type="http://schemas.openxmlformats.org/officeDocument/2006/relationships/hyperlink" Target="https://authorservices.wiley.com/Reviewers/journal-reviewers/recognition-for-reviewers/index.html" TargetMode="External"/><Relationship Id="rId370" Type="http://schemas.openxmlformats.org/officeDocument/2006/relationships/hyperlink" Target="https://www.nature.com/nrg/for-referees" TargetMode="External"/><Relationship Id="rId426" Type="http://schemas.openxmlformats.org/officeDocument/2006/relationships/hyperlink" Target="http://aacrjournals.org/content/authors/editorial-policies" TargetMode="External"/><Relationship Id="rId230" Type="http://schemas.openxmlformats.org/officeDocument/2006/relationships/hyperlink" Target="https://pubs.acs.org/page/policy/manuscript_transfer/index.html" TargetMode="External"/><Relationship Id="rId468" Type="http://schemas.openxmlformats.org/officeDocument/2006/relationships/hyperlink" Target="https://www.elsevier.com/about/policies/copyright/permissions" TargetMode="External"/><Relationship Id="rId25" Type="http://schemas.openxmlformats.org/officeDocument/2006/relationships/hyperlink" Target="https://www.cell.com/reviewers" TargetMode="External"/><Relationship Id="rId67" Type="http://schemas.openxmlformats.org/officeDocument/2006/relationships/hyperlink" Target="https://www.elsevier.com/journals/journal-of-cleaner-production/0959-6526/guide-for-authors" TargetMode="External"/><Relationship Id="rId272" Type="http://schemas.openxmlformats.org/officeDocument/2006/relationships/hyperlink" Target="https://pubs.acs.org/page/policy/manuscript_transfer/index.html" TargetMode="External"/><Relationship Id="rId328" Type="http://schemas.openxmlformats.org/officeDocument/2006/relationships/hyperlink" Target="https://ccr.msubmit.net/cgi-bin/main.plex?form_type=display_rev_instructions" TargetMode="External"/><Relationship Id="rId132" Type="http://schemas.openxmlformats.org/officeDocument/2006/relationships/hyperlink" Target="https://www.tandfonline.com/action/authorSubmission?show=instructions&amp;journalCode=cres20" TargetMode="External"/><Relationship Id="rId174" Type="http://schemas.openxmlformats.org/officeDocument/2006/relationships/hyperlink" Target="https://www.elsevier.com/reviewers/role" TargetMode="External"/><Relationship Id="rId381" Type="http://schemas.openxmlformats.org/officeDocument/2006/relationships/hyperlink" Target="https://journals.aps.org/prx/authors/editorial-policies-practices" TargetMode="External"/><Relationship Id="rId241" Type="http://schemas.openxmlformats.org/officeDocument/2006/relationships/hyperlink" Target="https://www.cell.com/cell-stem-cell/articletransfer" TargetMode="External"/><Relationship Id="rId437" Type="http://schemas.openxmlformats.org/officeDocument/2006/relationships/hyperlink" Target="https://www.elsevier.com/about/policies/sharing" TargetMode="External"/><Relationship Id="rId479" Type="http://schemas.openxmlformats.org/officeDocument/2006/relationships/hyperlink" Target="https://www.nature.com/authors/policies/preprints.html" TargetMode="External"/><Relationship Id="rId36" Type="http://schemas.openxmlformats.org/officeDocument/2006/relationships/hyperlink" Target="http://www.diabetesjournals.org/content/journal-policies" TargetMode="External"/><Relationship Id="rId283" Type="http://schemas.openxmlformats.org/officeDocument/2006/relationships/hyperlink" Target="https://www.nature.com/authors/author_resources/transfer_manuscripts.html" TargetMode="External"/><Relationship Id="rId339" Type="http://schemas.openxmlformats.org/officeDocument/2006/relationships/hyperlink" Target="https://www.elsevier.com/reviewers/how-to-review" TargetMode="External"/><Relationship Id="rId490" Type="http://schemas.openxmlformats.org/officeDocument/2006/relationships/hyperlink" Target="https://www.cell.com/neuron/authors" TargetMode="External"/><Relationship Id="rId504" Type="http://schemas.openxmlformats.org/officeDocument/2006/relationships/hyperlink" Target="https://epjc.epj.org/epjc-faq" TargetMode="External"/><Relationship Id="rId78" Type="http://schemas.openxmlformats.org/officeDocument/2006/relationships/hyperlink" Target="http://pubs.acs.org/paragonplus/submission/jacsat/jacsat_authguide.pdf" TargetMode="External"/><Relationship Id="rId101" Type="http://schemas.openxmlformats.org/officeDocument/2006/relationships/hyperlink" Target="https://www.nature.com/authors/policies/peer_review.html" TargetMode="External"/><Relationship Id="rId143" Type="http://schemas.openxmlformats.org/officeDocument/2006/relationships/hyperlink" Target="https://community.cochrane.org/editorial-and-publishing-policy-resource/cochrane-review-management/cochrane-peer-review-policy" TargetMode="External"/><Relationship Id="rId185" Type="http://schemas.openxmlformats.org/officeDocument/2006/relationships/hyperlink" Target="http://ascopubs.org/reviewers" TargetMode="External"/><Relationship Id="rId350" Type="http://schemas.openxmlformats.org/officeDocument/2006/relationships/hyperlink" Target="https://pubs.acs.org/userimages/ContentEditor/1218054468605/ethics.pdf" TargetMode="External"/><Relationship Id="rId406" Type="http://schemas.openxmlformats.org/officeDocument/2006/relationships/hyperlink" Target="http://annals.org/aim/pages/authors" TargetMode="External"/><Relationship Id="rId9" Type="http://schemas.openxmlformats.org/officeDocument/2006/relationships/hyperlink" Target="https://ajps.org/guidelines-for-manuscripts/" TargetMode="External"/><Relationship Id="rId210" Type="http://schemas.openxmlformats.org/officeDocument/2006/relationships/hyperlink" Target="https://www.nature.com/authors/policies/peer_review.html" TargetMode="External"/><Relationship Id="rId392" Type="http://schemas.openxmlformats.org/officeDocument/2006/relationships/hyperlink" Target="https://www.jci.org/kiosks/authors" TargetMode="External"/><Relationship Id="rId448" Type="http://schemas.openxmlformats.org/officeDocument/2006/relationships/hyperlink" Target="https://ieeeauthorcenter.ieee.org/publishing-ethics/guidelines-and-policies/policy-posting-your-article/" TargetMode="External"/><Relationship Id="rId252" Type="http://schemas.openxmlformats.org/officeDocument/2006/relationships/hyperlink" Target="https://www.elsevier.com/reviewers/what-is-peer-review" TargetMode="External"/><Relationship Id="rId294" Type="http://schemas.openxmlformats.org/officeDocument/2006/relationships/hyperlink" Target="https://www.elsevier.com/journals/physics-letters-b/0370-2693/guide-for-authors" TargetMode="External"/><Relationship Id="rId308" Type="http://schemas.openxmlformats.org/officeDocument/2006/relationships/hyperlink" Target="https://authors.bmj.com/policies/peer-review-terms-and-conditions/" TargetMode="External"/><Relationship Id="rId515" Type="http://schemas.openxmlformats.org/officeDocument/2006/relationships/hyperlink" Target="https://arxiv.org/" TargetMode="External"/><Relationship Id="rId47" Type="http://schemas.openxmlformats.org/officeDocument/2006/relationships/hyperlink" Target="https://www.elsevier.com/journals/government-information-quarterly/0740-624X?generatepdf=true" TargetMode="External"/><Relationship Id="rId89" Type="http://schemas.openxmlformats.org/officeDocument/2006/relationships/hyperlink" Target="https://uk.sagepub.com/en-gb/eur/journal/media-culture-society" TargetMode="External"/><Relationship Id="rId112" Type="http://schemas.openxmlformats.org/officeDocument/2006/relationships/hyperlink" Target="https://www.nature.com/nrg/for-referees" TargetMode="External"/><Relationship Id="rId154" Type="http://schemas.openxmlformats.org/officeDocument/2006/relationships/hyperlink" Target="http://aom.org/uploadedFiles/Publications/AMJ/07_Colquitt_IrelandApr09FTE.pdf" TargetMode="External"/><Relationship Id="rId361" Type="http://schemas.openxmlformats.org/officeDocument/2006/relationships/hyperlink" Target="https://www.nature.com/nm/for-referees/policies-and-processes" TargetMode="External"/><Relationship Id="rId196" Type="http://schemas.openxmlformats.org/officeDocument/2006/relationships/hyperlink" Target="http://www.rsc.org/journals-books-databases/journal-authors-reviewers/reviewer-responsibilities/" TargetMode="External"/><Relationship Id="rId417" Type="http://schemas.openxmlformats.org/officeDocument/2006/relationships/hyperlink" Target="https://www.cell.com/cell/authors" TargetMode="External"/><Relationship Id="rId459" Type="http://schemas.openxmlformats.org/officeDocument/2006/relationships/hyperlink" Target="https://jcap.sissa.it/jcap/help/helpLoader.jsp?pgType=flow" TargetMode="External"/><Relationship Id="rId16" Type="http://schemas.openxmlformats.org/officeDocument/2006/relationships/hyperlink" Target="https://www.elsevier.com/journals/annals-of-tourism-research/0160-7383?generatepdf=true" TargetMode="External"/><Relationship Id="rId221" Type="http://schemas.openxmlformats.org/officeDocument/2006/relationships/hyperlink" Target="https://authorservices.wiley.com/Reviewers/journal-reviewers/recognition-for-reviewers/index.html" TargetMode="External"/><Relationship Id="rId263" Type="http://schemas.openxmlformats.org/officeDocument/2006/relationships/hyperlink" Target="https://publishingsupport.iopscience.iop.org/questions/article-transfer-service/" TargetMode="External"/><Relationship Id="rId319" Type="http://schemas.openxmlformats.org/officeDocument/2006/relationships/hyperlink" Target="https://www.elsevier.com/reviewers/how-to-review" TargetMode="External"/><Relationship Id="rId470" Type="http://schemas.openxmlformats.org/officeDocument/2006/relationships/hyperlink" Target="https://www.cell.com/molecular-cell/authors" TargetMode="External"/><Relationship Id="rId58" Type="http://schemas.openxmlformats.org/officeDocument/2006/relationships/hyperlink" Target="https://ieeeauthorcenter.ieee.org/peer-review-at-ieee/ethics-in-peer-review/" TargetMode="External"/><Relationship Id="rId123" Type="http://schemas.openxmlformats.org/officeDocument/2006/relationships/hyperlink" Target="https://journals.aps.org/prb/referees/guidelines-for-referees" TargetMode="External"/><Relationship Id="rId330" Type="http://schemas.openxmlformats.org/officeDocument/2006/relationships/hyperlink" Target="https://www.gastrojournal.org/content/authorinfo" TargetMode="External"/><Relationship Id="rId165" Type="http://schemas.openxmlformats.org/officeDocument/2006/relationships/hyperlink" Target="https://www.elsevier.com/reviewers/role" TargetMode="External"/><Relationship Id="rId372" Type="http://schemas.openxmlformats.org/officeDocument/2006/relationships/hyperlink" Target="https://www.nature.com/nrg/for-referees" TargetMode="External"/><Relationship Id="rId428" Type="http://schemas.openxmlformats.org/officeDocument/2006/relationships/hyperlink" Target="http://www.diabetesjournals.org/content/journal-policies" TargetMode="External"/><Relationship Id="rId232" Type="http://schemas.openxmlformats.org/officeDocument/2006/relationships/hyperlink" Target="https://www.elsevier.com/reviewers/what-is-peer-review" TargetMode="External"/><Relationship Id="rId274" Type="http://schemas.openxmlformats.org/officeDocument/2006/relationships/hyperlink" Target="https://www.nature.com/authors/author_resources/transfer_manuscripts.html" TargetMode="External"/><Relationship Id="rId481" Type="http://schemas.openxmlformats.org/officeDocument/2006/relationships/hyperlink" Target="https://www.nature.com/authors/policies/preprints.html" TargetMode="External"/><Relationship Id="rId27" Type="http://schemas.openxmlformats.org/officeDocument/2006/relationships/hyperlink" Target="https://www.cell.com/reviewers" TargetMode="External"/><Relationship Id="rId69" Type="http://schemas.openxmlformats.org/officeDocument/2006/relationships/hyperlink" Target="https://academic.oup.com/joc/pages/General_Instructions" TargetMode="External"/><Relationship Id="rId134" Type="http://schemas.openxmlformats.org/officeDocument/2006/relationships/hyperlink" Target="https://www.elsevier.com/journals/research-policy/0048-7333/guide-for-authors" TargetMode="External"/><Relationship Id="rId80" Type="http://schemas.openxmlformats.org/officeDocument/2006/relationships/hyperlink" Target="https://www.springer.com/psychology/child+%26+school+psychology/journal/10964?detailsPage=pltci_1692324" TargetMode="External"/><Relationship Id="rId176" Type="http://schemas.openxmlformats.org/officeDocument/2006/relationships/hyperlink" Target="https://uk.sagepub.com/en-gb/eur/online-submission-peer-review-system" TargetMode="External"/><Relationship Id="rId341" Type="http://schemas.openxmlformats.org/officeDocument/2006/relationships/hyperlink" Target="https://www.elsevier.com/reviewers/how-to-review" TargetMode="External"/><Relationship Id="rId383" Type="http://schemas.openxmlformats.org/officeDocument/2006/relationships/hyperlink" Target="https://www.pnas.org/page/authors/reviewers" TargetMode="External"/><Relationship Id="rId439" Type="http://schemas.openxmlformats.org/officeDocument/2006/relationships/hyperlink" Target="https://www.healthaffairs.org/help-for-authors" TargetMode="External"/><Relationship Id="rId201" Type="http://schemas.openxmlformats.org/officeDocument/2006/relationships/hyperlink" Target="https://www.nature.com/ncomms/journal-policies/guide-to-referees" TargetMode="External"/><Relationship Id="rId243" Type="http://schemas.openxmlformats.org/officeDocument/2006/relationships/hyperlink" Target="https://pubs.acs.org/page/policy/manuscript_transfer/index.html" TargetMode="External"/><Relationship Id="rId285" Type="http://schemas.openxmlformats.org/officeDocument/2006/relationships/hyperlink" Target="https://www.nature.com/authors/author_resources/transfer_manuscripts.html" TargetMode="External"/><Relationship Id="rId450" Type="http://schemas.openxmlformats.org/officeDocument/2006/relationships/hyperlink" Target="https://www.cell.com/immunity/authors" TargetMode="External"/><Relationship Id="rId506" Type="http://schemas.openxmlformats.org/officeDocument/2006/relationships/hyperlink" Target="https://cdn.ymaws.com/www.afajof.org/resource/resmgr/files/Submission_docs/JF_Submission_Guidelines-Feb.pdf" TargetMode="External"/><Relationship Id="rId38" Type="http://schemas.openxmlformats.org/officeDocument/2006/relationships/hyperlink" Target="https://www.econometricsociety.org/publications/econometrica/information-authors/editorial-procedures-and-policies" TargetMode="External"/><Relationship Id="rId103" Type="http://schemas.openxmlformats.org/officeDocument/2006/relationships/hyperlink" Target="https://www.nature.com/authors/policies/peer_review.html" TargetMode="External"/><Relationship Id="rId310" Type="http://schemas.openxmlformats.org/officeDocument/2006/relationships/hyperlink" Target="http://examplejournal.com/coreviewers" TargetMode="External"/><Relationship Id="rId492" Type="http://schemas.openxmlformats.org/officeDocument/2006/relationships/hyperlink" Target="https://academic.oup.com/nar/pages/Policies" TargetMode="External"/><Relationship Id="rId91" Type="http://schemas.openxmlformats.org/officeDocument/2006/relationships/hyperlink" Target="https://academic.oup.com/mnras/pages/General_Instructions" TargetMode="External"/><Relationship Id="rId145" Type="http://schemas.openxmlformats.org/officeDocument/2006/relationships/hyperlink" Target="https://www.jci.org/kiosks/authors" TargetMode="External"/><Relationship Id="rId187" Type="http://schemas.openxmlformats.org/officeDocument/2006/relationships/hyperlink" Target="https://www.elsevier.com/reviewers/role" TargetMode="External"/><Relationship Id="rId352" Type="http://schemas.openxmlformats.org/officeDocument/2006/relationships/hyperlink" Target="https://www.nature.com/nature/for-referees/policies-and-processes" TargetMode="External"/><Relationship Id="rId394" Type="http://schemas.openxmlformats.org/officeDocument/2006/relationships/hyperlink" Target="https://www.elsevier.com/reviewers/how-to-review" TargetMode="External"/><Relationship Id="rId408" Type="http://schemas.openxmlformats.org/officeDocument/2006/relationships/hyperlink" Target="https://authors.bmj.com/policies/preprints/" TargetMode="External"/><Relationship Id="rId212" Type="http://schemas.openxmlformats.org/officeDocument/2006/relationships/hyperlink" Target="https://authorservices.wiley.com/Reviewers/journal-reviewers/recognition-for-reviewers/index.html" TargetMode="External"/><Relationship Id="rId254" Type="http://schemas.openxmlformats.org/officeDocument/2006/relationships/hyperlink" Target="https://www.elsevier.com/reviewers/what-is-peer-review" TargetMode="External"/><Relationship Id="rId49" Type="http://schemas.openxmlformats.org/officeDocument/2006/relationships/hyperlink" Target="https://www.healthaffairs.org/help-for-authors" TargetMode="External"/><Relationship Id="rId114" Type="http://schemas.openxmlformats.org/officeDocument/2006/relationships/hyperlink" Target="https://www.nature.com/nrg/for-referees" TargetMode="External"/><Relationship Id="rId296" Type="http://schemas.openxmlformats.org/officeDocument/2006/relationships/hyperlink" Target="https://www.elsevier.com/reviewers/what-is-peer-review" TargetMode="External"/><Relationship Id="rId461" Type="http://schemas.openxmlformats.org/officeDocument/2006/relationships/hyperlink" Target="https://www.elsevier.com/about/policies/sharing" TargetMode="External"/><Relationship Id="rId517" Type="http://schemas.openxmlformats.org/officeDocument/2006/relationships/hyperlink" Target="https://arxiv.org/" TargetMode="External"/><Relationship Id="rId60" Type="http://schemas.openxmlformats.org/officeDocument/2006/relationships/hyperlink" Target="https://www.cell.com/reviewers" TargetMode="External"/><Relationship Id="rId156" Type="http://schemas.openxmlformats.org/officeDocument/2006/relationships/hyperlink" Target="https://publications.agu.org/reviewer-resources/review-criteria" TargetMode="External"/><Relationship Id="rId198" Type="http://schemas.openxmlformats.org/officeDocument/2006/relationships/hyperlink" Target="https://www.nature.com/authors/policies/peer_review.html" TargetMode="External"/><Relationship Id="rId321" Type="http://schemas.openxmlformats.org/officeDocument/2006/relationships/hyperlink" Target="https://www.bmj.com/about-bmj/resources-reviewers" TargetMode="External"/><Relationship Id="rId363" Type="http://schemas.openxmlformats.org/officeDocument/2006/relationships/hyperlink" Target="https://www.nature.com/nnano/for-referees/policies-and-processes" TargetMode="External"/><Relationship Id="rId419" Type="http://schemas.openxmlformats.org/officeDocument/2006/relationships/hyperlink" Target="https://www.cell.com/cell-stem-cell/authors" TargetMode="External"/><Relationship Id="rId223" Type="http://schemas.openxmlformats.org/officeDocument/2006/relationships/hyperlink" Target="https://www.elsevier.com/reviewers/role" TargetMode="External"/><Relationship Id="rId430" Type="http://schemas.openxmlformats.org/officeDocument/2006/relationships/hyperlink" Target="https://www.rsc.org/journals-books-databases/journal-authors-reviewers/processes-policies/" TargetMode="External"/><Relationship Id="rId18" Type="http://schemas.openxmlformats.org/officeDocument/2006/relationships/hyperlink" Target="https://academic.oup.com/applij/pages/General_Instructions" TargetMode="External"/><Relationship Id="rId265" Type="http://schemas.openxmlformats.org/officeDocument/2006/relationships/hyperlink" Target="https://www.springer.com/us/authors-editors/journal-author/the-springer-transfer-desk" TargetMode="External"/><Relationship Id="rId472" Type="http://schemas.openxmlformats.org/officeDocument/2006/relationships/hyperlink" Target="http://www.rsc.org/journals-books-databases/journal-authors-reviewers/processes-policies/" TargetMode="External"/><Relationship Id="rId125" Type="http://schemas.openxmlformats.org/officeDocument/2006/relationships/hyperlink" Target="https://journals.aps.org/prl/authors/editorial-policies-practices" TargetMode="External"/><Relationship Id="rId167" Type="http://schemas.openxmlformats.org/officeDocument/2006/relationships/hyperlink" Target="https://authors.bmj.com/for-reviewers/reviewer-recognition/" TargetMode="External"/><Relationship Id="rId332" Type="http://schemas.openxmlformats.org/officeDocument/2006/relationships/hyperlink" Target="https://www.elsevier.com/reviewers/how-to-review" TargetMode="External"/><Relationship Id="rId374" Type="http://schemas.openxmlformats.org/officeDocument/2006/relationships/hyperlink" Target="https://www.cell.com/reviewers" TargetMode="External"/><Relationship Id="rId71" Type="http://schemas.openxmlformats.org/officeDocument/2006/relationships/hyperlink" Target="https://www.aeaweb.org/journals/jep/submissions" TargetMode="External"/><Relationship Id="rId234" Type="http://schemas.openxmlformats.org/officeDocument/2006/relationships/hyperlink" Target="https://aip.scitation.org/apl/info/policies" TargetMode="External"/><Relationship Id="rId2" Type="http://schemas.openxmlformats.org/officeDocument/2006/relationships/hyperlink" Target="http://examplejournal.com/peerreview" TargetMode="External"/><Relationship Id="rId29" Type="http://schemas.openxmlformats.org/officeDocument/2006/relationships/hyperlink" Target="https://pubs.acs.org/page/chreay/submission/reviewers.html" TargetMode="External"/><Relationship Id="rId276" Type="http://schemas.openxmlformats.org/officeDocument/2006/relationships/hyperlink" Target="https://www.nature.com/authors/author_resources/transfer_manuscripts.html" TargetMode="External"/><Relationship Id="rId441" Type="http://schemas.openxmlformats.org/officeDocument/2006/relationships/hyperlink" Target="https://pspb.ieee.org/images/files/files/opsmanual.pdf" TargetMode="External"/><Relationship Id="rId483" Type="http://schemas.openxmlformats.org/officeDocument/2006/relationships/hyperlink" Target="https://www.nature.com/authors/policies/preprints.html" TargetMode="External"/><Relationship Id="rId40" Type="http://schemas.openxmlformats.org/officeDocument/2006/relationships/hyperlink" Target="https://pubs.acs.org/paragonplus/submission/esthag/esthag_authguide.pdf" TargetMode="External"/><Relationship Id="rId136" Type="http://schemas.openxmlformats.org/officeDocument/2006/relationships/hyperlink" Target="https://stm.sciencemag.org/content/science-translational-medicine-general-policies" TargetMode="External"/><Relationship Id="rId178" Type="http://schemas.openxmlformats.org/officeDocument/2006/relationships/hyperlink" Target="https://www.elsevier.com/reviewers/role" TargetMode="External"/><Relationship Id="rId301" Type="http://schemas.openxmlformats.org/officeDocument/2006/relationships/hyperlink" Target="https://www.elsevier.com/journals/teaching-and-teacher-education/0742-051x/guide-for-authors" TargetMode="External"/><Relationship Id="rId343" Type="http://schemas.openxmlformats.org/officeDocument/2006/relationships/hyperlink" Target="https://publishingsupport.iopscience.iop.org/questions/ethics-for-reviewers/" TargetMode="External"/><Relationship Id="rId82" Type="http://schemas.openxmlformats.org/officeDocument/2006/relationships/hyperlink" Target="https://www.tandfonline.com/action/authorSubmission?journalCode=rjop20&amp;page=instructions" TargetMode="External"/><Relationship Id="rId203" Type="http://schemas.openxmlformats.org/officeDocument/2006/relationships/hyperlink" Target="https://www.nature.com/authors/policies/peer_review.html" TargetMode="External"/><Relationship Id="rId385" Type="http://schemas.openxmlformats.org/officeDocument/2006/relationships/hyperlink" Target="https://www.elsevier.com/reviewers/how-to-review" TargetMode="External"/><Relationship Id="rId245" Type="http://schemas.openxmlformats.org/officeDocument/2006/relationships/hyperlink" Target="https://pubs.acs.org/page/policy/manuscript_transfer/index.html" TargetMode="External"/><Relationship Id="rId287" Type="http://schemas.openxmlformats.org/officeDocument/2006/relationships/hyperlink" Target="https://www.nature.com/authors/author_resources/transfer_manuscripts.html" TargetMode="External"/><Relationship Id="rId410" Type="http://schemas.openxmlformats.org/officeDocument/2006/relationships/hyperlink" Target="https://www.elsevier.com/about/policies/sharing" TargetMode="External"/><Relationship Id="rId452" Type="http://schemas.openxmlformats.org/officeDocument/2006/relationships/hyperlink" Target="https://jamanetwork.com/journals/jama/pages/instructions-for-authors" TargetMode="External"/><Relationship Id="rId494" Type="http://schemas.openxmlformats.org/officeDocument/2006/relationships/hyperlink" Target="https://journals.plos.org/plosone/s/preprints" TargetMode="External"/><Relationship Id="rId508" Type="http://schemas.openxmlformats.org/officeDocument/2006/relationships/hyperlink" Target="https://els-jbs-prod-cdn.literatumonline.com/pb/assets/raw/Lancet/authors/tln-info-for-authors-1541596047120.pdf" TargetMode="External"/><Relationship Id="rId105" Type="http://schemas.openxmlformats.org/officeDocument/2006/relationships/hyperlink" Target="https://www.nature.com/authors/policies/peer_review.html" TargetMode="External"/><Relationship Id="rId147" Type="http://schemas.openxmlformats.org/officeDocument/2006/relationships/hyperlink" Target="https://els-jbs-prod-cdn.literatumonline.com/pb/assets/raw/Lancet/authors/tln-info-for-authors-1541596047120.pdf" TargetMode="External"/><Relationship Id="rId312" Type="http://schemas.openxmlformats.org/officeDocument/2006/relationships/hyperlink" Target="https://www.aeaweb.org/content/file?id=222" TargetMode="External"/><Relationship Id="rId354" Type="http://schemas.openxmlformats.org/officeDocument/2006/relationships/hyperlink" Target="https://www.nature.com/ncb/for-referees/policies-and-processes" TargetMode="External"/><Relationship Id="rId51" Type="http://schemas.openxmlformats.org/officeDocument/2006/relationships/hyperlink" Target="https://www.comsoc.org/publications/magazines/ieee-communications-magazine/magazine-reviewer" TargetMode="External"/><Relationship Id="rId93" Type="http://schemas.openxmlformats.org/officeDocument/2006/relationships/hyperlink" Target="https://www.rsc.org/journals-books-databases/journal-authors-reviewers/reviewer-responsibilities/" TargetMode="External"/><Relationship Id="rId189" Type="http://schemas.openxmlformats.org/officeDocument/2006/relationships/hyperlink" Target="https://www.elsevier.com/reviewers/role" TargetMode="External"/><Relationship Id="rId396" Type="http://schemas.openxmlformats.org/officeDocument/2006/relationships/hyperlink" Target="https://pubs.acs.org/paragonplus/submission/achre4/achre4_authguide.pdf" TargetMode="External"/><Relationship Id="rId214" Type="http://schemas.openxmlformats.org/officeDocument/2006/relationships/hyperlink" Target="https://www.pnas.org/content/115/52/E12466" TargetMode="External"/><Relationship Id="rId256" Type="http://schemas.openxmlformats.org/officeDocument/2006/relationships/hyperlink" Target="https://gut.bmj.com/pages/authors/" TargetMode="External"/><Relationship Id="rId298" Type="http://schemas.openxmlformats.org/officeDocument/2006/relationships/hyperlink" Target="https://www.sciencemag.org/authors/science-information-authors" TargetMode="External"/><Relationship Id="rId421" Type="http://schemas.openxmlformats.org/officeDocument/2006/relationships/hyperlink" Target="https://pubs.acs.org/page/chreay/submission/prior.html" TargetMode="External"/><Relationship Id="rId463" Type="http://schemas.openxmlformats.org/officeDocument/2006/relationships/hyperlink" Target="https://us.sagepub.com/en-us/nam/prior-publication" TargetMode="External"/><Relationship Id="rId519" Type="http://schemas.openxmlformats.org/officeDocument/2006/relationships/hyperlink" Target="https://www.cell.com/cancer-cell/authors" TargetMode="External"/><Relationship Id="rId116" Type="http://schemas.openxmlformats.org/officeDocument/2006/relationships/hyperlink" Target="https://www.elsevier.com/journals/neuroimage/1053-8119/guide-for-authors" TargetMode="External"/><Relationship Id="rId158" Type="http://schemas.openxmlformats.org/officeDocument/2006/relationships/hyperlink" Target="https://journals.aps.org/prx/referees/referee-response-physical-review-x" TargetMode="External"/><Relationship Id="rId323" Type="http://schemas.openxmlformats.org/officeDocument/2006/relationships/hyperlink" Target="https://www.cell.com/reviewers" TargetMode="External"/><Relationship Id="rId20" Type="http://schemas.openxmlformats.org/officeDocument/2006/relationships/hyperlink" Target="https://www.elsevier.com/journals/biomaterials/0142-9612?generatepdf=true" TargetMode="External"/><Relationship Id="rId62" Type="http://schemas.openxmlformats.org/officeDocument/2006/relationships/hyperlink" Target="https://jamanetwork.com/journals/jama/pages/instructions-for-authors" TargetMode="External"/><Relationship Id="rId365" Type="http://schemas.openxmlformats.org/officeDocument/2006/relationships/hyperlink" Target="https://www.nature.com/nphoton/for-referees/policies-and-processes" TargetMode="External"/><Relationship Id="rId225" Type="http://schemas.openxmlformats.org/officeDocument/2006/relationships/hyperlink" Target="https://www.elsevier.com/authors/journal-authors/submit-your-paper" TargetMode="External"/><Relationship Id="rId267" Type="http://schemas.openxmlformats.org/officeDocument/2006/relationships/hyperlink" Target="https://www.elsevier.com/authors/journal-authors/submit-your-paper/submit-and-revise/article-transfer-service" TargetMode="External"/><Relationship Id="rId432" Type="http://schemas.openxmlformats.org/officeDocument/2006/relationships/hyperlink" Target="https://academic.oup.com/journals/pages/access_purchase/rights_and_permissions/self_archiving_policy_b" TargetMode="External"/><Relationship Id="rId474" Type="http://schemas.openxmlformats.org/officeDocument/2006/relationships/hyperlink" Target="https://www.nature.com/authors/policies/preprints.html" TargetMode="External"/><Relationship Id="rId127" Type="http://schemas.openxmlformats.org/officeDocument/2006/relationships/hyperlink" Target="https://www.elsevier.com/journals/physics-letters-b/0370-2693/guide-for-authors" TargetMode="External"/><Relationship Id="rId31" Type="http://schemas.openxmlformats.org/officeDocument/2006/relationships/hyperlink" Target="https://pubs.acs.org/paragonplus/submission/cmatex/cmatex_scope.pdf" TargetMode="External"/><Relationship Id="rId73" Type="http://schemas.openxmlformats.org/officeDocument/2006/relationships/hyperlink" Target="https://publications.agu.org/reviewer-resources/" TargetMode="External"/><Relationship Id="rId169" Type="http://schemas.openxmlformats.org/officeDocument/2006/relationships/hyperlink" Target="http://www.rsc.org/journals-books-databases/journal-authors-reviewers/reviewer-responsibilities/" TargetMode="External"/><Relationship Id="rId334" Type="http://schemas.openxmlformats.org/officeDocument/2006/relationships/hyperlink" Target="https://authors.bmj.com/policies/peer-review-terms-and-conditions/" TargetMode="External"/><Relationship Id="rId376" Type="http://schemas.openxmlformats.org/officeDocument/2006/relationships/hyperlink" Target="https://www.osapublishing.org/submit/review/peer_review.cfm" TargetMode="External"/><Relationship Id="rId4" Type="http://schemas.openxmlformats.org/officeDocument/2006/relationships/hyperlink" Target="https://pubs.acs.org/userimages/ContentEditor/1218054468605/ethics.pdf" TargetMode="External"/><Relationship Id="rId180" Type="http://schemas.openxmlformats.org/officeDocument/2006/relationships/hyperlink" Target="https://www.elsevier.com/reviewers/role" TargetMode="External"/><Relationship Id="rId236" Type="http://schemas.openxmlformats.org/officeDocument/2006/relationships/hyperlink" Target="https://authors.bmj.com/policies/peer-review-terms-and-conditions/" TargetMode="External"/><Relationship Id="rId278" Type="http://schemas.openxmlformats.org/officeDocument/2006/relationships/hyperlink" Target="https://www.nature.com/authors/author_resources/transfer_manuscripts.html" TargetMode="External"/><Relationship Id="rId401" Type="http://schemas.openxmlformats.org/officeDocument/2006/relationships/hyperlink" Target="https://onlinelibrary.wiley.com/pb-assets/assets/15214095/2089_guidelines.pdf" TargetMode="External"/><Relationship Id="rId443" Type="http://schemas.openxmlformats.org/officeDocument/2006/relationships/hyperlink" Target="http://cvpr2019.thecvf.com/submission/main_conference/author_guidelines" TargetMode="External"/><Relationship Id="rId303" Type="http://schemas.openxmlformats.org/officeDocument/2006/relationships/hyperlink" Target="https://www.thelancet.com/pb/assets/raw/Lancet/authors/lancet-information-for-authors.pdf" TargetMode="External"/><Relationship Id="rId485" Type="http://schemas.openxmlformats.org/officeDocument/2006/relationships/hyperlink" Target="https://www.nature.com/authors/policies/preprints.html" TargetMode="External"/><Relationship Id="rId42" Type="http://schemas.openxmlformats.org/officeDocument/2006/relationships/hyperlink" Target="https://www.europeanurology.com/content/resources-for-authors" TargetMode="External"/><Relationship Id="rId84" Type="http://schemas.openxmlformats.org/officeDocument/2006/relationships/hyperlink" Target="https://www.elsevier.com/journals/land-use-policy/0264-8377?generatepdf=true" TargetMode="External"/><Relationship Id="rId138" Type="http://schemas.openxmlformats.org/officeDocument/2006/relationships/hyperlink" Target="https://www.elsevier.com/journals/social-science-and-medicine/0277-9536/guide-for-authors" TargetMode="External"/><Relationship Id="rId345" Type="http://schemas.openxmlformats.org/officeDocument/2006/relationships/hyperlink" Target="https://www.elsevier.com/reviewers/how-to-review" TargetMode="External"/><Relationship Id="rId387" Type="http://schemas.openxmlformats.org/officeDocument/2006/relationships/hyperlink" Target="https://journals.aps.org/rmp/info/procedures.html" TargetMode="External"/><Relationship Id="rId510" Type="http://schemas.openxmlformats.org/officeDocument/2006/relationships/hyperlink" Target="https://academic.oup.com/journals/pages/access_purchase/rights_and_permissions/self_archiving_policy_f" TargetMode="External"/><Relationship Id="rId191" Type="http://schemas.openxmlformats.org/officeDocument/2006/relationships/hyperlink" Target="http://www.rsc.org/journals-books-databases/journal-authors-reviewers/reviewer-responsibilities/" TargetMode="External"/><Relationship Id="rId205" Type="http://schemas.openxmlformats.org/officeDocument/2006/relationships/hyperlink" Target="https://www.nature.com/authors/policies/peer_review.html" TargetMode="External"/><Relationship Id="rId247" Type="http://schemas.openxmlformats.org/officeDocument/2006/relationships/hyperlink" Target="https://www.elsevier.com/reviewers/what-is-peer-review" TargetMode="External"/><Relationship Id="rId412" Type="http://schemas.openxmlformats.org/officeDocument/2006/relationships/hyperlink" Target="https://www.aanda.org/author-information" TargetMode="External"/><Relationship Id="rId107" Type="http://schemas.openxmlformats.org/officeDocument/2006/relationships/hyperlink" Target="https://www.nature.com/authors/policies/peer_review.html" TargetMode="External"/><Relationship Id="rId289" Type="http://schemas.openxmlformats.org/officeDocument/2006/relationships/hyperlink" Target="https://www.cell.com/neuron/authors" TargetMode="External"/><Relationship Id="rId454" Type="http://schemas.openxmlformats.org/officeDocument/2006/relationships/hyperlink" Target="https://www.elsevier.com/about/policies/sharing" TargetMode="External"/><Relationship Id="rId496" Type="http://schemas.openxmlformats.org/officeDocument/2006/relationships/hyperlink" Target="https://www.mitpressjournals.org/for_authors" TargetMode="External"/><Relationship Id="rId11" Type="http://schemas.openxmlformats.org/officeDocument/2006/relationships/hyperlink" Target="https://www.apsanet.org/APSR-Submission-Guidelines" TargetMode="External"/><Relationship Id="rId53" Type="http://schemas.openxmlformats.org/officeDocument/2006/relationships/hyperlink" Target="http://cvpr2019.thecvf.com/" TargetMode="External"/><Relationship Id="rId149" Type="http://schemas.openxmlformats.org/officeDocument/2006/relationships/hyperlink" Target="https://onlinelibrary.wiley.com/page/journal/15404781/homepage/forauthors.html" TargetMode="External"/><Relationship Id="rId314" Type="http://schemas.openxmlformats.org/officeDocument/2006/relationships/hyperlink" Target="https://ajph.aphapublications.org/page/authors.html" TargetMode="External"/><Relationship Id="rId356" Type="http://schemas.openxmlformats.org/officeDocument/2006/relationships/hyperlink" Target="https://www.nature.com/nclimate/for-referees/policies-and-processes" TargetMode="External"/><Relationship Id="rId398" Type="http://schemas.openxmlformats.org/officeDocument/2006/relationships/hyperlink" Target="http://aom.org/Publications/AMJ/Information-for-Contributors.aspx" TargetMode="External"/><Relationship Id="rId521" Type="http://schemas.openxmlformats.org/officeDocument/2006/relationships/hyperlink" Target="https://www.cell.com/neuron/authors?code=cell-site" TargetMode="External"/><Relationship Id="rId95" Type="http://schemas.openxmlformats.org/officeDocument/2006/relationships/hyperlink" Target="https://www.nature.com/authors/policies/peer_review.html" TargetMode="External"/><Relationship Id="rId160" Type="http://schemas.openxmlformats.org/officeDocument/2006/relationships/hyperlink" Target="https://us.sagepub.com/en-us/nam/reviewer-rewards" TargetMode="External"/><Relationship Id="rId216" Type="http://schemas.openxmlformats.org/officeDocument/2006/relationships/hyperlink" Target="https://www.elsevier.com/reviewers/role" TargetMode="External"/><Relationship Id="rId423" Type="http://schemas.openxmlformats.org/officeDocument/2006/relationships/hyperlink" Target="https://pubs.acs.org/page/cmatex/submission/prior.html" TargetMode="External"/><Relationship Id="rId258" Type="http://schemas.openxmlformats.org/officeDocument/2006/relationships/hyperlink" Target="https://jamanetwork.com/journals/jama/pages/instructions-for-authors" TargetMode="External"/><Relationship Id="rId465" Type="http://schemas.openxmlformats.org/officeDocument/2006/relationships/hyperlink" Target="http://pubs.acs.org/paragonplus/submission/jacsat/jacsat_authguide.pdf" TargetMode="External"/><Relationship Id="rId22" Type="http://schemas.openxmlformats.org/officeDocument/2006/relationships/hyperlink" Target="https://www.bmj.com/about-bmj/resources-reviewers" TargetMode="External"/><Relationship Id="rId64" Type="http://schemas.openxmlformats.org/officeDocument/2006/relationships/hyperlink" Target="https://www.elsevier.com/journals/journal-of-banking-and-finance/0378-4266/guide-for-authors" TargetMode="External"/><Relationship Id="rId118" Type="http://schemas.openxmlformats.org/officeDocument/2006/relationships/hyperlink" Target="https://us.sagepub.com/en-us/nam/journal/new-media-society" TargetMode="External"/><Relationship Id="rId325" Type="http://schemas.openxmlformats.org/officeDocument/2006/relationships/hyperlink" Target="https://www.cell.com/reviewers" TargetMode="External"/><Relationship Id="rId367" Type="http://schemas.openxmlformats.org/officeDocument/2006/relationships/hyperlink" Target="https://www.nature.com/nrc/for-referees" TargetMode="External"/><Relationship Id="rId171" Type="http://schemas.openxmlformats.org/officeDocument/2006/relationships/hyperlink" Target="http://aacrjournals.org/site/Info/Reviewers.xhtml" TargetMode="External"/><Relationship Id="rId227" Type="http://schemas.openxmlformats.org/officeDocument/2006/relationships/hyperlink" Target="http://examplejournal.com/peerreviewtransfer" TargetMode="External"/><Relationship Id="rId269" Type="http://schemas.openxmlformats.org/officeDocument/2006/relationships/hyperlink" Target="https://www.elsevier.com/authors/journal-authors/submit-your-paper/submit-and-revise/article-transfer-service" TargetMode="External"/><Relationship Id="rId434" Type="http://schemas.openxmlformats.org/officeDocument/2006/relationships/hyperlink" Target="https://uk.sagepub.com/en-gb/eur/prior-publication" TargetMode="External"/><Relationship Id="rId476" Type="http://schemas.openxmlformats.org/officeDocument/2006/relationships/hyperlink" Target="https://www.nature.com/authors/policies/preprints.html" TargetMode="External"/><Relationship Id="rId33" Type="http://schemas.openxmlformats.org/officeDocument/2006/relationships/hyperlink" Target="https://www.ahajournals.org/pb-assets/Ethical%20ConductPolicyApril2017finalWeb.pdf" TargetMode="External"/><Relationship Id="rId129" Type="http://schemas.openxmlformats.org/officeDocument/2006/relationships/hyperlink" Target="https://www.pnas.org/page/authors/reviewers" TargetMode="External"/><Relationship Id="rId280" Type="http://schemas.openxmlformats.org/officeDocument/2006/relationships/hyperlink" Target="https://www.nature.com/authors/author_resources/transfer_manuscripts.html" TargetMode="External"/><Relationship Id="rId336" Type="http://schemas.openxmlformats.org/officeDocument/2006/relationships/hyperlink" Target="http://cvpr2019.thecvf.com/submission/main_conference/reviewer_guidelines" TargetMode="External"/><Relationship Id="rId501" Type="http://schemas.openxmlformats.org/officeDocument/2006/relationships/hyperlink" Target="https://www.springer.com/philosophy/epistemology+and+philosophy+of+science/journal/11229" TargetMode="External"/><Relationship Id="rId75" Type="http://schemas.openxmlformats.org/officeDocument/2006/relationships/hyperlink" Target="https://journals.sagepub.com/pb-assets/cmscontent/JOM/JOM_Style_Guide_revised_2017.pdf" TargetMode="External"/><Relationship Id="rId140" Type="http://schemas.openxmlformats.org/officeDocument/2006/relationships/hyperlink" Target="https://www.journals.elsevier.com/system" TargetMode="External"/><Relationship Id="rId182" Type="http://schemas.openxmlformats.org/officeDocument/2006/relationships/hyperlink" Target="https://www.springer.com/philosophy/ethics+and+moral+philosophy/journal/10551" TargetMode="External"/><Relationship Id="rId378" Type="http://schemas.openxmlformats.org/officeDocument/2006/relationships/hyperlink" Target="https://journals.aps.org/prb/authors/editorial-policies-practices" TargetMode="External"/><Relationship Id="rId403" Type="http://schemas.openxmlformats.org/officeDocument/2006/relationships/hyperlink" Target="https://ajpsblogging.files.wordpress.com/2015/09/ajps-author-resources-ver-1-0.pdf" TargetMode="External"/><Relationship Id="rId6" Type="http://schemas.openxmlformats.org/officeDocument/2006/relationships/hyperlink" Target="https://application.wiley-vch.de/util/cta/euchems_ethicalguidelines.pdf" TargetMode="External"/><Relationship Id="rId238" Type="http://schemas.openxmlformats.org/officeDocument/2006/relationships/hyperlink" Target="http://aacrjournals.org/content/authors/manuscript-transfer" TargetMode="External"/><Relationship Id="rId445" Type="http://schemas.openxmlformats.org/officeDocument/2006/relationships/hyperlink" Target="https://ieeeauthorcenter.ieee.org/publishing-ethics/guidelines-and-policies/policy-posting-your-article/" TargetMode="External"/><Relationship Id="rId487" Type="http://schemas.openxmlformats.org/officeDocument/2006/relationships/hyperlink" Target="https://www.nature.com/authors/policies/preprints.html" TargetMode="External"/><Relationship Id="rId291" Type="http://schemas.openxmlformats.org/officeDocument/2006/relationships/hyperlink" Target="https://journals.aps.org/prb/authors/editorial-policies-practices" TargetMode="External"/><Relationship Id="rId305" Type="http://schemas.openxmlformats.org/officeDocument/2006/relationships/hyperlink" Target="https://els-jbs-prod-cdn.literatumonline.com/pb/assets/raw/Lancet/authors/tlo-info-for-authors-1541596062097.pdf" TargetMode="External"/><Relationship Id="rId347" Type="http://schemas.openxmlformats.org/officeDocument/2006/relationships/hyperlink" Target="http://www.rsc.org/journals-books-databases/journal-authors-reviewers/reviewer-responsibilities/" TargetMode="External"/><Relationship Id="rId512" Type="http://schemas.openxmlformats.org/officeDocument/2006/relationships/hyperlink" Target="https://www.elsevier.com/about/policies/sharing" TargetMode="External"/><Relationship Id="rId44" Type="http://schemas.openxmlformats.org/officeDocument/2006/relationships/hyperlink" Target="https://uk.sagepub.com/en-gb/eur/gender-society/journal200793" TargetMode="External"/><Relationship Id="rId86" Type="http://schemas.openxmlformats.org/officeDocument/2006/relationships/hyperlink" Target="https://www.elsevier.com/journals/lingua/0024-3841/guide-for-authors" TargetMode="External"/><Relationship Id="rId151" Type="http://schemas.openxmlformats.org/officeDocument/2006/relationships/hyperlink" Target="https://www.elsevier.com/journals/tourism-management/0261-5177/guide-for-authors" TargetMode="External"/><Relationship Id="rId389" Type="http://schemas.openxmlformats.org/officeDocument/2006/relationships/hyperlink" Target="https://stm.sciencemag.org/content/information-reviewers" TargetMode="External"/><Relationship Id="rId193" Type="http://schemas.openxmlformats.org/officeDocument/2006/relationships/hyperlink" Target="https://www.elsevier.com/reviewers/role" TargetMode="External"/><Relationship Id="rId207" Type="http://schemas.openxmlformats.org/officeDocument/2006/relationships/hyperlink" Target="https://www.nature.com/authors/policies/peer_review.html" TargetMode="External"/><Relationship Id="rId249" Type="http://schemas.openxmlformats.org/officeDocument/2006/relationships/hyperlink" Target="https://www.rsc.org/journals-books-databases/journal-authors-reviewers/processes-policies/" TargetMode="External"/><Relationship Id="rId414" Type="http://schemas.openxmlformats.org/officeDocument/2006/relationships/hyperlink" Target="https://authors.bmj.com/policies/preprints/" TargetMode="External"/><Relationship Id="rId456" Type="http://schemas.openxmlformats.org/officeDocument/2006/relationships/hyperlink" Target="https://www.elsevier.com/about/policies/sharing" TargetMode="External"/><Relationship Id="rId498" Type="http://schemas.openxmlformats.org/officeDocument/2006/relationships/hyperlink" Target="http://www.sciencemag.org/authors/science-journals-editorial-policies" TargetMode="External"/><Relationship Id="rId13" Type="http://schemas.openxmlformats.org/officeDocument/2006/relationships/hyperlink" Target="http://annals.org/aim/pages/authors" TargetMode="External"/><Relationship Id="rId109" Type="http://schemas.openxmlformats.org/officeDocument/2006/relationships/hyperlink" Target="https://www.nature.com/nrc/for-referees" TargetMode="External"/><Relationship Id="rId260" Type="http://schemas.openxmlformats.org/officeDocument/2006/relationships/hyperlink" Target="https://www.elsevier.com/reviewers/what-is-peer-review" TargetMode="External"/><Relationship Id="rId316" Type="http://schemas.openxmlformats.org/officeDocument/2006/relationships/hyperlink" Target="http://annals.org/aim/pages/authors" TargetMode="External"/><Relationship Id="rId55" Type="http://schemas.openxmlformats.org/officeDocument/2006/relationships/hyperlink" Target="https://ieeeauthorcenter.ieee.org/peer-review-at-ieee/" TargetMode="External"/><Relationship Id="rId97" Type="http://schemas.openxmlformats.org/officeDocument/2006/relationships/hyperlink" Target="https://www.nature.com/authors/policies/peer_review.html" TargetMode="External"/><Relationship Id="rId120" Type="http://schemas.openxmlformats.org/officeDocument/2006/relationships/hyperlink" Target="https://www.osapublishing.org/submit/review/peer_review.cfm" TargetMode="External"/><Relationship Id="rId358" Type="http://schemas.openxmlformats.org/officeDocument/2006/relationships/hyperlink" Target="https://www.nature.com/ng/for-referees/policies-and-processes" TargetMode="External"/><Relationship Id="rId162" Type="http://schemas.openxmlformats.org/officeDocument/2006/relationships/hyperlink" Target="https://authors.bmj.com/policies/peer-review-terms-and-conditions/" TargetMode="External"/><Relationship Id="rId218" Type="http://schemas.openxmlformats.org/officeDocument/2006/relationships/hyperlink" Target="https://www.elsevier.com/reviewers/role" TargetMode="External"/><Relationship Id="rId425" Type="http://schemas.openxmlformats.org/officeDocument/2006/relationships/hyperlink" Target="https://www.ahajournals.org/prior-publication-policy" TargetMode="External"/><Relationship Id="rId467" Type="http://schemas.openxmlformats.org/officeDocument/2006/relationships/hyperlink" Target="https://us.sagepub.com/en-us/nam/prior-publication" TargetMode="External"/><Relationship Id="rId271" Type="http://schemas.openxmlformats.org/officeDocument/2006/relationships/hyperlink" Target="https://www.cell.com/molecular-cell/authors" TargetMode="External"/><Relationship Id="rId24" Type="http://schemas.openxmlformats.org/officeDocument/2006/relationships/hyperlink" Target="http://aacrjournals.org/content/authors/editorial-process" TargetMode="External"/><Relationship Id="rId66" Type="http://schemas.openxmlformats.org/officeDocument/2006/relationships/hyperlink" Target="https://www.elsevier.com/journals/journal-of-business-research/0148-2963/guide-for-authors" TargetMode="External"/><Relationship Id="rId131" Type="http://schemas.openxmlformats.org/officeDocument/2006/relationships/hyperlink" Target="https://academic.oup.com/poq/pages/general_instructions" TargetMode="External"/><Relationship Id="rId327" Type="http://schemas.openxmlformats.org/officeDocument/2006/relationships/hyperlink" Target="https://www.ahajournals.org/pb-assets/Ethical%20ConductPolicyApril2017finalWeb.pdf" TargetMode="External"/><Relationship Id="rId369" Type="http://schemas.openxmlformats.org/officeDocument/2006/relationships/hyperlink" Target="https://www.nature.com/nrc/for-referees" TargetMode="External"/><Relationship Id="rId173" Type="http://schemas.openxmlformats.org/officeDocument/2006/relationships/hyperlink" Target="http://www.diabetesjournals.org/for-reviewers" TargetMode="External"/><Relationship Id="rId229" Type="http://schemas.openxmlformats.org/officeDocument/2006/relationships/hyperlink" Target="https://pubs.acs.org/page/policy/manuscript_transfer/index.html" TargetMode="External"/><Relationship Id="rId380" Type="http://schemas.openxmlformats.org/officeDocument/2006/relationships/hyperlink" Target="https://journals.aps.org/prl/authors/editorial-policies-practices" TargetMode="External"/><Relationship Id="rId436" Type="http://schemas.openxmlformats.org/officeDocument/2006/relationships/hyperlink" Target="https://www.elsevier.com/about/policies/sharing" TargetMode="External"/><Relationship Id="rId240" Type="http://schemas.openxmlformats.org/officeDocument/2006/relationships/hyperlink" Target="https://www.cell.com/cell-metabolism/articletransfer" TargetMode="External"/><Relationship Id="rId478" Type="http://schemas.openxmlformats.org/officeDocument/2006/relationships/hyperlink" Target="https://www.nature.com/authors/policies/preprints.html" TargetMode="External"/><Relationship Id="rId35" Type="http://schemas.openxmlformats.org/officeDocument/2006/relationships/hyperlink" Target="https://www.elsevier.com/journals/computers-and-education/0360-1315?generatepdf=true" TargetMode="External"/><Relationship Id="rId77" Type="http://schemas.openxmlformats.org/officeDocument/2006/relationships/hyperlink" Target="https://www.journals.elsevier.com/journal-of-pragmatics/policies/peer-review-policy-for-the-journal-of-pragmatics" TargetMode="External"/><Relationship Id="rId100" Type="http://schemas.openxmlformats.org/officeDocument/2006/relationships/hyperlink" Target="https://www.nature.com/authors/policies/peer_review.html" TargetMode="External"/><Relationship Id="rId282" Type="http://schemas.openxmlformats.org/officeDocument/2006/relationships/hyperlink" Target="https://www.nature.com/authors/author_resources/transfer_manuscripts.html" TargetMode="External"/><Relationship Id="rId338" Type="http://schemas.openxmlformats.org/officeDocument/2006/relationships/hyperlink" Target="https://signalprocessingsociety.org/publications-resources/publications-faq" TargetMode="External"/><Relationship Id="rId503" Type="http://schemas.openxmlformats.org/officeDocument/2006/relationships/hyperlink" Target="http://ideas.cochrane.org/forums/326856-cochrane-style-manual/suggestions/18762079-referencing-preprints" TargetMode="External"/><Relationship Id="rId8" Type="http://schemas.openxmlformats.org/officeDocument/2006/relationships/hyperlink" Target="https://www.aeaweb.org/journals/aer/reviewers" TargetMode="External"/><Relationship Id="rId142" Type="http://schemas.openxmlformats.org/officeDocument/2006/relationships/hyperlink" Target="https://www.tesol.org/read-and-publish/journals/tesol-journal" TargetMode="External"/><Relationship Id="rId184" Type="http://schemas.openxmlformats.org/officeDocument/2006/relationships/hyperlink" Target="https://www.elsevier.com/reviewers/role" TargetMode="External"/><Relationship Id="rId391" Type="http://schemas.openxmlformats.org/officeDocument/2006/relationships/hyperlink" Target="https://authorservices.wiley.com/Reviewers/journal-reviewers/how-to-perform-a-peer-review/general-and-ethical-guidelines.html" TargetMode="External"/><Relationship Id="rId405" Type="http://schemas.openxmlformats.org/officeDocument/2006/relationships/hyperlink" Target="https://onlinelibrary.wiley.com/page/journal/15213773/homepage/notice-to-authors" TargetMode="External"/><Relationship Id="rId447" Type="http://schemas.openxmlformats.org/officeDocument/2006/relationships/hyperlink" Target="https://ieeeauthorcenter.ieee.org/publishing-ethics/guidelines-and-policies/policy-posting-your-article/" TargetMode="External"/><Relationship Id="rId251" Type="http://schemas.openxmlformats.org/officeDocument/2006/relationships/hyperlink" Target="https://academic.oup.com/eurheartj/pages/Manuscript_Sharing" TargetMode="External"/><Relationship Id="rId489" Type="http://schemas.openxmlformats.org/officeDocument/2006/relationships/hyperlink" Target="https://www.elsevier.com/about/policies/sharing" TargetMode="External"/><Relationship Id="rId46" Type="http://schemas.openxmlformats.org/officeDocument/2006/relationships/hyperlink" Target="https://www.elsevier.com/journals/global-environmental-change/0959-3780/guide-for-authors" TargetMode="External"/><Relationship Id="rId293" Type="http://schemas.openxmlformats.org/officeDocument/2006/relationships/hyperlink" Target="https://journals.aps.org/prx/authors/editorial-policies-practices" TargetMode="External"/><Relationship Id="rId307" Type="http://schemas.openxmlformats.org/officeDocument/2006/relationships/hyperlink" Target="https://www.elsevier.com/reviewers/what-is-peer-review" TargetMode="External"/><Relationship Id="rId349" Type="http://schemas.openxmlformats.org/officeDocument/2006/relationships/hyperlink" Target="https://www.elsevier.com/reviewers/how-to-review" TargetMode="External"/><Relationship Id="rId514" Type="http://schemas.openxmlformats.org/officeDocument/2006/relationships/hyperlink" Target="https://arxiv.org/" TargetMode="External"/><Relationship Id="rId88" Type="http://schemas.openxmlformats.org/officeDocument/2006/relationships/hyperlink" Target="https://pubsonline.informs.org/page/mnsc/submission-guidelines" TargetMode="External"/><Relationship Id="rId111" Type="http://schemas.openxmlformats.org/officeDocument/2006/relationships/hyperlink" Target="https://www.nature.com/nrc/for-referees" TargetMode="External"/><Relationship Id="rId153" Type="http://schemas.openxmlformats.org/officeDocument/2006/relationships/hyperlink" Target="http://examplejournal.com/peerreviewform" TargetMode="External"/><Relationship Id="rId195" Type="http://schemas.openxmlformats.org/officeDocument/2006/relationships/hyperlink" Target="https://academic.oup.com/mnras/pages/General_Instructions" TargetMode="External"/><Relationship Id="rId209" Type="http://schemas.openxmlformats.org/officeDocument/2006/relationships/hyperlink" Target="https://www.nature.com/authors/policies/peer_review.html" TargetMode="External"/><Relationship Id="rId360" Type="http://schemas.openxmlformats.org/officeDocument/2006/relationships/hyperlink" Target="https://www.nature.com/nmat/for-referees/policies-and-processes" TargetMode="External"/><Relationship Id="rId416" Type="http://schemas.openxmlformats.org/officeDocument/2006/relationships/hyperlink" Target="http://aacrjournals.org/content/authors/editorial-policies" TargetMode="External"/><Relationship Id="rId220" Type="http://schemas.openxmlformats.org/officeDocument/2006/relationships/hyperlink" Target="https://authorservices.wiley.com/Reviewers/journal-reviewers/recognition-for-reviewers/index.html" TargetMode="External"/><Relationship Id="rId458" Type="http://schemas.openxmlformats.org/officeDocument/2006/relationships/hyperlink" Target="https://academic.oup.com/journals/pages/access_purchase/rights_and_permissions/self_archiving_policy_f" TargetMode="External"/><Relationship Id="rId15" Type="http://schemas.openxmlformats.org/officeDocument/2006/relationships/hyperlink" Target="https://ard.bmj.com/pages/about/" TargetMode="External"/><Relationship Id="rId57" Type="http://schemas.openxmlformats.org/officeDocument/2006/relationships/hyperlink" Target="https://ieeeauthorcenter.ieee.org/peer-review-at-ieee/" TargetMode="External"/><Relationship Id="rId262" Type="http://schemas.openxmlformats.org/officeDocument/2006/relationships/hyperlink" Target="https://www.elsevier.com/reviewers/what-is-peer-review" TargetMode="External"/><Relationship Id="rId318" Type="http://schemas.openxmlformats.org/officeDocument/2006/relationships/hyperlink" Target="https://academic.oup.com/journals/pages/authors/ethics" TargetMode="External"/><Relationship Id="rId99" Type="http://schemas.openxmlformats.org/officeDocument/2006/relationships/hyperlink" Target="https://www.nature.com/authors/policies/peer_review.html" TargetMode="External"/><Relationship Id="rId122" Type="http://schemas.openxmlformats.org/officeDocument/2006/relationships/hyperlink" Target="https://www.springer.com/philosophy/journal/11098" TargetMode="External"/><Relationship Id="rId164" Type="http://schemas.openxmlformats.org/officeDocument/2006/relationships/hyperlink" Target="https://www.elsevier.com/reviewers/role" TargetMode="External"/><Relationship Id="rId371" Type="http://schemas.openxmlformats.org/officeDocument/2006/relationships/hyperlink" Target="https://www.nature.com/nrg/for-referees" TargetMode="External"/><Relationship Id="rId427" Type="http://schemas.openxmlformats.org/officeDocument/2006/relationships/hyperlink" Target="https://www.elsevier.com/journals/computers-and-education/0360-1315?generatepdf=true" TargetMode="External"/><Relationship Id="rId469" Type="http://schemas.openxmlformats.org/officeDocument/2006/relationships/hyperlink" Target="https://uk.sagepub.com/en-gb/eur/journal-author-archiving-policies-and-re-use" TargetMode="External"/><Relationship Id="rId26" Type="http://schemas.openxmlformats.org/officeDocument/2006/relationships/hyperlink" Target="https://www.cell.com/reviewers" TargetMode="External"/><Relationship Id="rId231" Type="http://schemas.openxmlformats.org/officeDocument/2006/relationships/hyperlink" Target="https://authors.bmj.com/policies/peer-review-terms-and-conditions/" TargetMode="External"/><Relationship Id="rId273" Type="http://schemas.openxmlformats.org/officeDocument/2006/relationships/hyperlink" Target="https://www.nature.com/authors/author_resources/transfer_manuscripts.html" TargetMode="External"/><Relationship Id="rId329" Type="http://schemas.openxmlformats.org/officeDocument/2006/relationships/hyperlink" Target="http://www.diabetesjournals.org/for-reviewers" TargetMode="External"/><Relationship Id="rId480" Type="http://schemas.openxmlformats.org/officeDocument/2006/relationships/hyperlink" Target="https://www.nature.com/authors/policies/preprints.html" TargetMode="External"/><Relationship Id="rId68" Type="http://schemas.openxmlformats.org/officeDocument/2006/relationships/hyperlink" Target="http://ascopubs.org/jco/site/ifc/my-article-was-submitted.xhtml" TargetMode="External"/><Relationship Id="rId133" Type="http://schemas.openxmlformats.org/officeDocument/2006/relationships/hyperlink" Target="https://www.elsevier.com/journals/renewable-and-sustainable-energy-reviews/1364-0321/guide-for-authors" TargetMode="External"/><Relationship Id="rId175" Type="http://schemas.openxmlformats.org/officeDocument/2006/relationships/hyperlink" Target="https://www.gastrojournal.org/content/authorinfo" TargetMode="External"/><Relationship Id="rId340" Type="http://schemas.openxmlformats.org/officeDocument/2006/relationships/hyperlink" Target="https://www.elsevier.com/reviewers/how-to-review" TargetMode="External"/><Relationship Id="rId200" Type="http://schemas.openxmlformats.org/officeDocument/2006/relationships/hyperlink" Target="https://www.nature.com/authors/policies/peer_review.html" TargetMode="External"/><Relationship Id="rId382" Type="http://schemas.openxmlformats.org/officeDocument/2006/relationships/hyperlink" Target="https://journals.plos.org/plosone/s/reviewer-guidelines" TargetMode="External"/><Relationship Id="rId438" Type="http://schemas.openxmlformats.org/officeDocument/2006/relationships/hyperlink" Target="https://authors.bmj.com/policies/preprints/" TargetMode="External"/><Relationship Id="rId242" Type="http://schemas.openxmlformats.org/officeDocument/2006/relationships/hyperlink" Target="http://www.rsc.org/journals-books-databases/journal-authors-reviewers/processes-policies/" TargetMode="External"/><Relationship Id="rId284" Type="http://schemas.openxmlformats.org/officeDocument/2006/relationships/hyperlink" Target="https://www.nature.com/authors/author_resources/transfer_manuscripts.html" TargetMode="External"/><Relationship Id="rId491" Type="http://schemas.openxmlformats.org/officeDocument/2006/relationships/hyperlink" Target="https://authorservices.wiley.com/author-resources/Journal-Authors/open-access/preprints-policy.html" TargetMode="External"/><Relationship Id="rId505" Type="http://schemas.openxmlformats.org/officeDocument/2006/relationships/hyperlink" Target="https://www.jci.org/kiosks/authors" TargetMode="External"/><Relationship Id="rId37" Type="http://schemas.openxmlformats.org/officeDocument/2006/relationships/hyperlink" Target="https://www.tandfonline.com/action/authorSubmission?journalCode=rdij20&amp;page=instructions" TargetMode="External"/><Relationship Id="rId79" Type="http://schemas.openxmlformats.org/officeDocument/2006/relationships/hyperlink" Target="http://www.onlinejacc.org/content/73/2/A28" TargetMode="External"/><Relationship Id="rId102" Type="http://schemas.openxmlformats.org/officeDocument/2006/relationships/hyperlink" Target="https://www.nature.com/authors/policies/peer_review.html" TargetMode="External"/><Relationship Id="rId144" Type="http://schemas.openxmlformats.org/officeDocument/2006/relationships/hyperlink" Target="https://www.springer.com/physics/particle+and+nuclear+physics/journal/10052" TargetMode="External"/><Relationship Id="rId90" Type="http://schemas.openxmlformats.org/officeDocument/2006/relationships/hyperlink" Target="https://www.cell.com/molecular-cell/authors" TargetMode="External"/><Relationship Id="rId186" Type="http://schemas.openxmlformats.org/officeDocument/2006/relationships/hyperlink" Target="https://publishingsupport.iopscience.iop.org/becoming-a-journal-reviewer/" TargetMode="External"/><Relationship Id="rId351" Type="http://schemas.openxmlformats.org/officeDocument/2006/relationships/hyperlink" Target="https://www.rsc.org/journals-books-databases/journal-authors-reviewers/reviewer-responsibilities/" TargetMode="External"/><Relationship Id="rId393" Type="http://schemas.openxmlformats.org/officeDocument/2006/relationships/hyperlink" Target="https://authorservices.wiley.com/Reviewers/journal-reviewers/how-to-perform-a-peer-review/general-and-ethical-guidelines.html" TargetMode="External"/><Relationship Id="rId407" Type="http://schemas.openxmlformats.org/officeDocument/2006/relationships/hyperlink" Target="https://academic.oup.com/journals/pages/access_purchase/rights_and_permissions/author_self_archiving_policy" TargetMode="External"/><Relationship Id="rId449" Type="http://schemas.openxmlformats.org/officeDocument/2006/relationships/hyperlink" Target="https://ieeeauthorcenter.ieee.org/publishing-ethics/guidelines-and-policies/policy-posting-your-article/" TargetMode="External"/><Relationship Id="rId211" Type="http://schemas.openxmlformats.org/officeDocument/2006/relationships/hyperlink" Target="https://www.elsevier.com/reviewers/role" TargetMode="External"/><Relationship Id="rId253" Type="http://schemas.openxmlformats.org/officeDocument/2006/relationships/hyperlink" Target="https://www.elsevier.com/reviewers/what-is-peer-review" TargetMode="External"/><Relationship Id="rId295" Type="http://schemas.openxmlformats.org/officeDocument/2006/relationships/hyperlink" Target="https://journals.plos.org/plosone/s/editorial-and-peer-review-process" TargetMode="External"/><Relationship Id="rId309" Type="http://schemas.openxmlformats.org/officeDocument/2006/relationships/hyperlink" Target="https://publons.com/journal/573/cancer-cell" TargetMode="External"/><Relationship Id="rId460" Type="http://schemas.openxmlformats.org/officeDocument/2006/relationships/hyperlink" Target="https://www.apa.org/pubs/journals/resources/open-science.aspx" TargetMode="External"/><Relationship Id="rId516" Type="http://schemas.openxmlformats.org/officeDocument/2006/relationships/hyperlink" Target="https://arxiv.org/" TargetMode="External"/><Relationship Id="rId48" Type="http://schemas.openxmlformats.org/officeDocument/2006/relationships/hyperlink" Target="https://authors.bmj.com/policies/peer-review-terms-and-conditions/" TargetMode="External"/><Relationship Id="rId113" Type="http://schemas.openxmlformats.org/officeDocument/2006/relationships/hyperlink" Target="https://www.nature.com/nrg/for-referees" TargetMode="External"/><Relationship Id="rId320" Type="http://schemas.openxmlformats.org/officeDocument/2006/relationships/hyperlink" Target="http://www.bloodjournal.org/page/authors/author-guide/peer-review" TargetMode="External"/><Relationship Id="rId155" Type="http://schemas.openxmlformats.org/officeDocument/2006/relationships/hyperlink" Target="https://pubs.acs.org/pb-assets/acspubs/Migrated/ancac3_revguide.pdf" TargetMode="External"/><Relationship Id="rId197" Type="http://schemas.openxmlformats.org/officeDocument/2006/relationships/hyperlink" Target="https://www.nature.com/authors/policies/peer_review.html" TargetMode="External"/><Relationship Id="rId362" Type="http://schemas.openxmlformats.org/officeDocument/2006/relationships/hyperlink" Target="https://www.nature.com/nmeth/for-referees/policies-and-processes" TargetMode="External"/><Relationship Id="rId418" Type="http://schemas.openxmlformats.org/officeDocument/2006/relationships/hyperlink" Target="https://www.cell.com/cell-metabolism/authors" TargetMode="External"/><Relationship Id="rId222" Type="http://schemas.openxmlformats.org/officeDocument/2006/relationships/hyperlink" Target="https://www.elsevier.com/reviewers/role" TargetMode="External"/><Relationship Id="rId264" Type="http://schemas.openxmlformats.org/officeDocument/2006/relationships/hyperlink" Target="https://www.elsevier.com/authors/journal-authors/submit-your-paper/submit-and-revise/article-transfer-service" TargetMode="External"/><Relationship Id="rId471" Type="http://schemas.openxmlformats.org/officeDocument/2006/relationships/hyperlink" Target="https://pubs.acs.org/page/nalefd/submission/prior.html" TargetMode="External"/><Relationship Id="rId17" Type="http://schemas.openxmlformats.org/officeDocument/2006/relationships/hyperlink" Target="https://www.elsevier.com/journals/applied-energy/0306-2619/guide-for-authors" TargetMode="External"/><Relationship Id="rId59" Type="http://schemas.openxmlformats.org/officeDocument/2006/relationships/hyperlink" Target="https://ieeeauthorcenter.ieee.org/peer-review-at-ieee/ethics-in-peer-review/" TargetMode="External"/><Relationship Id="rId124" Type="http://schemas.openxmlformats.org/officeDocument/2006/relationships/hyperlink" Target="https://journals.aps.org/prd/authors/editorial-policies-practices" TargetMode="External"/><Relationship Id="rId70" Type="http://schemas.openxmlformats.org/officeDocument/2006/relationships/hyperlink" Target="https://publishingsupport.iopscience.iop.org/becoming-a-journal-reviewer/" TargetMode="External"/><Relationship Id="rId166" Type="http://schemas.openxmlformats.org/officeDocument/2006/relationships/hyperlink" Target="http://www.bloodjournal.org/page/authors/author-guide/peer-review" TargetMode="External"/><Relationship Id="rId331" Type="http://schemas.openxmlformats.org/officeDocument/2006/relationships/hyperlink" Target="https://publications.agu.org/reviewer-resources/" TargetMode="External"/><Relationship Id="rId373" Type="http://schemas.openxmlformats.org/officeDocument/2006/relationships/hyperlink" Target="https://www.elsevier.com/reviewers/how-to-review" TargetMode="External"/><Relationship Id="rId429" Type="http://schemas.openxmlformats.org/officeDocument/2006/relationships/hyperlink" Target="https://www.econometricsociety.org/publications/econometrica/information-authors/editorial-procedures-and-policies" TargetMode="External"/><Relationship Id="rId1" Type="http://schemas.openxmlformats.org/officeDocument/2006/relationships/hyperlink" Target="http://transpose-publishing.github.io/" TargetMode="External"/><Relationship Id="rId233" Type="http://schemas.openxmlformats.org/officeDocument/2006/relationships/hyperlink" Target="https://www.elsevier.com/reviewers/what-is-peer-review" TargetMode="External"/><Relationship Id="rId440" Type="http://schemas.openxmlformats.org/officeDocument/2006/relationships/hyperlink" Target="https://aasldpubs.onlinelibrary.wiley.com/hub/journal/15273350/about/author-guidelines" TargetMode="External"/><Relationship Id="rId28" Type="http://schemas.openxmlformats.org/officeDocument/2006/relationships/hyperlink" Target="http://www.rsc.org/journals-books-databases/journal-authors-reviewers/reviewer-responsibilities/" TargetMode="External"/><Relationship Id="rId275" Type="http://schemas.openxmlformats.org/officeDocument/2006/relationships/hyperlink" Target="https://www.nature.com/authors/author_resources/transfer_manuscripts.html" TargetMode="External"/><Relationship Id="rId300" Type="http://schemas.openxmlformats.org/officeDocument/2006/relationships/hyperlink" Target="https://www.elsevier.com/journals/social-science-and-medicine/0277-9536/guide-for-authors" TargetMode="External"/><Relationship Id="rId482" Type="http://schemas.openxmlformats.org/officeDocument/2006/relationships/hyperlink" Target="https://www.nature.com/authors/policies/preprints.html" TargetMode="External"/><Relationship Id="rId81" Type="http://schemas.openxmlformats.org/officeDocument/2006/relationships/hyperlink" Target="https://us.sagepub.com/en-us/nam/journal/journalism" TargetMode="External"/><Relationship Id="rId135" Type="http://schemas.openxmlformats.org/officeDocument/2006/relationships/hyperlink" Target="http://www.sciencemag.org/authors/science-information-authors" TargetMode="External"/><Relationship Id="rId177" Type="http://schemas.openxmlformats.org/officeDocument/2006/relationships/hyperlink" Target="https://publications.agu.org/reviewer-resources/" TargetMode="External"/><Relationship Id="rId342" Type="http://schemas.openxmlformats.org/officeDocument/2006/relationships/hyperlink" Target="https://www.elsevier.com/reviewers/how-to-review" TargetMode="External"/><Relationship Id="rId384" Type="http://schemas.openxmlformats.org/officeDocument/2006/relationships/hyperlink" Target="https://uk.sagepub.com/en-gb/eur/how-to-review-articles" TargetMode="External"/><Relationship Id="rId202" Type="http://schemas.openxmlformats.org/officeDocument/2006/relationships/hyperlink" Target="https://www.nature.com/authors/policies/peer_review.html" TargetMode="External"/><Relationship Id="rId244" Type="http://schemas.openxmlformats.org/officeDocument/2006/relationships/hyperlink" Target="http://www.rsc.org/journals-books-databases/journal-authors-reviewers/processes-policies/" TargetMode="External"/><Relationship Id="rId39" Type="http://schemas.openxmlformats.org/officeDocument/2006/relationships/hyperlink" Target="http://www.rsc.org/journals-books-databases/journal-authors-reviewers/reviewer-responsibilities/" TargetMode="External"/><Relationship Id="rId286" Type="http://schemas.openxmlformats.org/officeDocument/2006/relationships/hyperlink" Target="https://www.nature.com/authors/author_resources/transfer_manuscripts.html" TargetMode="External"/><Relationship Id="rId451" Type="http://schemas.openxmlformats.org/officeDocument/2006/relationships/hyperlink" Target="https://www.elsevier.com/journals/international-journal-of-production-economics/0925-5273/guide-for-authors" TargetMode="External"/><Relationship Id="rId493" Type="http://schemas.openxmlformats.org/officeDocument/2006/relationships/hyperlink" Target="https://www.elsevier.com/journals/physics-letters-b/0370-2693/guide-for-authors" TargetMode="External"/><Relationship Id="rId507" Type="http://schemas.openxmlformats.org/officeDocument/2006/relationships/hyperlink" Target="http://pubs.acs.org/paragonplus/submission/jpclcd/jpclcd_authguide.pdf" TargetMode="External"/><Relationship Id="rId50" Type="http://schemas.openxmlformats.org/officeDocument/2006/relationships/hyperlink" Target="https://aasldpubs.onlinelibrary.wiley.com/hub/journal/15273350/about/author-guidelines" TargetMode="External"/><Relationship Id="rId104" Type="http://schemas.openxmlformats.org/officeDocument/2006/relationships/hyperlink" Target="https://www.nature.com/authors/policies/peer_review.html" TargetMode="External"/><Relationship Id="rId146" Type="http://schemas.openxmlformats.org/officeDocument/2006/relationships/hyperlink" Target="https://www.thelancet.com/pb/assets/raw/Lancet/authors/lancet-information-for-authors.pdf" TargetMode="External"/><Relationship Id="rId188" Type="http://schemas.openxmlformats.org/officeDocument/2006/relationships/hyperlink" Target="https://publications.agu.org/reviewer-resources/" TargetMode="External"/><Relationship Id="rId311" Type="http://schemas.openxmlformats.org/officeDocument/2006/relationships/hyperlink" Target="https://aom.org/Publications/AMR/Frequently-Asked-Questions.aspx" TargetMode="External"/><Relationship Id="rId353" Type="http://schemas.openxmlformats.org/officeDocument/2006/relationships/hyperlink" Target="https://www.nature.com/nbt/for-referees/policies-and-processes" TargetMode="External"/><Relationship Id="rId395" Type="http://schemas.openxmlformats.org/officeDocument/2006/relationships/hyperlink" Target="https://www.elsevier.com/reviewers/how-to-review" TargetMode="External"/><Relationship Id="rId409" Type="http://schemas.openxmlformats.org/officeDocument/2006/relationships/hyperlink" Target="https://www.elsevier.com/about/policies/sharing" TargetMode="External"/><Relationship Id="rId92" Type="http://schemas.openxmlformats.org/officeDocument/2006/relationships/hyperlink" Target="https://pubs.acs.org/paragonplus/submission/nalefd/nalefd_authguide.pdf" TargetMode="External"/><Relationship Id="rId213" Type="http://schemas.openxmlformats.org/officeDocument/2006/relationships/hyperlink" Target="https://www.osapublishing.org/oe/submit/review/outstandingreviewers.cfm" TargetMode="External"/><Relationship Id="rId420" Type="http://schemas.openxmlformats.org/officeDocument/2006/relationships/hyperlink" Target="http://www.rsc.org/journals-books-databases/journal-authors-reviewers/processes-policies/" TargetMode="External"/><Relationship Id="rId255" Type="http://schemas.openxmlformats.org/officeDocument/2006/relationships/hyperlink" Target="https://www.journals.elsevier.com/government-information-quarterly/announcements" TargetMode="External"/><Relationship Id="rId297" Type="http://schemas.openxmlformats.org/officeDocument/2006/relationships/hyperlink" Target="https://www.elsevier.com/reviewers/what-is-peer-review" TargetMode="External"/><Relationship Id="rId462" Type="http://schemas.openxmlformats.org/officeDocument/2006/relationships/hyperlink" Target="https://jhep.sissa.it/jhep/help/helpLoader.jsp?pgType=author" TargetMode="External"/><Relationship Id="rId518" Type="http://schemas.openxmlformats.org/officeDocument/2006/relationships/hyperlink" Target="http://arxiv.org/" TargetMode="External"/><Relationship Id="rId115" Type="http://schemas.openxmlformats.org/officeDocument/2006/relationships/hyperlink" Target="https://nips.cc/Conferences/2019/CallForPapers" TargetMode="External"/><Relationship Id="rId157" Type="http://schemas.openxmlformats.org/officeDocument/2006/relationships/hyperlink" Target="https://journals.aps.org/referees/referee-response-physical-review-letters" TargetMode="External"/><Relationship Id="rId322" Type="http://schemas.openxmlformats.org/officeDocument/2006/relationships/hyperlink" Target="https://www.cell.com/reviewers" TargetMode="External"/><Relationship Id="rId364" Type="http://schemas.openxmlformats.org/officeDocument/2006/relationships/hyperlink" Target="https://www.nature.com/neuro/for-referees/policies-and-processes" TargetMode="External"/><Relationship Id="rId61" Type="http://schemas.openxmlformats.org/officeDocument/2006/relationships/hyperlink" Target="https://www.elsevier.com/journals/international-journal-of-production-economics/0925-5273?generatepdf=true" TargetMode="External"/><Relationship Id="rId199" Type="http://schemas.openxmlformats.org/officeDocument/2006/relationships/hyperlink" Target="https://www.nature.com/authors/policies/peer_review.html" TargetMode="External"/><Relationship Id="rId19" Type="http://schemas.openxmlformats.org/officeDocument/2006/relationships/hyperlink" Target="https://aip.scitation.org/apl/info/policies" TargetMode="External"/><Relationship Id="rId224" Type="http://schemas.openxmlformats.org/officeDocument/2006/relationships/hyperlink" Target="https://authors.bmj.com/policies/peer-review-terms-and-conditions/" TargetMode="External"/><Relationship Id="rId266" Type="http://schemas.openxmlformats.org/officeDocument/2006/relationships/hyperlink" Target="http://www.rsc.org/journals-books-databases/journal-authors-reviewers/processes-policies/" TargetMode="External"/><Relationship Id="rId431" Type="http://schemas.openxmlformats.org/officeDocument/2006/relationships/hyperlink" Target="https://pubs.acs.org/page/esthag/submission/prior.html" TargetMode="External"/><Relationship Id="rId473" Type="http://schemas.openxmlformats.org/officeDocument/2006/relationships/hyperlink" Target="https://www.nature.com/authors/policies/preprints.html" TargetMode="External"/><Relationship Id="rId30" Type="http://schemas.openxmlformats.org/officeDocument/2006/relationships/hyperlink" Target="http://www.rsc.org/journals-books-databases/journal-authors-reviewers/reviewer-responsibilities/" TargetMode="External"/><Relationship Id="rId126" Type="http://schemas.openxmlformats.org/officeDocument/2006/relationships/hyperlink" Target="https://journals.aps.org/prx/authors/editorial-policies-practices" TargetMode="External"/><Relationship Id="rId168" Type="http://schemas.openxmlformats.org/officeDocument/2006/relationships/hyperlink" Target="http://aacrjournals.org/site/Info/Reviewers.xhtml" TargetMode="External"/><Relationship Id="rId333" Type="http://schemas.openxmlformats.org/officeDocument/2006/relationships/hyperlink" Target="https://www.elsevier.com/reviewers/how-to-review" TargetMode="External"/><Relationship Id="rId72" Type="http://schemas.openxmlformats.org/officeDocument/2006/relationships/hyperlink" Target="https://www.elsevier.com/reviewers/how-to-review" TargetMode="External"/><Relationship Id="rId375" Type="http://schemas.openxmlformats.org/officeDocument/2006/relationships/hyperlink" Target="https://authorservices.wiley.com/Reviewers/journal-reviewers/how-to-perform-a-peer-review/general-and-ethical-guidelines.html" TargetMode="External"/><Relationship Id="rId3" Type="http://schemas.openxmlformats.org/officeDocument/2006/relationships/hyperlink" Target="https://pubs.acs.org/paragonplus/submission/achre4/achre4_authguide.pdf" TargetMode="External"/><Relationship Id="rId235" Type="http://schemas.openxmlformats.org/officeDocument/2006/relationships/hyperlink" Target="https://www.elsevier.com/reviewers/what-is-peer-review" TargetMode="External"/><Relationship Id="rId277" Type="http://schemas.openxmlformats.org/officeDocument/2006/relationships/hyperlink" Target="https://www.nature.com/authors/author_resources/transfer_manuscripts.html" TargetMode="External"/><Relationship Id="rId400" Type="http://schemas.openxmlformats.org/officeDocument/2006/relationships/hyperlink" Target="https://wol-prod-cdn.literatumonline.com/pb-assets/assets/16163028/AFM-guide-for-authors-may-2018-1526994585463.pdf" TargetMode="External"/><Relationship Id="rId442" Type="http://schemas.openxmlformats.org/officeDocument/2006/relationships/hyperlink" Target="https://pspb.ieee.org/images/files/files/opsmanual.pdf" TargetMode="External"/><Relationship Id="rId484" Type="http://schemas.openxmlformats.org/officeDocument/2006/relationships/hyperlink" Target="https://www.nature.com/authors/policies/preprints.html" TargetMode="External"/><Relationship Id="rId137" Type="http://schemas.openxmlformats.org/officeDocument/2006/relationships/hyperlink" Target="https://www.nature.com/srep/journal-policies/peer-review" TargetMode="External"/><Relationship Id="rId302" Type="http://schemas.openxmlformats.org/officeDocument/2006/relationships/hyperlink" Target="http://pubs.acs.org/paragonplus/submission/jpclcd/jpclcd_authguide.pdf" TargetMode="External"/><Relationship Id="rId344" Type="http://schemas.openxmlformats.org/officeDocument/2006/relationships/hyperlink" Target="https://www.apa.org/pubs/journals/reviewer-instructions.pdf" TargetMode="External"/><Relationship Id="rId41" Type="http://schemas.openxmlformats.org/officeDocument/2006/relationships/hyperlink" Target="https://academic.oup.com/eurheartj/pages/General_Instructions" TargetMode="External"/><Relationship Id="rId83" Type="http://schemas.openxmlformats.org/officeDocument/2006/relationships/hyperlink" Target="https://www.tandfonline.com/action/authorSubmission?journalCode=rjos20&amp;page=instructions" TargetMode="External"/><Relationship Id="rId179" Type="http://schemas.openxmlformats.org/officeDocument/2006/relationships/hyperlink" Target="https://www.healthaffairs.org/help-for-reviewers" TargetMode="External"/><Relationship Id="rId386" Type="http://schemas.openxmlformats.org/officeDocument/2006/relationships/hyperlink" Target="https://www.elsevier.com/reviewers/how-to-review" TargetMode="External"/><Relationship Id="rId190" Type="http://schemas.openxmlformats.org/officeDocument/2006/relationships/hyperlink" Target="https://us.sagepub.com/en-us/nam/reviewer-rewards" TargetMode="External"/><Relationship Id="rId204" Type="http://schemas.openxmlformats.org/officeDocument/2006/relationships/hyperlink" Target="https://www.nature.com/authors/policies/peer_review.html" TargetMode="External"/><Relationship Id="rId246" Type="http://schemas.openxmlformats.org/officeDocument/2006/relationships/hyperlink" Target="http://aacrjournals.org/content/authors/manuscript-transfer" TargetMode="External"/><Relationship Id="rId288" Type="http://schemas.openxmlformats.org/officeDocument/2006/relationships/hyperlink" Target="https://www.elsevier.com/reviewers/what-is-peer-review" TargetMode="External"/><Relationship Id="rId411" Type="http://schemas.openxmlformats.org/officeDocument/2006/relationships/hyperlink" Target="https://academic.oup.com/journals/pages/access_purchase/rights_and_permissions/author_self_archiving_policy" TargetMode="External"/><Relationship Id="rId453" Type="http://schemas.openxmlformats.org/officeDocument/2006/relationships/hyperlink" Target="https://www.elsevier.com/about/policies/sharing" TargetMode="External"/><Relationship Id="rId509" Type="http://schemas.openxmlformats.org/officeDocument/2006/relationships/hyperlink" Target="https://www.nejm.org/about-nejm/editorial-policies" TargetMode="External"/><Relationship Id="rId106" Type="http://schemas.openxmlformats.org/officeDocument/2006/relationships/hyperlink" Target="https://www.nature.com/authors/policies/peer_review.html" TargetMode="External"/><Relationship Id="rId313" Type="http://schemas.openxmlformats.org/officeDocument/2006/relationships/hyperlink" Target="https://ajps.org/ajps-reviewer-instructions/" TargetMode="External"/><Relationship Id="rId495" Type="http://schemas.openxmlformats.org/officeDocument/2006/relationships/hyperlink" Target="https://academic.oup.com/journals/pages/access_purchase/rights_and_permissions/self_archiving_policy_a" TargetMode="External"/><Relationship Id="rId10" Type="http://schemas.openxmlformats.org/officeDocument/2006/relationships/hyperlink" Target="https://ajph.aphapublications.org/page/authors.html" TargetMode="External"/><Relationship Id="rId52" Type="http://schemas.openxmlformats.org/officeDocument/2006/relationships/hyperlink" Target="https://www.comsoc.org/publications/journals/ieee-comst/guidelines-reviewers" TargetMode="External"/><Relationship Id="rId94" Type="http://schemas.openxmlformats.org/officeDocument/2006/relationships/hyperlink" Target="https://www.nature.com/authors/policies/peer_review.html" TargetMode="External"/><Relationship Id="rId148" Type="http://schemas.openxmlformats.org/officeDocument/2006/relationships/hyperlink" Target="https://els-jbs-prod-cdn.literatumonline.com/pb/assets/raw/Lancet/authors/tlo-info-for-authors-1541596062097.pdf" TargetMode="External"/><Relationship Id="rId355" Type="http://schemas.openxmlformats.org/officeDocument/2006/relationships/hyperlink" Target="https://www.nature.com/nchem/for-referees/policies-and-processes" TargetMode="External"/><Relationship Id="rId397" Type="http://schemas.openxmlformats.org/officeDocument/2006/relationships/hyperlink" Target="https://pubs.acs.org/page/accacs/submission/prior.htmlhttps:/pubs.acs.org/page/policy/authorchoice/index.html" TargetMode="External"/><Relationship Id="rId520" Type="http://schemas.openxmlformats.org/officeDocument/2006/relationships/hyperlink" Target="http://care.diabetesjournals.org/content/early/recent" TargetMode="External"/><Relationship Id="rId215" Type="http://schemas.openxmlformats.org/officeDocument/2006/relationships/hyperlink" Target="https://uk.sagepub.com/en-gb/eur/get-credit-for-your-reviews" TargetMode="External"/><Relationship Id="rId257" Type="http://schemas.openxmlformats.org/officeDocument/2006/relationships/hyperlink" Target="https://www.elsevier.com/reviewers/what-is-peer-review" TargetMode="External"/><Relationship Id="rId422" Type="http://schemas.openxmlformats.org/officeDocument/2006/relationships/hyperlink" Target="http://www.rsc.org/journals-books-databases/journal-authors-reviewers/processes-policies/" TargetMode="External"/><Relationship Id="rId464" Type="http://schemas.openxmlformats.org/officeDocument/2006/relationships/hyperlink" Target="http://www.rsc.org/journals-books-databases/journal-authors-reviewers/processes-policies/" TargetMode="External"/><Relationship Id="rId299" Type="http://schemas.openxmlformats.org/officeDocument/2006/relationships/hyperlink" Target="https://www.nature.com/authors/author_resources/transfer_manuscripts.html" TargetMode="External"/><Relationship Id="rId63" Type="http://schemas.openxmlformats.org/officeDocument/2006/relationships/hyperlink" Target="https://www.jacionline.org/content/authorinfo" TargetMode="External"/><Relationship Id="rId159" Type="http://schemas.openxmlformats.org/officeDocument/2006/relationships/hyperlink" Target="http://examplejournal.com/peerreview" TargetMode="External"/><Relationship Id="rId366" Type="http://schemas.openxmlformats.org/officeDocument/2006/relationships/hyperlink" Target="https://www.nature.com/nphys/for-referees/policies-and-processes" TargetMode="External"/><Relationship Id="rId226" Type="http://schemas.openxmlformats.org/officeDocument/2006/relationships/hyperlink" Target="http://www.cell.com/immunity/articletransfer" TargetMode="External"/><Relationship Id="rId433" Type="http://schemas.openxmlformats.org/officeDocument/2006/relationships/hyperlink" Target="https://www.gastrojournal.org/content/authorinfo"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342"/>
  <sheetViews>
    <sheetView tabSelected="1" workbookViewId="0">
      <pane xSplit="11" ySplit="3" topLeftCell="Q4" activePane="bottomRight" state="frozen"/>
      <selection pane="topRight" activeCell="L1" sqref="L1"/>
      <selection pane="bottomLeft" activeCell="A4" sqref="A4"/>
      <selection pane="bottomRight" activeCell="AF3" sqref="AF3"/>
    </sheetView>
  </sheetViews>
  <sheetFormatPr baseColWidth="10" defaultColWidth="14.5" defaultRowHeight="15.75" customHeight="1"/>
  <cols>
    <col min="1" max="1" width="14.5" hidden="1"/>
    <col min="2" max="2" width="5" customWidth="1"/>
    <col min="3" max="3" width="14.5" hidden="1"/>
    <col min="4" max="4" width="5.5" customWidth="1"/>
    <col min="5" max="5" width="11.5" customWidth="1"/>
    <col min="6" max="6" width="7" customWidth="1"/>
    <col min="8" max="8" width="7" customWidth="1"/>
    <col min="9" max="9" width="14.5" hidden="1"/>
    <col min="10" max="10" width="18.83203125" customWidth="1"/>
    <col min="11" max="11" width="10.1640625" customWidth="1"/>
    <col min="13" max="13" width="33.83203125" customWidth="1"/>
    <col min="14" max="14" width="24.5" customWidth="1"/>
    <col min="17" max="17" width="26" customWidth="1"/>
    <col min="20" max="20" width="32.33203125" customWidth="1"/>
    <col min="29" max="29" width="26.83203125" customWidth="1"/>
    <col min="35" max="35" width="25" customWidth="1"/>
    <col min="37" max="37" width="37.33203125" customWidth="1"/>
    <col min="39" max="39" width="25.83203125" customWidth="1"/>
    <col min="41" max="41" width="30.83203125" customWidth="1"/>
    <col min="45" max="45" width="48.83203125" customWidth="1"/>
  </cols>
  <sheetData>
    <row r="1" spans="1:45" ht="15">
      <c r="A1" s="13" t="s">
        <v>1</v>
      </c>
      <c r="B1" s="2" t="s">
        <v>2</v>
      </c>
      <c r="C1" s="4" t="s">
        <v>3</v>
      </c>
      <c r="D1" s="6" t="s">
        <v>8</v>
      </c>
      <c r="E1" s="8" t="s">
        <v>3</v>
      </c>
      <c r="F1" s="8" t="s">
        <v>11</v>
      </c>
      <c r="G1" s="8" t="s">
        <v>12</v>
      </c>
      <c r="H1" s="8" t="s">
        <v>20</v>
      </c>
      <c r="I1" s="10" t="s">
        <v>14</v>
      </c>
      <c r="J1" s="12" t="s">
        <v>17</v>
      </c>
      <c r="K1" s="16" t="s">
        <v>21</v>
      </c>
      <c r="L1" s="16" t="s">
        <v>22</v>
      </c>
      <c r="M1" s="18" t="s">
        <v>23</v>
      </c>
      <c r="N1" s="18" t="s">
        <v>25</v>
      </c>
      <c r="O1" s="18" t="s">
        <v>26</v>
      </c>
      <c r="P1" s="18" t="s">
        <v>27</v>
      </c>
      <c r="Q1" s="18" t="s">
        <v>28</v>
      </c>
      <c r="R1" s="18" t="s">
        <v>29</v>
      </c>
      <c r="S1" s="18" t="s">
        <v>30</v>
      </c>
      <c r="T1" s="20" t="s">
        <v>31</v>
      </c>
      <c r="U1" s="20" t="s">
        <v>33</v>
      </c>
      <c r="V1" s="20" t="s">
        <v>34</v>
      </c>
      <c r="W1" s="22" t="s">
        <v>35</v>
      </c>
      <c r="X1" s="20" t="s">
        <v>37</v>
      </c>
      <c r="Y1" s="22" t="s">
        <v>38</v>
      </c>
      <c r="Z1" s="22" t="s">
        <v>39</v>
      </c>
      <c r="AA1" s="22" t="s">
        <v>40</v>
      </c>
      <c r="AB1" s="22" t="s">
        <v>41</v>
      </c>
      <c r="AC1" s="24" t="s">
        <v>42</v>
      </c>
      <c r="AD1" s="24" t="s">
        <v>43</v>
      </c>
      <c r="AE1" s="24" t="s">
        <v>44</v>
      </c>
      <c r="AF1" s="24" t="s">
        <v>45</v>
      </c>
      <c r="AG1" s="24" t="s">
        <v>46</v>
      </c>
      <c r="AH1" s="25" t="s">
        <v>47</v>
      </c>
      <c r="AI1" s="25" t="s">
        <v>48</v>
      </c>
      <c r="AJ1" s="25" t="s">
        <v>49</v>
      </c>
      <c r="AK1" s="25" t="s">
        <v>50</v>
      </c>
      <c r="AL1" s="25" t="s">
        <v>51</v>
      </c>
      <c r="AM1" s="25" t="s">
        <v>52</v>
      </c>
      <c r="AN1" s="25" t="s">
        <v>53</v>
      </c>
      <c r="AO1" s="25" t="s">
        <v>54</v>
      </c>
      <c r="AP1" s="25" t="s">
        <v>55</v>
      </c>
      <c r="AQ1" s="26" t="s">
        <v>56</v>
      </c>
      <c r="AR1" s="27" t="s">
        <v>57</v>
      </c>
      <c r="AS1" s="29" t="s">
        <v>58</v>
      </c>
    </row>
    <row r="2" spans="1:45" ht="39.75" customHeight="1">
      <c r="A2" s="30" t="s">
        <v>4</v>
      </c>
      <c r="B2" s="31" t="s">
        <v>59</v>
      </c>
      <c r="C2" s="33" t="s">
        <v>32</v>
      </c>
      <c r="D2" s="35" t="s">
        <v>59</v>
      </c>
      <c r="E2" s="36" t="s">
        <v>32</v>
      </c>
      <c r="F2" s="36"/>
      <c r="G2" s="36"/>
      <c r="H2" s="36"/>
      <c r="I2" s="37" t="s">
        <v>60</v>
      </c>
      <c r="J2" s="38" t="s">
        <v>61</v>
      </c>
      <c r="K2" s="38"/>
      <c r="L2" s="38" t="s">
        <v>62</v>
      </c>
      <c r="M2" s="40" t="s">
        <v>63</v>
      </c>
      <c r="N2" s="40" t="s">
        <v>64</v>
      </c>
      <c r="O2" s="40" t="s">
        <v>65</v>
      </c>
      <c r="P2" s="40" t="s">
        <v>66</v>
      </c>
      <c r="Q2" s="40" t="s">
        <v>67</v>
      </c>
      <c r="R2" s="40" t="s">
        <v>68</v>
      </c>
      <c r="S2" s="40" t="s">
        <v>69</v>
      </c>
      <c r="T2" s="42" t="s">
        <v>70</v>
      </c>
      <c r="U2" s="43" t="s">
        <v>71</v>
      </c>
      <c r="V2" s="43" t="s">
        <v>72</v>
      </c>
      <c r="W2" s="42" t="s">
        <v>73</v>
      </c>
      <c r="X2" s="43" t="s">
        <v>74</v>
      </c>
      <c r="Y2" s="42" t="s">
        <v>75</v>
      </c>
      <c r="Z2" s="42" t="s">
        <v>76</v>
      </c>
      <c r="AA2" s="42" t="s">
        <v>77</v>
      </c>
      <c r="AB2" s="42" t="s">
        <v>78</v>
      </c>
      <c r="AC2" s="44" t="s">
        <v>79</v>
      </c>
      <c r="AD2" s="44" t="s">
        <v>80</v>
      </c>
      <c r="AE2" s="44" t="s">
        <v>81</v>
      </c>
      <c r="AF2" s="44" t="s">
        <v>82</v>
      </c>
      <c r="AG2" s="44" t="s">
        <v>83</v>
      </c>
      <c r="AH2" s="45" t="s">
        <v>84</v>
      </c>
      <c r="AI2" s="45" t="s">
        <v>86</v>
      </c>
      <c r="AJ2" s="45" t="s">
        <v>87</v>
      </c>
      <c r="AK2" s="45" t="s">
        <v>90</v>
      </c>
      <c r="AL2" s="45" t="s">
        <v>91</v>
      </c>
      <c r="AM2" s="45" t="s">
        <v>92</v>
      </c>
      <c r="AN2" s="45" t="s">
        <v>93</v>
      </c>
      <c r="AO2" s="45" t="s">
        <v>94</v>
      </c>
      <c r="AP2" s="47" t="s">
        <v>95</v>
      </c>
      <c r="AQ2" s="49"/>
      <c r="AR2" s="50"/>
      <c r="AS2" s="51"/>
    </row>
    <row r="3" spans="1:45" ht="86.25" customHeight="1">
      <c r="A3" s="52" t="s">
        <v>5</v>
      </c>
      <c r="B3" s="53" t="s">
        <v>136</v>
      </c>
      <c r="C3" s="54" t="s">
        <v>36</v>
      </c>
      <c r="D3" s="55" t="s">
        <v>136</v>
      </c>
      <c r="E3" s="57" t="s">
        <v>36</v>
      </c>
      <c r="F3" s="57"/>
      <c r="G3" s="57"/>
      <c r="H3" s="57"/>
      <c r="I3" s="58"/>
      <c r="J3" s="12" t="s">
        <v>97</v>
      </c>
      <c r="K3" s="12"/>
      <c r="L3" s="12" t="s">
        <v>97</v>
      </c>
      <c r="M3" s="59" t="s">
        <v>265</v>
      </c>
      <c r="N3" s="59" t="s">
        <v>273</v>
      </c>
      <c r="O3" s="59" t="s">
        <v>273</v>
      </c>
      <c r="P3" s="59" t="s">
        <v>273</v>
      </c>
      <c r="Q3" s="59" t="s">
        <v>274</v>
      </c>
      <c r="R3" s="59" t="s">
        <v>97</v>
      </c>
      <c r="S3" s="59" t="s">
        <v>273</v>
      </c>
      <c r="T3" s="617" t="s">
        <v>275</v>
      </c>
      <c r="U3" s="618"/>
      <c r="V3" s="618"/>
      <c r="W3" s="618"/>
      <c r="X3" s="617" t="s">
        <v>279</v>
      </c>
      <c r="Y3" s="618"/>
      <c r="Z3" s="618"/>
      <c r="AA3" s="618"/>
      <c r="AB3" s="62" t="s">
        <v>97</v>
      </c>
      <c r="AC3" s="63" t="s">
        <v>97</v>
      </c>
      <c r="AD3" s="63" t="s">
        <v>273</v>
      </c>
      <c r="AE3" s="63" t="s">
        <v>274</v>
      </c>
      <c r="AF3" s="63" t="s">
        <v>274</v>
      </c>
      <c r="AG3" s="63" t="s">
        <v>274</v>
      </c>
      <c r="AH3" s="64" t="s">
        <v>299</v>
      </c>
      <c r="AI3" s="64" t="s">
        <v>308</v>
      </c>
      <c r="AJ3" s="64" t="s">
        <v>97</v>
      </c>
      <c r="AK3" s="64" t="s">
        <v>311</v>
      </c>
      <c r="AL3" s="64" t="s">
        <v>274</v>
      </c>
      <c r="AM3" s="64" t="s">
        <v>97</v>
      </c>
      <c r="AN3" s="64" t="s">
        <v>97</v>
      </c>
      <c r="AO3" s="64" t="s">
        <v>97</v>
      </c>
      <c r="AP3" s="64" t="s">
        <v>97</v>
      </c>
      <c r="AQ3" s="65"/>
      <c r="AR3" s="66"/>
      <c r="AS3" s="67"/>
    </row>
    <row r="4" spans="1:45" ht="36.75" customHeight="1">
      <c r="A4" s="68"/>
      <c r="B4" s="70" t="s">
        <v>356</v>
      </c>
      <c r="C4" s="72">
        <v>43425</v>
      </c>
      <c r="D4" s="74" t="s">
        <v>360</v>
      </c>
      <c r="E4" s="76">
        <v>43575</v>
      </c>
      <c r="F4" s="78" t="s">
        <v>363</v>
      </c>
      <c r="G4" s="76">
        <v>43581</v>
      </c>
      <c r="H4" s="78" t="s">
        <v>355</v>
      </c>
      <c r="I4" s="80" t="s">
        <v>364</v>
      </c>
      <c r="J4" s="82" t="s">
        <v>365</v>
      </c>
      <c r="K4" s="83" t="s">
        <v>368</v>
      </c>
      <c r="L4" s="84" t="s">
        <v>370</v>
      </c>
      <c r="M4" s="85" t="s">
        <v>374</v>
      </c>
      <c r="N4" s="91" t="s">
        <v>377</v>
      </c>
      <c r="O4" s="91" t="s">
        <v>389</v>
      </c>
      <c r="P4" s="92"/>
      <c r="Q4" s="94" t="s">
        <v>385</v>
      </c>
      <c r="R4" s="85" t="s">
        <v>402</v>
      </c>
      <c r="S4" s="85" t="s">
        <v>402</v>
      </c>
      <c r="T4" s="85" t="s">
        <v>402</v>
      </c>
      <c r="U4" s="85" t="s">
        <v>403</v>
      </c>
      <c r="V4" s="85" t="s">
        <v>355</v>
      </c>
      <c r="W4" s="85" t="s">
        <v>355</v>
      </c>
      <c r="X4" s="85" t="s">
        <v>355</v>
      </c>
      <c r="Y4" s="85" t="s">
        <v>355</v>
      </c>
      <c r="Z4" s="85" t="s">
        <v>355</v>
      </c>
      <c r="AA4" s="85" t="s">
        <v>404</v>
      </c>
      <c r="AB4" s="96"/>
      <c r="AC4" s="97" t="s">
        <v>404</v>
      </c>
      <c r="AD4" s="99" t="s">
        <v>389</v>
      </c>
      <c r="AE4" s="100" t="s">
        <v>385</v>
      </c>
      <c r="AF4" s="85" t="s">
        <v>385</v>
      </c>
      <c r="AG4" s="85" t="s">
        <v>385</v>
      </c>
      <c r="AH4" s="91" t="s">
        <v>406</v>
      </c>
      <c r="AI4" s="85" t="s">
        <v>410</v>
      </c>
      <c r="AJ4" s="85" t="s">
        <v>402</v>
      </c>
      <c r="AK4" s="101" t="s">
        <v>412</v>
      </c>
      <c r="AL4" s="85" t="s">
        <v>354</v>
      </c>
      <c r="AM4" s="85" t="s">
        <v>414</v>
      </c>
      <c r="AN4" s="102" t="s">
        <v>402</v>
      </c>
      <c r="AO4" s="612" t="s">
        <v>415</v>
      </c>
      <c r="AP4" s="613"/>
      <c r="AQ4" s="613"/>
      <c r="AR4" s="621"/>
      <c r="AS4" s="67"/>
    </row>
    <row r="5" spans="1:45" ht="36.75" customHeight="1">
      <c r="A5" s="103"/>
      <c r="B5" s="70"/>
      <c r="C5" s="72"/>
      <c r="D5" s="74"/>
      <c r="E5" s="104"/>
      <c r="F5" s="104"/>
      <c r="G5" s="104"/>
      <c r="H5" s="104"/>
      <c r="I5" s="80"/>
      <c r="J5" s="105"/>
      <c r="K5" s="106"/>
      <c r="L5" s="84"/>
      <c r="M5" s="85"/>
      <c r="N5" s="107"/>
      <c r="O5" s="107"/>
      <c r="P5" s="96"/>
      <c r="Q5" s="108"/>
      <c r="R5" s="85"/>
      <c r="S5" s="85"/>
      <c r="T5" s="85" t="s">
        <v>355</v>
      </c>
      <c r="U5" s="85" t="s">
        <v>355</v>
      </c>
      <c r="V5" s="85"/>
      <c r="W5" s="85"/>
      <c r="X5" s="85"/>
      <c r="Y5" s="85"/>
      <c r="Z5" s="85"/>
      <c r="AA5" s="85" t="s">
        <v>402</v>
      </c>
      <c r="AB5" s="96"/>
      <c r="AC5" s="109"/>
      <c r="AD5" s="85"/>
      <c r="AE5" s="85" t="s">
        <v>354</v>
      </c>
      <c r="AF5" s="85"/>
      <c r="AG5" s="85"/>
      <c r="AH5" s="85"/>
      <c r="AI5" s="85"/>
      <c r="AJ5" s="85"/>
      <c r="AK5" s="108"/>
      <c r="AL5" s="85"/>
      <c r="AM5" s="110"/>
      <c r="AN5" s="111"/>
      <c r="AO5" s="85"/>
      <c r="AP5" s="85"/>
      <c r="AQ5" s="85"/>
      <c r="AR5" s="84"/>
      <c r="AS5" s="67"/>
    </row>
    <row r="6" spans="1:45" ht="36.75" customHeight="1">
      <c r="A6" s="103"/>
      <c r="B6" s="70"/>
      <c r="C6" s="72"/>
      <c r="D6" s="74"/>
      <c r="E6" s="104"/>
      <c r="F6" s="104"/>
      <c r="G6" s="104"/>
      <c r="H6" s="78" t="s">
        <v>417</v>
      </c>
      <c r="I6" s="80"/>
      <c r="J6" s="105"/>
      <c r="K6" s="106"/>
      <c r="L6" s="84" t="s">
        <v>370</v>
      </c>
      <c r="M6" s="112" t="s">
        <v>374</v>
      </c>
      <c r="N6" s="113" t="s">
        <v>377</v>
      </c>
      <c r="O6" s="113" t="s">
        <v>389</v>
      </c>
      <c r="P6" s="114"/>
      <c r="Q6" s="115" t="s">
        <v>385</v>
      </c>
      <c r="R6" s="112" t="s">
        <v>402</v>
      </c>
      <c r="S6" s="112" t="s">
        <v>402</v>
      </c>
      <c r="T6" s="112" t="s">
        <v>402</v>
      </c>
      <c r="U6" s="112" t="s">
        <v>402</v>
      </c>
      <c r="V6" s="112" t="s">
        <v>402</v>
      </c>
      <c r="W6" s="112" t="s">
        <v>402</v>
      </c>
      <c r="X6" s="112" t="s">
        <v>402</v>
      </c>
      <c r="Y6" s="112" t="s">
        <v>402</v>
      </c>
      <c r="Z6" s="112" t="s">
        <v>402</v>
      </c>
      <c r="AA6" s="112" t="s">
        <v>402</v>
      </c>
      <c r="AB6" s="116"/>
      <c r="AC6" s="117" t="s">
        <v>423</v>
      </c>
      <c r="AD6" s="119" t="s">
        <v>389</v>
      </c>
      <c r="AE6" s="112" t="s">
        <v>354</v>
      </c>
      <c r="AF6" s="112" t="s">
        <v>385</v>
      </c>
      <c r="AG6" s="112" t="s">
        <v>385</v>
      </c>
      <c r="AH6" s="120" t="s">
        <v>406</v>
      </c>
      <c r="AI6" s="112" t="s">
        <v>410</v>
      </c>
      <c r="AJ6" s="112" t="s">
        <v>402</v>
      </c>
      <c r="AK6" s="121" t="s">
        <v>412</v>
      </c>
      <c r="AL6" s="112" t="s">
        <v>354</v>
      </c>
      <c r="AM6" s="122" t="s">
        <v>414</v>
      </c>
      <c r="AN6" s="123" t="s">
        <v>402</v>
      </c>
      <c r="AO6" s="112" t="s">
        <v>415</v>
      </c>
      <c r="AP6" s="112"/>
      <c r="AQ6" s="112"/>
      <c r="AR6" s="124"/>
      <c r="AS6" s="67"/>
    </row>
    <row r="7" spans="1:45" ht="15.75" customHeight="1">
      <c r="A7" s="68"/>
      <c r="B7" s="70" t="s">
        <v>356</v>
      </c>
      <c r="C7" s="72">
        <v>43426</v>
      </c>
      <c r="D7" s="74" t="s">
        <v>360</v>
      </c>
      <c r="E7" s="76">
        <v>43575</v>
      </c>
      <c r="F7" s="78" t="s">
        <v>363</v>
      </c>
      <c r="G7" s="76">
        <v>43581</v>
      </c>
      <c r="H7" s="78" t="s">
        <v>355</v>
      </c>
      <c r="I7" s="125" t="s">
        <v>432</v>
      </c>
      <c r="J7" s="82" t="s">
        <v>99</v>
      </c>
      <c r="K7" s="126" t="s">
        <v>433</v>
      </c>
      <c r="L7" s="84" t="s">
        <v>281</v>
      </c>
      <c r="M7" s="85" t="s">
        <v>435</v>
      </c>
      <c r="N7" s="91" t="s">
        <v>436</v>
      </c>
      <c r="O7" s="96"/>
      <c r="P7" s="85" t="s">
        <v>402</v>
      </c>
      <c r="Q7" s="85" t="s">
        <v>385</v>
      </c>
      <c r="R7" s="85" t="s">
        <v>440</v>
      </c>
      <c r="S7" s="91" t="s">
        <v>436</v>
      </c>
      <c r="T7" s="85" t="s">
        <v>402</v>
      </c>
      <c r="U7" s="85" t="s">
        <v>403</v>
      </c>
      <c r="V7" s="85" t="s">
        <v>385</v>
      </c>
      <c r="W7" s="85" t="s">
        <v>443</v>
      </c>
      <c r="X7" s="85" t="s">
        <v>404</v>
      </c>
      <c r="Y7" s="85" t="s">
        <v>402</v>
      </c>
      <c r="Z7" s="85" t="s">
        <v>355</v>
      </c>
      <c r="AA7" s="85" t="s">
        <v>355</v>
      </c>
      <c r="AB7" s="96"/>
      <c r="AC7" s="127" t="s">
        <v>444</v>
      </c>
      <c r="AD7" s="85" t="s">
        <v>385</v>
      </c>
      <c r="AE7" s="85" t="s">
        <v>446</v>
      </c>
      <c r="AF7" s="85" t="s">
        <v>446</v>
      </c>
      <c r="AG7" s="85" t="s">
        <v>446</v>
      </c>
      <c r="AH7" s="91" t="s">
        <v>436</v>
      </c>
      <c r="AI7" s="85" t="s">
        <v>447</v>
      </c>
      <c r="AJ7" s="612" t="s">
        <v>448</v>
      </c>
      <c r="AK7" s="613"/>
      <c r="AL7" s="85" t="s">
        <v>449</v>
      </c>
      <c r="AM7" s="85" t="s">
        <v>402</v>
      </c>
      <c r="AN7" s="85" t="s">
        <v>450</v>
      </c>
      <c r="AO7" s="85" t="s">
        <v>402</v>
      </c>
      <c r="AP7" s="85" t="s">
        <v>451</v>
      </c>
      <c r="AQ7" s="85" t="s">
        <v>452</v>
      </c>
      <c r="AR7" s="128" t="s">
        <v>453</v>
      </c>
      <c r="AS7" s="67"/>
    </row>
    <row r="8" spans="1:45" ht="15.75" customHeight="1">
      <c r="A8" s="103"/>
      <c r="B8" s="70"/>
      <c r="C8" s="72"/>
      <c r="D8" s="74"/>
      <c r="E8" s="104"/>
      <c r="F8" s="104"/>
      <c r="G8" s="104"/>
      <c r="H8" s="104"/>
      <c r="I8" s="129"/>
      <c r="J8" s="105"/>
      <c r="K8" s="106"/>
      <c r="L8" s="84"/>
      <c r="M8" s="85" t="s">
        <v>381</v>
      </c>
      <c r="N8" s="15" t="s">
        <v>455</v>
      </c>
      <c r="O8" s="96"/>
      <c r="P8" s="85" t="s">
        <v>457</v>
      </c>
      <c r="Q8" s="85"/>
      <c r="R8" s="85"/>
      <c r="S8" s="85"/>
      <c r="T8" s="85" t="s">
        <v>355</v>
      </c>
      <c r="U8" s="85" t="s">
        <v>355</v>
      </c>
      <c r="V8" s="85" t="s">
        <v>355</v>
      </c>
      <c r="W8" s="85" t="s">
        <v>355</v>
      </c>
      <c r="X8" s="85" t="s">
        <v>355</v>
      </c>
      <c r="Y8" s="85" t="s">
        <v>355</v>
      </c>
      <c r="Z8" s="85" t="s">
        <v>355</v>
      </c>
      <c r="AA8" s="85" t="s">
        <v>355</v>
      </c>
      <c r="AB8" s="96"/>
      <c r="AC8" s="109" t="s">
        <v>457</v>
      </c>
      <c r="AD8" s="85" t="s">
        <v>458</v>
      </c>
      <c r="AE8" s="85"/>
      <c r="AF8" s="85"/>
      <c r="AG8" s="85"/>
      <c r="AH8" s="69" t="s">
        <v>459</v>
      </c>
      <c r="AI8" s="130" t="s">
        <v>460</v>
      </c>
      <c r="AJ8" s="130"/>
      <c r="AK8" s="85" t="s">
        <v>385</v>
      </c>
      <c r="AL8" s="85" t="s">
        <v>355</v>
      </c>
      <c r="AM8" s="85" t="s">
        <v>462</v>
      </c>
      <c r="AN8" s="85" t="s">
        <v>462</v>
      </c>
      <c r="AO8" s="85" t="s">
        <v>462</v>
      </c>
      <c r="AP8" s="85" t="s">
        <v>462</v>
      </c>
      <c r="AQ8" s="85"/>
      <c r="AR8" s="128"/>
      <c r="AS8" s="29" t="s">
        <v>463</v>
      </c>
    </row>
    <row r="9" spans="1:45" ht="15.75" customHeight="1">
      <c r="A9" s="103"/>
      <c r="B9" s="70"/>
      <c r="C9" s="72"/>
      <c r="D9" s="74"/>
      <c r="E9" s="104"/>
      <c r="F9" s="104"/>
      <c r="G9" s="104"/>
      <c r="H9" s="78" t="s">
        <v>464</v>
      </c>
      <c r="I9" s="129"/>
      <c r="J9" s="105"/>
      <c r="K9" s="106"/>
      <c r="L9" s="84" t="s">
        <v>281</v>
      </c>
      <c r="M9" s="112" t="s">
        <v>381</v>
      </c>
      <c r="N9" s="131" t="s">
        <v>407</v>
      </c>
      <c r="O9" s="116"/>
      <c r="P9" s="112"/>
      <c r="Q9" s="112" t="s">
        <v>385</v>
      </c>
      <c r="R9" s="112" t="s">
        <v>440</v>
      </c>
      <c r="S9" s="120" t="s">
        <v>436</v>
      </c>
      <c r="T9" s="112" t="s">
        <v>402</v>
      </c>
      <c r="U9" s="112" t="s">
        <v>402</v>
      </c>
      <c r="V9" s="112" t="s">
        <v>402</v>
      </c>
      <c r="W9" s="112" t="s">
        <v>402</v>
      </c>
      <c r="X9" s="112" t="s">
        <v>355</v>
      </c>
      <c r="Y9" s="112" t="s">
        <v>404</v>
      </c>
      <c r="Z9" s="112" t="s">
        <v>402</v>
      </c>
      <c r="AA9" s="112" t="s">
        <v>402</v>
      </c>
      <c r="AB9" s="112" t="s">
        <v>466</v>
      </c>
      <c r="AC9" s="117"/>
      <c r="AD9" s="112"/>
      <c r="AE9" s="112" t="s">
        <v>385</v>
      </c>
      <c r="AF9" s="112" t="s">
        <v>385</v>
      </c>
      <c r="AG9" s="112" t="s">
        <v>385</v>
      </c>
      <c r="AH9" s="131" t="s">
        <v>459</v>
      </c>
      <c r="AI9" s="132" t="s">
        <v>460</v>
      </c>
      <c r="AJ9" s="132"/>
      <c r="AK9" s="112" t="s">
        <v>385</v>
      </c>
      <c r="AL9" s="112" t="s">
        <v>355</v>
      </c>
      <c r="AM9" s="112"/>
      <c r="AN9" s="112"/>
      <c r="AO9" s="112"/>
      <c r="AP9" s="112"/>
      <c r="AQ9" s="112"/>
      <c r="AR9" s="128"/>
      <c r="AS9" s="29"/>
    </row>
    <row r="10" spans="1:45" ht="15.75" customHeight="1">
      <c r="A10" s="68"/>
      <c r="B10" s="70" t="s">
        <v>356</v>
      </c>
      <c r="C10" s="72">
        <v>43426</v>
      </c>
      <c r="D10" s="74" t="s">
        <v>360</v>
      </c>
      <c r="E10" s="76">
        <v>43575</v>
      </c>
      <c r="F10" s="78" t="s">
        <v>363</v>
      </c>
      <c r="G10" s="76">
        <v>43581</v>
      </c>
      <c r="H10" s="78" t="s">
        <v>355</v>
      </c>
      <c r="I10" s="125" t="s">
        <v>468</v>
      </c>
      <c r="J10" s="82" t="s">
        <v>100</v>
      </c>
      <c r="K10" s="126" t="s">
        <v>469</v>
      </c>
      <c r="L10" s="84" t="s">
        <v>281</v>
      </c>
      <c r="M10" s="85" t="s">
        <v>381</v>
      </c>
      <c r="N10" s="91" t="s">
        <v>408</v>
      </c>
      <c r="O10" s="96"/>
      <c r="P10" s="85" t="s">
        <v>402</v>
      </c>
      <c r="Q10" s="85" t="s">
        <v>355</v>
      </c>
      <c r="R10" s="85" t="s">
        <v>472</v>
      </c>
      <c r="S10" s="91" t="s">
        <v>473</v>
      </c>
      <c r="T10" s="85" t="s">
        <v>402</v>
      </c>
      <c r="U10" s="85" t="s">
        <v>403</v>
      </c>
      <c r="V10" s="85" t="s">
        <v>355</v>
      </c>
      <c r="W10" s="85" t="s">
        <v>355</v>
      </c>
      <c r="X10" s="85" t="s">
        <v>355</v>
      </c>
      <c r="Y10" s="85" t="s">
        <v>402</v>
      </c>
      <c r="Z10" s="85" t="s">
        <v>355</v>
      </c>
      <c r="AA10" s="85" t="s">
        <v>355</v>
      </c>
      <c r="AB10" s="96"/>
      <c r="AC10" s="97" t="s">
        <v>444</v>
      </c>
      <c r="AD10" s="133" t="s">
        <v>446</v>
      </c>
      <c r="AE10" s="134" t="s">
        <v>446</v>
      </c>
      <c r="AF10" s="85" t="s">
        <v>446</v>
      </c>
      <c r="AG10" s="85" t="s">
        <v>446</v>
      </c>
      <c r="AH10" s="91" t="s">
        <v>408</v>
      </c>
      <c r="AI10" s="85" t="s">
        <v>477</v>
      </c>
      <c r="AJ10" s="85" t="s">
        <v>478</v>
      </c>
      <c r="AK10" s="135" t="s">
        <v>479</v>
      </c>
      <c r="AL10" s="85" t="s">
        <v>354</v>
      </c>
      <c r="AM10" s="85" t="s">
        <v>478</v>
      </c>
      <c r="AN10" s="85" t="s">
        <v>450</v>
      </c>
      <c r="AO10" s="85" t="s">
        <v>385</v>
      </c>
      <c r="AP10" s="96"/>
      <c r="AQ10" s="85" t="s">
        <v>452</v>
      </c>
      <c r="AR10" s="128" t="s">
        <v>453</v>
      </c>
      <c r="AS10" s="67"/>
    </row>
    <row r="11" spans="1:45" ht="15.75" customHeight="1">
      <c r="A11" s="103"/>
      <c r="B11" s="70"/>
      <c r="C11" s="72"/>
      <c r="D11" s="74"/>
      <c r="E11" s="104"/>
      <c r="F11" s="104"/>
      <c r="G11" s="104"/>
      <c r="H11" s="104"/>
      <c r="I11" s="129"/>
      <c r="J11" s="105"/>
      <c r="K11" s="106"/>
      <c r="L11" s="84"/>
      <c r="M11" s="85"/>
      <c r="N11" s="107"/>
      <c r="O11" s="96"/>
      <c r="P11" s="85" t="s">
        <v>457</v>
      </c>
      <c r="Q11" s="85" t="s">
        <v>385</v>
      </c>
      <c r="R11" s="85" t="s">
        <v>481</v>
      </c>
      <c r="S11" s="130" t="s">
        <v>482</v>
      </c>
      <c r="T11" s="85" t="s">
        <v>355</v>
      </c>
      <c r="U11" s="85" t="s">
        <v>355</v>
      </c>
      <c r="V11" s="85"/>
      <c r="W11" s="85"/>
      <c r="X11" s="85"/>
      <c r="Y11" s="85" t="s">
        <v>355</v>
      </c>
      <c r="Z11" s="85"/>
      <c r="AA11" s="85"/>
      <c r="AB11" s="96"/>
      <c r="AC11" s="109" t="s">
        <v>462</v>
      </c>
      <c r="AD11" s="85" t="s">
        <v>462</v>
      </c>
      <c r="AE11" s="134" t="s">
        <v>385</v>
      </c>
      <c r="AF11" s="85" t="s">
        <v>385</v>
      </c>
      <c r="AG11" s="85" t="s">
        <v>385</v>
      </c>
      <c r="AI11" s="130"/>
      <c r="AJ11" s="69" t="s">
        <v>483</v>
      </c>
      <c r="AK11" s="136" t="s">
        <v>385</v>
      </c>
      <c r="AL11" s="85" t="s">
        <v>355</v>
      </c>
      <c r="AM11" s="85" t="s">
        <v>462</v>
      </c>
      <c r="AN11" s="85" t="s">
        <v>462</v>
      </c>
      <c r="AO11" s="85" t="s">
        <v>462</v>
      </c>
      <c r="AP11" s="85" t="s">
        <v>462</v>
      </c>
      <c r="AQ11" s="85"/>
      <c r="AR11" s="128"/>
      <c r="AS11" s="67"/>
    </row>
    <row r="12" spans="1:45" ht="15.75" customHeight="1">
      <c r="A12" s="103"/>
      <c r="B12" s="70"/>
      <c r="C12" s="72"/>
      <c r="D12" s="74"/>
      <c r="E12" s="104"/>
      <c r="F12" s="104"/>
      <c r="G12" s="104"/>
      <c r="H12" s="130" t="s">
        <v>485</v>
      </c>
      <c r="I12" s="129"/>
      <c r="J12" s="105"/>
      <c r="K12" s="106"/>
      <c r="L12" s="84" t="s">
        <v>281</v>
      </c>
      <c r="M12" s="112" t="s">
        <v>381</v>
      </c>
      <c r="N12" s="113" t="s">
        <v>408</v>
      </c>
      <c r="O12" s="116"/>
      <c r="P12" s="112"/>
      <c r="Q12" s="112" t="s">
        <v>385</v>
      </c>
      <c r="R12" s="112" t="s">
        <v>481</v>
      </c>
      <c r="S12" s="132" t="s">
        <v>482</v>
      </c>
      <c r="T12" s="112" t="s">
        <v>402</v>
      </c>
      <c r="U12" s="112" t="s">
        <v>402</v>
      </c>
      <c r="V12" s="112" t="s">
        <v>402</v>
      </c>
      <c r="W12" s="112" t="s">
        <v>402</v>
      </c>
      <c r="X12" s="112" t="s">
        <v>355</v>
      </c>
      <c r="Y12" s="112" t="s">
        <v>404</v>
      </c>
      <c r="Z12" s="112" t="s">
        <v>402</v>
      </c>
      <c r="AA12" s="112" t="s">
        <v>402</v>
      </c>
      <c r="AB12" s="112" t="s">
        <v>487</v>
      </c>
      <c r="AC12" s="117"/>
      <c r="AD12" s="112"/>
      <c r="AE12" s="137" t="s">
        <v>385</v>
      </c>
      <c r="AF12" s="112" t="s">
        <v>385</v>
      </c>
      <c r="AG12" s="112" t="s">
        <v>385</v>
      </c>
      <c r="AH12" s="120" t="s">
        <v>408</v>
      </c>
      <c r="AI12" s="112" t="s">
        <v>477</v>
      </c>
      <c r="AJ12" s="131" t="s">
        <v>483</v>
      </c>
      <c r="AK12" s="138" t="s">
        <v>385</v>
      </c>
      <c r="AL12" s="112" t="s">
        <v>355</v>
      </c>
      <c r="AM12" s="112"/>
      <c r="AN12" s="112"/>
      <c r="AO12" s="112"/>
      <c r="AP12" s="112"/>
      <c r="AQ12" s="112"/>
      <c r="AR12" s="139"/>
      <c r="AS12" s="140"/>
    </row>
    <row r="13" spans="1:45" ht="15.75" customHeight="1">
      <c r="A13" s="141"/>
      <c r="B13" s="142" t="s">
        <v>356</v>
      </c>
      <c r="C13" s="143">
        <v>43426</v>
      </c>
      <c r="D13" s="144" t="s">
        <v>492</v>
      </c>
      <c r="E13" s="145">
        <v>43574</v>
      </c>
      <c r="F13" s="146" t="s">
        <v>363</v>
      </c>
      <c r="G13" s="145">
        <v>43581</v>
      </c>
      <c r="H13" s="146" t="s">
        <v>355</v>
      </c>
      <c r="I13" s="147" t="s">
        <v>493</v>
      </c>
      <c r="J13" s="148" t="s">
        <v>101</v>
      </c>
      <c r="K13" s="126"/>
      <c r="L13" s="149" t="s">
        <v>281</v>
      </c>
      <c r="M13" s="150" t="s">
        <v>374</v>
      </c>
      <c r="N13" s="151" t="s">
        <v>495</v>
      </c>
      <c r="O13" s="152"/>
      <c r="P13" s="150" t="s">
        <v>402</v>
      </c>
      <c r="Q13" s="150" t="s">
        <v>385</v>
      </c>
      <c r="R13" s="150" t="s">
        <v>472</v>
      </c>
      <c r="S13" s="151" t="s">
        <v>473</v>
      </c>
      <c r="T13" s="150" t="s">
        <v>402</v>
      </c>
      <c r="U13" s="150" t="s">
        <v>402</v>
      </c>
      <c r="V13" s="150" t="s">
        <v>385</v>
      </c>
      <c r="W13" s="150" t="s">
        <v>500</v>
      </c>
      <c r="X13" s="150" t="s">
        <v>355</v>
      </c>
      <c r="Y13" s="150" t="s">
        <v>402</v>
      </c>
      <c r="Z13" s="150" t="s">
        <v>355</v>
      </c>
      <c r="AA13" s="150" t="s">
        <v>355</v>
      </c>
      <c r="AB13" s="152"/>
      <c r="AC13" s="153" t="s">
        <v>444</v>
      </c>
      <c r="AD13" s="154" t="s">
        <v>385</v>
      </c>
      <c r="AE13" s="155"/>
      <c r="AF13" s="152"/>
      <c r="AG13" s="152"/>
      <c r="AH13" s="151" t="s">
        <v>503</v>
      </c>
      <c r="AI13" s="150" t="s">
        <v>505</v>
      </c>
      <c r="AJ13" s="150" t="s">
        <v>506</v>
      </c>
      <c r="AK13" s="150" t="s">
        <v>507</v>
      </c>
      <c r="AL13" s="150" t="s">
        <v>385</v>
      </c>
      <c r="AM13" s="150" t="s">
        <v>508</v>
      </c>
      <c r="AN13" s="150" t="s">
        <v>509</v>
      </c>
      <c r="AO13" s="150" t="s">
        <v>402</v>
      </c>
      <c r="AP13" s="152"/>
      <c r="AQ13" s="150" t="s">
        <v>510</v>
      </c>
      <c r="AR13" s="156" t="s">
        <v>453</v>
      </c>
      <c r="AS13" s="157"/>
    </row>
    <row r="14" spans="1:45" ht="15.75" customHeight="1">
      <c r="A14" s="103"/>
      <c r="B14" s="70"/>
      <c r="C14" s="72"/>
      <c r="D14" s="74"/>
      <c r="I14" s="129"/>
      <c r="J14" s="105"/>
      <c r="K14" s="106"/>
      <c r="L14" s="84"/>
      <c r="M14" s="85"/>
      <c r="N14" s="69" t="s">
        <v>409</v>
      </c>
      <c r="O14" s="85" t="s">
        <v>402</v>
      </c>
      <c r="P14" s="85"/>
      <c r="Q14" s="85"/>
      <c r="R14" s="85"/>
      <c r="S14" s="107"/>
      <c r="T14" s="85" t="s">
        <v>355</v>
      </c>
      <c r="U14" s="85"/>
      <c r="V14" s="85" t="s">
        <v>402</v>
      </c>
      <c r="W14" s="85" t="s">
        <v>402</v>
      </c>
      <c r="X14" s="85"/>
      <c r="Y14" s="85" t="s">
        <v>355</v>
      </c>
      <c r="Z14" s="85" t="s">
        <v>402</v>
      </c>
      <c r="AA14" s="85" t="s">
        <v>402</v>
      </c>
      <c r="AB14" s="85"/>
      <c r="AC14" s="158" t="s">
        <v>402</v>
      </c>
      <c r="AD14" s="85" t="s">
        <v>511</v>
      </c>
      <c r="AE14" s="100" t="s">
        <v>385</v>
      </c>
      <c r="AF14" s="85" t="s">
        <v>385</v>
      </c>
      <c r="AG14" s="85" t="s">
        <v>385</v>
      </c>
      <c r="AH14" s="107"/>
      <c r="AI14" s="85"/>
      <c r="AJ14" s="85"/>
      <c r="AK14" s="159" t="s">
        <v>512</v>
      </c>
      <c r="AL14" s="85"/>
      <c r="AM14" s="85" t="s">
        <v>513</v>
      </c>
      <c r="AN14" s="85" t="s">
        <v>514</v>
      </c>
      <c r="AO14" s="85"/>
      <c r="AP14" s="85" t="s">
        <v>402</v>
      </c>
      <c r="AQ14" s="85" t="s">
        <v>515</v>
      </c>
      <c r="AR14" s="128"/>
      <c r="AS14" s="67"/>
    </row>
    <row r="15" spans="1:45" ht="15.75" customHeight="1">
      <c r="A15" s="103"/>
      <c r="B15" s="70"/>
      <c r="C15" s="72"/>
      <c r="D15" s="74"/>
      <c r="H15" s="69" t="s">
        <v>517</v>
      </c>
      <c r="I15" s="129"/>
      <c r="J15" s="105"/>
      <c r="K15" s="106"/>
      <c r="L15" s="84" t="s">
        <v>281</v>
      </c>
      <c r="M15" s="112" t="s">
        <v>374</v>
      </c>
      <c r="N15" s="131" t="s">
        <v>409</v>
      </c>
      <c r="O15" s="112"/>
      <c r="P15" s="112" t="s">
        <v>402</v>
      </c>
      <c r="Q15" s="112" t="s">
        <v>385</v>
      </c>
      <c r="R15" s="112" t="s">
        <v>472</v>
      </c>
      <c r="S15" s="113" t="s">
        <v>473</v>
      </c>
      <c r="T15" s="112" t="s">
        <v>402</v>
      </c>
      <c r="U15" s="112" t="s">
        <v>402</v>
      </c>
      <c r="V15" s="112" t="s">
        <v>402</v>
      </c>
      <c r="W15" s="112" t="s">
        <v>402</v>
      </c>
      <c r="X15" s="112" t="s">
        <v>355</v>
      </c>
      <c r="Y15" s="112" t="s">
        <v>404</v>
      </c>
      <c r="Z15" s="112" t="s">
        <v>402</v>
      </c>
      <c r="AA15" s="112" t="s">
        <v>402</v>
      </c>
      <c r="AB15" s="112" t="s">
        <v>487</v>
      </c>
      <c r="AC15" s="160" t="s">
        <v>402</v>
      </c>
      <c r="AD15" s="112"/>
      <c r="AE15" s="161" t="s">
        <v>385</v>
      </c>
      <c r="AF15" s="112" t="s">
        <v>385</v>
      </c>
      <c r="AG15" s="112" t="s">
        <v>385</v>
      </c>
      <c r="AH15" s="113" t="s">
        <v>503</v>
      </c>
      <c r="AI15" s="112" t="s">
        <v>520</v>
      </c>
      <c r="AJ15" s="112" t="s">
        <v>521</v>
      </c>
      <c r="AK15" s="112" t="s">
        <v>385</v>
      </c>
      <c r="AL15" s="112" t="s">
        <v>385</v>
      </c>
      <c r="AM15" s="112" t="s">
        <v>513</v>
      </c>
      <c r="AN15" s="112"/>
      <c r="AO15" s="112"/>
      <c r="AP15" s="112"/>
      <c r="AQ15" s="112"/>
      <c r="AR15" s="139"/>
      <c r="AS15" s="140"/>
    </row>
    <row r="16" spans="1:45" ht="15.75" customHeight="1">
      <c r="A16" s="68"/>
      <c r="B16" s="70" t="s">
        <v>356</v>
      </c>
      <c r="C16" s="72">
        <v>43425</v>
      </c>
      <c r="D16" s="74" t="s">
        <v>360</v>
      </c>
      <c r="E16" s="76">
        <v>43575</v>
      </c>
      <c r="F16" s="78" t="s">
        <v>363</v>
      </c>
      <c r="G16" s="76">
        <v>43581</v>
      </c>
      <c r="H16" s="78" t="s">
        <v>355</v>
      </c>
      <c r="I16" s="125" t="s">
        <v>523</v>
      </c>
      <c r="J16" s="82" t="s">
        <v>102</v>
      </c>
      <c r="K16" s="126" t="s">
        <v>524</v>
      </c>
      <c r="L16" s="84" t="s">
        <v>282</v>
      </c>
      <c r="M16" s="85" t="s">
        <v>382</v>
      </c>
      <c r="N16" s="91" t="s">
        <v>525</v>
      </c>
      <c r="O16" s="96"/>
      <c r="P16" s="91" t="s">
        <v>525</v>
      </c>
      <c r="Q16" s="162" t="s">
        <v>355</v>
      </c>
      <c r="R16" s="85" t="s">
        <v>402</v>
      </c>
      <c r="S16" s="96"/>
      <c r="T16" s="85" t="s">
        <v>355</v>
      </c>
      <c r="U16" s="85" t="s">
        <v>403</v>
      </c>
      <c r="V16" s="85" t="s">
        <v>528</v>
      </c>
      <c r="W16" s="85" t="s">
        <v>355</v>
      </c>
      <c r="X16" s="85" t="s">
        <v>355</v>
      </c>
      <c r="Y16" s="85" t="s">
        <v>355</v>
      </c>
      <c r="Z16" s="85" t="s">
        <v>355</v>
      </c>
      <c r="AA16" s="85" t="s">
        <v>355</v>
      </c>
      <c r="AB16" s="96"/>
      <c r="AC16" s="127" t="s">
        <v>444</v>
      </c>
      <c r="AD16" s="91" t="s">
        <v>525</v>
      </c>
      <c r="AE16" s="100" t="s">
        <v>355</v>
      </c>
      <c r="AF16" s="85" t="s">
        <v>355</v>
      </c>
      <c r="AG16" s="85" t="s">
        <v>355</v>
      </c>
      <c r="AH16" s="85" t="s">
        <v>402</v>
      </c>
      <c r="AI16" s="85" t="s">
        <v>529</v>
      </c>
      <c r="AJ16" s="85" t="s">
        <v>530</v>
      </c>
      <c r="AK16" s="638" t="s">
        <v>402</v>
      </c>
      <c r="AL16" s="85" t="s">
        <v>530</v>
      </c>
      <c r="AM16" s="96"/>
      <c r="AN16" s="96"/>
      <c r="AO16" s="96"/>
      <c r="AP16" s="96"/>
      <c r="AQ16" s="85" t="s">
        <v>452</v>
      </c>
      <c r="AR16" s="128" t="s">
        <v>453</v>
      </c>
      <c r="AS16" s="67"/>
    </row>
    <row r="17" spans="1:45" ht="15.75" customHeight="1">
      <c r="A17" s="103"/>
      <c r="B17" s="70"/>
      <c r="C17" s="72"/>
      <c r="D17" s="74"/>
      <c r="E17" s="104"/>
      <c r="F17" s="104"/>
      <c r="G17" s="104"/>
      <c r="H17" s="104"/>
      <c r="I17" s="129"/>
      <c r="J17" s="105"/>
      <c r="K17" s="106"/>
      <c r="L17" s="84"/>
      <c r="M17" s="85"/>
      <c r="N17" s="85" t="s">
        <v>411</v>
      </c>
      <c r="O17" s="15" t="s">
        <v>531</v>
      </c>
      <c r="P17" s="85" t="s">
        <v>462</v>
      </c>
      <c r="Q17" s="85" t="s">
        <v>385</v>
      </c>
      <c r="R17" s="85" t="s">
        <v>462</v>
      </c>
      <c r="S17" s="96"/>
      <c r="T17" s="85" t="s">
        <v>355</v>
      </c>
      <c r="U17" s="85" t="s">
        <v>355</v>
      </c>
      <c r="V17" s="85" t="s">
        <v>355</v>
      </c>
      <c r="W17" s="85"/>
      <c r="X17" s="85"/>
      <c r="Y17" s="85"/>
      <c r="Z17" s="85"/>
      <c r="AA17" s="85"/>
      <c r="AB17" s="96"/>
      <c r="AC17" s="109" t="s">
        <v>532</v>
      </c>
      <c r="AD17" s="85"/>
      <c r="AE17" s="85"/>
      <c r="AF17" s="85"/>
      <c r="AG17" s="85"/>
      <c r="AH17" s="91" t="s">
        <v>533</v>
      </c>
      <c r="AI17" s="85" t="s">
        <v>529</v>
      </c>
      <c r="AJ17" s="85" t="s">
        <v>534</v>
      </c>
      <c r="AK17" s="639"/>
      <c r="AL17" s="85" t="s">
        <v>355</v>
      </c>
      <c r="AM17" s="96"/>
      <c r="AN17" s="96"/>
      <c r="AO17" s="96"/>
      <c r="AP17" s="96"/>
      <c r="AQ17" s="85"/>
      <c r="AR17" s="128"/>
      <c r="AS17" s="29" t="s">
        <v>535</v>
      </c>
    </row>
    <row r="18" spans="1:45" ht="15.75" customHeight="1">
      <c r="A18" s="163"/>
      <c r="B18" s="164"/>
      <c r="C18" s="165"/>
      <c r="D18" s="166"/>
      <c r="E18" s="167"/>
      <c r="F18" s="167"/>
      <c r="G18" s="167"/>
      <c r="H18" s="130" t="s">
        <v>538</v>
      </c>
      <c r="I18" s="168"/>
      <c r="J18" s="169"/>
      <c r="K18" s="170"/>
      <c r="L18" s="84" t="s">
        <v>282</v>
      </c>
      <c r="M18" s="112" t="s">
        <v>382</v>
      </c>
      <c r="N18" s="112" t="s">
        <v>411</v>
      </c>
      <c r="O18" s="171" t="s">
        <v>531</v>
      </c>
      <c r="P18" s="112"/>
      <c r="Q18" s="112" t="s">
        <v>385</v>
      </c>
      <c r="R18" s="112"/>
      <c r="S18" s="116"/>
      <c r="T18" s="112" t="s">
        <v>402</v>
      </c>
      <c r="U18" s="112" t="s">
        <v>402</v>
      </c>
      <c r="V18" s="112" t="s">
        <v>402</v>
      </c>
      <c r="W18" s="112" t="s">
        <v>402</v>
      </c>
      <c r="X18" s="112" t="s">
        <v>402</v>
      </c>
      <c r="Y18" s="112" t="s">
        <v>402</v>
      </c>
      <c r="Z18" s="112" t="s">
        <v>402</v>
      </c>
      <c r="AA18" s="112" t="s">
        <v>402</v>
      </c>
      <c r="AB18" s="116"/>
      <c r="AC18" s="117" t="s">
        <v>532</v>
      </c>
      <c r="AD18" s="120" t="s">
        <v>525</v>
      </c>
      <c r="AE18" s="161" t="s">
        <v>355</v>
      </c>
      <c r="AF18" s="161" t="s">
        <v>355</v>
      </c>
      <c r="AG18" s="161" t="s">
        <v>355</v>
      </c>
      <c r="AH18" s="120" t="s">
        <v>533</v>
      </c>
      <c r="AI18" s="112" t="s">
        <v>529</v>
      </c>
      <c r="AJ18" s="112" t="s">
        <v>534</v>
      </c>
      <c r="AK18" s="640"/>
      <c r="AL18" s="112" t="s">
        <v>355</v>
      </c>
      <c r="AM18" s="116"/>
      <c r="AN18" s="116"/>
      <c r="AO18" s="116"/>
      <c r="AP18" s="116"/>
      <c r="AQ18" s="112"/>
      <c r="AR18" s="139"/>
      <c r="AS18" s="172"/>
    </row>
    <row r="19" spans="1:45" ht="15.75" customHeight="1">
      <c r="A19" s="68"/>
      <c r="B19" s="70" t="s">
        <v>356</v>
      </c>
      <c r="C19" s="72">
        <v>43433</v>
      </c>
      <c r="D19" s="74" t="s">
        <v>492</v>
      </c>
      <c r="E19" s="76">
        <v>43574</v>
      </c>
      <c r="F19" s="78" t="s">
        <v>363</v>
      </c>
      <c r="G19" s="76">
        <v>43581</v>
      </c>
      <c r="H19" s="78" t="s">
        <v>355</v>
      </c>
      <c r="I19" s="125" t="s">
        <v>545</v>
      </c>
      <c r="J19" s="82" t="s">
        <v>103</v>
      </c>
      <c r="K19" s="126" t="s">
        <v>433</v>
      </c>
      <c r="L19" s="84" t="s">
        <v>281</v>
      </c>
      <c r="M19" s="85" t="s">
        <v>546</v>
      </c>
      <c r="N19" s="91" t="s">
        <v>547</v>
      </c>
      <c r="O19" s="96"/>
      <c r="P19" s="85" t="s">
        <v>402</v>
      </c>
      <c r="Q19" s="85" t="s">
        <v>355</v>
      </c>
      <c r="R19" s="85" t="s">
        <v>549</v>
      </c>
      <c r="S19" s="91" t="s">
        <v>550</v>
      </c>
      <c r="T19" s="85" t="s">
        <v>402</v>
      </c>
      <c r="U19" s="85" t="s">
        <v>402</v>
      </c>
      <c r="V19" s="85" t="s">
        <v>385</v>
      </c>
      <c r="W19" s="85" t="s">
        <v>402</v>
      </c>
      <c r="X19" s="85" t="s">
        <v>355</v>
      </c>
      <c r="Y19" s="85" t="s">
        <v>355</v>
      </c>
      <c r="Z19" s="85" t="s">
        <v>355</v>
      </c>
      <c r="AA19" s="85" t="s">
        <v>355</v>
      </c>
      <c r="AB19" s="96"/>
      <c r="AC19" s="97" t="s">
        <v>444</v>
      </c>
      <c r="AD19" s="85" t="s">
        <v>385</v>
      </c>
      <c r="AE19" s="85" t="s">
        <v>385</v>
      </c>
      <c r="AF19" s="85" t="s">
        <v>446</v>
      </c>
      <c r="AG19" s="85" t="s">
        <v>355</v>
      </c>
      <c r="AH19" s="91" t="s">
        <v>552</v>
      </c>
      <c r="AI19" s="173" t="s">
        <v>554</v>
      </c>
      <c r="AJ19" s="85" t="s">
        <v>555</v>
      </c>
      <c r="AK19" s="85" t="s">
        <v>402</v>
      </c>
      <c r="AL19" s="85" t="s">
        <v>354</v>
      </c>
      <c r="AM19" s="85" t="s">
        <v>556</v>
      </c>
      <c r="AN19" s="85" t="s">
        <v>557</v>
      </c>
      <c r="AO19" s="85" t="s">
        <v>556</v>
      </c>
      <c r="AP19" s="612" t="s">
        <v>558</v>
      </c>
      <c r="AQ19" s="613"/>
      <c r="AR19" s="128" t="s">
        <v>453</v>
      </c>
      <c r="AS19" s="67"/>
    </row>
    <row r="20" spans="1:45" ht="15.75" customHeight="1">
      <c r="A20" s="103"/>
      <c r="B20" s="70"/>
      <c r="C20" s="72"/>
      <c r="D20" s="74"/>
      <c r="E20" s="104"/>
      <c r="F20" s="104"/>
      <c r="G20" s="104"/>
      <c r="H20" s="104"/>
      <c r="I20" s="129"/>
      <c r="J20" s="105"/>
      <c r="K20" s="106"/>
      <c r="L20" s="84"/>
      <c r="M20" s="85" t="s">
        <v>374</v>
      </c>
      <c r="N20" s="15" t="s">
        <v>413</v>
      </c>
      <c r="O20" s="15" t="s">
        <v>560</v>
      </c>
      <c r="P20" s="85"/>
      <c r="Q20" s="85" t="s">
        <v>385</v>
      </c>
      <c r="R20" s="85" t="s">
        <v>562</v>
      </c>
      <c r="S20" s="15" t="s">
        <v>473</v>
      </c>
      <c r="T20" s="85" t="s">
        <v>355</v>
      </c>
      <c r="U20" s="85"/>
      <c r="V20" s="85"/>
      <c r="W20" s="85"/>
      <c r="X20" s="85"/>
      <c r="Y20" s="85"/>
      <c r="Z20" s="85" t="s">
        <v>402</v>
      </c>
      <c r="AA20" s="85" t="s">
        <v>402</v>
      </c>
      <c r="AB20" s="96"/>
      <c r="AC20" s="174" t="s">
        <v>402</v>
      </c>
      <c r="AD20" s="85" t="s">
        <v>511</v>
      </c>
      <c r="AE20" s="85"/>
      <c r="AF20" s="85" t="s">
        <v>385</v>
      </c>
      <c r="AG20" s="85" t="s">
        <v>385</v>
      </c>
      <c r="AH20" s="107"/>
      <c r="AI20" s="130" t="s">
        <v>460</v>
      </c>
      <c r="AJ20" s="85" t="s">
        <v>402</v>
      </c>
      <c r="AK20" s="85"/>
      <c r="AL20" s="85" t="s">
        <v>385</v>
      </c>
      <c r="AM20" s="85" t="s">
        <v>513</v>
      </c>
      <c r="AN20" s="85" t="s">
        <v>402</v>
      </c>
      <c r="AO20" s="85" t="s">
        <v>402</v>
      </c>
      <c r="AP20" s="85" t="s">
        <v>402</v>
      </c>
      <c r="AQ20" s="85" t="s">
        <v>565</v>
      </c>
      <c r="AR20" s="128"/>
      <c r="AS20" s="67"/>
    </row>
    <row r="21" spans="1:45" ht="15.75" customHeight="1">
      <c r="A21" s="103"/>
      <c r="B21" s="164"/>
      <c r="C21" s="165"/>
      <c r="D21" s="166"/>
      <c r="E21" s="167"/>
      <c r="F21" s="167"/>
      <c r="G21" s="167"/>
      <c r="H21" s="69" t="s">
        <v>566</v>
      </c>
      <c r="I21" s="168"/>
      <c r="J21" s="169"/>
      <c r="K21" s="170"/>
      <c r="L21" s="84" t="s">
        <v>281</v>
      </c>
      <c r="M21" s="112" t="s">
        <v>374</v>
      </c>
      <c r="N21" s="171" t="s">
        <v>413</v>
      </c>
      <c r="O21" s="171" t="s">
        <v>560</v>
      </c>
      <c r="P21" s="85" t="s">
        <v>402</v>
      </c>
      <c r="Q21" s="112" t="s">
        <v>385</v>
      </c>
      <c r="R21" s="112" t="s">
        <v>562</v>
      </c>
      <c r="S21" s="171" t="s">
        <v>473</v>
      </c>
      <c r="T21" s="112" t="s">
        <v>402</v>
      </c>
      <c r="U21" s="112" t="s">
        <v>402</v>
      </c>
      <c r="V21" s="112" t="s">
        <v>402</v>
      </c>
      <c r="W21" s="112" t="s">
        <v>402</v>
      </c>
      <c r="X21" s="112" t="s">
        <v>402</v>
      </c>
      <c r="Y21" s="112" t="s">
        <v>404</v>
      </c>
      <c r="Z21" s="112" t="s">
        <v>402</v>
      </c>
      <c r="AA21" s="112" t="s">
        <v>402</v>
      </c>
      <c r="AB21" s="112" t="s">
        <v>487</v>
      </c>
      <c r="AC21" s="175"/>
      <c r="AD21" s="112"/>
      <c r="AE21" s="112" t="s">
        <v>385</v>
      </c>
      <c r="AF21" s="112" t="s">
        <v>385</v>
      </c>
      <c r="AG21" s="112" t="s">
        <v>385</v>
      </c>
      <c r="AH21" s="113" t="s">
        <v>552</v>
      </c>
      <c r="AI21" s="132" t="s">
        <v>460</v>
      </c>
      <c r="AJ21" s="112"/>
      <c r="AK21" s="85" t="s">
        <v>402</v>
      </c>
      <c r="AL21" s="112" t="s">
        <v>385</v>
      </c>
      <c r="AM21" s="112" t="s">
        <v>513</v>
      </c>
      <c r="AN21" s="112" t="s">
        <v>402</v>
      </c>
      <c r="AO21" s="112" t="s">
        <v>402</v>
      </c>
      <c r="AP21" s="112" t="s">
        <v>402</v>
      </c>
      <c r="AQ21" s="112"/>
      <c r="AR21" s="139"/>
      <c r="AS21" s="140"/>
    </row>
    <row r="22" spans="1:45" ht="99">
      <c r="A22" s="68"/>
      <c r="B22" s="70" t="s">
        <v>356</v>
      </c>
      <c r="C22" s="72">
        <v>43433</v>
      </c>
      <c r="D22" s="74" t="s">
        <v>492</v>
      </c>
      <c r="E22" s="76">
        <v>43574</v>
      </c>
      <c r="F22" s="78" t="s">
        <v>363</v>
      </c>
      <c r="G22" s="76">
        <v>43581</v>
      </c>
      <c r="H22" s="78" t="s">
        <v>355</v>
      </c>
      <c r="I22" s="125" t="s">
        <v>572</v>
      </c>
      <c r="J22" s="82" t="s">
        <v>104</v>
      </c>
      <c r="K22" s="126" t="s">
        <v>433</v>
      </c>
      <c r="L22" s="84" t="s">
        <v>283</v>
      </c>
      <c r="M22" s="85" t="s">
        <v>546</v>
      </c>
      <c r="N22" s="91" t="s">
        <v>573</v>
      </c>
      <c r="P22" s="85" t="s">
        <v>402</v>
      </c>
      <c r="Q22" s="85" t="s">
        <v>385</v>
      </c>
      <c r="R22" s="85" t="s">
        <v>402</v>
      </c>
      <c r="S22" s="96"/>
      <c r="T22" s="85" t="s">
        <v>402</v>
      </c>
      <c r="U22" s="85" t="s">
        <v>402</v>
      </c>
      <c r="V22" s="85" t="s">
        <v>385</v>
      </c>
      <c r="W22" s="85" t="s">
        <v>355</v>
      </c>
      <c r="X22" s="85" t="s">
        <v>355</v>
      </c>
      <c r="Y22" s="85" t="s">
        <v>355</v>
      </c>
      <c r="Z22" s="85" t="s">
        <v>355</v>
      </c>
      <c r="AA22" s="85" t="s">
        <v>355</v>
      </c>
      <c r="AB22" s="96"/>
      <c r="AC22" s="85" t="s">
        <v>576</v>
      </c>
      <c r="AD22" s="91" t="s">
        <v>573</v>
      </c>
      <c r="AE22" s="85" t="s">
        <v>354</v>
      </c>
      <c r="AF22" s="85" t="s">
        <v>355</v>
      </c>
      <c r="AG22" s="85" t="s">
        <v>355</v>
      </c>
      <c r="AH22" s="91" t="s">
        <v>578</v>
      </c>
      <c r="AI22" s="85" t="s">
        <v>580</v>
      </c>
      <c r="AJ22" s="85" t="s">
        <v>581</v>
      </c>
      <c r="AK22" s="85" t="s">
        <v>402</v>
      </c>
      <c r="AL22" s="85" t="s">
        <v>354</v>
      </c>
      <c r="AM22" s="85" t="s">
        <v>582</v>
      </c>
      <c r="AN22" s="85" t="s">
        <v>402</v>
      </c>
      <c r="AO22" s="85" t="s">
        <v>402</v>
      </c>
      <c r="AP22" s="85" t="s">
        <v>583</v>
      </c>
      <c r="AQ22" s="85" t="s">
        <v>584</v>
      </c>
      <c r="AR22" s="128" t="s">
        <v>453</v>
      </c>
      <c r="AS22" s="67"/>
    </row>
    <row r="23" spans="1:45" ht="15">
      <c r="A23" s="103"/>
      <c r="B23" s="70"/>
      <c r="C23" s="72"/>
      <c r="D23" s="74"/>
      <c r="E23" s="104"/>
      <c r="F23" s="104"/>
      <c r="G23" s="104"/>
      <c r="H23" s="104"/>
      <c r="I23" s="129"/>
      <c r="J23" s="105"/>
      <c r="K23" s="106"/>
      <c r="L23" s="84"/>
      <c r="M23" s="85" t="s">
        <v>385</v>
      </c>
      <c r="N23" s="15" t="s">
        <v>416</v>
      </c>
      <c r="O23" s="85" t="s">
        <v>588</v>
      </c>
      <c r="P23" s="85"/>
      <c r="Q23" s="85"/>
      <c r="R23" s="85"/>
      <c r="S23" s="85" t="s">
        <v>511</v>
      </c>
      <c r="T23" s="85"/>
      <c r="U23" s="85"/>
      <c r="V23" s="85" t="s">
        <v>402</v>
      </c>
      <c r="W23" s="85" t="s">
        <v>402</v>
      </c>
      <c r="X23" s="85"/>
      <c r="Y23" s="85" t="s">
        <v>402</v>
      </c>
      <c r="Z23" s="85" t="s">
        <v>402</v>
      </c>
      <c r="AA23" s="85" t="s">
        <v>402</v>
      </c>
      <c r="AB23" s="96"/>
      <c r="AC23" s="85" t="s">
        <v>402</v>
      </c>
      <c r="AD23" s="85" t="s">
        <v>402</v>
      </c>
      <c r="AE23" s="85" t="s">
        <v>385</v>
      </c>
      <c r="AF23" s="85" t="s">
        <v>385</v>
      </c>
      <c r="AG23" s="85" t="s">
        <v>385</v>
      </c>
      <c r="AH23" s="69" t="s">
        <v>589</v>
      </c>
      <c r="AI23" s="85" t="s">
        <v>477</v>
      </c>
      <c r="AJ23" s="85" t="s">
        <v>590</v>
      </c>
      <c r="AK23" s="85"/>
      <c r="AL23" s="85" t="s">
        <v>590</v>
      </c>
      <c r="AM23" s="85" t="s">
        <v>590</v>
      </c>
      <c r="AN23" s="85" t="s">
        <v>590</v>
      </c>
      <c r="AO23" s="85" t="s">
        <v>590</v>
      </c>
      <c r="AP23" s="85" t="s">
        <v>590</v>
      </c>
      <c r="AQ23" s="85" t="s">
        <v>591</v>
      </c>
      <c r="AR23" s="128"/>
      <c r="AS23" s="67"/>
    </row>
    <row r="24" spans="1:45" ht="15">
      <c r="A24" s="163"/>
      <c r="B24" s="164"/>
      <c r="C24" s="165"/>
      <c r="D24" s="166"/>
      <c r="E24" s="167"/>
      <c r="F24" s="167"/>
      <c r="G24" s="167"/>
      <c r="H24" s="176" t="s">
        <v>592</v>
      </c>
      <c r="I24" s="168"/>
      <c r="J24" s="169"/>
      <c r="K24" s="170"/>
      <c r="L24" s="84" t="s">
        <v>283</v>
      </c>
      <c r="M24" s="112" t="s">
        <v>383</v>
      </c>
      <c r="N24" s="171" t="s">
        <v>416</v>
      </c>
      <c r="O24" s="112"/>
      <c r="P24" s="112"/>
      <c r="Q24" s="112" t="s">
        <v>385</v>
      </c>
      <c r="R24" s="112"/>
      <c r="S24" s="116"/>
      <c r="T24" s="112" t="s">
        <v>402</v>
      </c>
      <c r="U24" s="112" t="s">
        <v>402</v>
      </c>
      <c r="V24" s="112" t="s">
        <v>402</v>
      </c>
      <c r="W24" s="112" t="s">
        <v>402</v>
      </c>
      <c r="X24" s="112" t="s">
        <v>355</v>
      </c>
      <c r="Y24" s="112" t="s">
        <v>402</v>
      </c>
      <c r="Z24" s="112" t="s">
        <v>402</v>
      </c>
      <c r="AA24" s="112" t="s">
        <v>402</v>
      </c>
      <c r="AB24" s="116"/>
      <c r="AC24" s="112"/>
      <c r="AD24" s="112"/>
      <c r="AE24" s="112" t="s">
        <v>385</v>
      </c>
      <c r="AF24" s="112" t="s">
        <v>385</v>
      </c>
      <c r="AG24" s="112" t="s">
        <v>385</v>
      </c>
      <c r="AH24" s="131" t="s">
        <v>589</v>
      </c>
      <c r="AI24" s="112" t="s">
        <v>477</v>
      </c>
      <c r="AJ24" s="112"/>
      <c r="AK24" s="112" t="s">
        <v>402</v>
      </c>
      <c r="AL24" s="112"/>
      <c r="AM24" s="112"/>
      <c r="AN24" s="112"/>
      <c r="AO24" s="112"/>
      <c r="AP24" s="112"/>
      <c r="AQ24" s="112" t="s">
        <v>591</v>
      </c>
      <c r="AR24" s="139"/>
      <c r="AS24" s="140"/>
    </row>
    <row r="25" spans="1:45" ht="99">
      <c r="A25" s="68"/>
      <c r="B25" s="70" t="s">
        <v>356</v>
      </c>
      <c r="C25" s="72">
        <v>43433</v>
      </c>
      <c r="D25" s="74" t="s">
        <v>492</v>
      </c>
      <c r="E25" s="76">
        <v>43574</v>
      </c>
      <c r="F25" s="78" t="s">
        <v>363</v>
      </c>
      <c r="G25" s="76">
        <v>43581</v>
      </c>
      <c r="H25" s="78" t="s">
        <v>355</v>
      </c>
      <c r="I25" s="125" t="s">
        <v>595</v>
      </c>
      <c r="J25" s="82" t="s">
        <v>105</v>
      </c>
      <c r="K25" s="126" t="s">
        <v>433</v>
      </c>
      <c r="L25" s="84" t="s">
        <v>283</v>
      </c>
      <c r="M25" s="85" t="s">
        <v>546</v>
      </c>
      <c r="N25" s="614" t="s">
        <v>596</v>
      </c>
      <c r="O25" s="613"/>
      <c r="P25" s="85" t="s">
        <v>402</v>
      </c>
      <c r="Q25" s="85" t="s">
        <v>385</v>
      </c>
      <c r="R25" s="85" t="s">
        <v>402</v>
      </c>
      <c r="S25" s="96"/>
      <c r="T25" s="85" t="s">
        <v>402</v>
      </c>
      <c r="U25" s="85" t="s">
        <v>402</v>
      </c>
      <c r="V25" s="85" t="s">
        <v>385</v>
      </c>
      <c r="W25" s="85" t="s">
        <v>355</v>
      </c>
      <c r="X25" s="85" t="s">
        <v>355</v>
      </c>
      <c r="Y25" s="85" t="s">
        <v>355</v>
      </c>
      <c r="Z25" s="85" t="s">
        <v>355</v>
      </c>
      <c r="AA25" s="85" t="s">
        <v>355</v>
      </c>
      <c r="AB25" s="96"/>
      <c r="AC25" s="85" t="s">
        <v>576</v>
      </c>
      <c r="AD25" s="91" t="s">
        <v>573</v>
      </c>
      <c r="AE25" s="85" t="s">
        <v>354</v>
      </c>
      <c r="AF25" s="85" t="s">
        <v>355</v>
      </c>
      <c r="AG25" s="85" t="s">
        <v>355</v>
      </c>
      <c r="AH25" s="91" t="s">
        <v>578</v>
      </c>
      <c r="AI25" s="85" t="s">
        <v>580</v>
      </c>
      <c r="AJ25" s="85" t="s">
        <v>581</v>
      </c>
      <c r="AK25" s="85" t="s">
        <v>402</v>
      </c>
      <c r="AL25" s="85" t="s">
        <v>354</v>
      </c>
      <c r="AM25" s="85" t="s">
        <v>582</v>
      </c>
      <c r="AN25" s="85" t="s">
        <v>402</v>
      </c>
      <c r="AO25" s="85" t="s">
        <v>402</v>
      </c>
      <c r="AP25" s="85" t="s">
        <v>583</v>
      </c>
      <c r="AQ25" s="85" t="s">
        <v>584</v>
      </c>
      <c r="AR25" s="128" t="s">
        <v>453</v>
      </c>
      <c r="AS25" s="67"/>
    </row>
    <row r="26" spans="1:45" ht="15">
      <c r="A26" s="103"/>
      <c r="B26" s="70"/>
      <c r="C26" s="72"/>
      <c r="D26" s="74"/>
      <c r="E26" s="104"/>
      <c r="F26" s="104"/>
      <c r="G26" s="104"/>
      <c r="H26" s="104"/>
      <c r="I26" s="129"/>
      <c r="J26" s="105"/>
      <c r="K26" s="106"/>
      <c r="L26" s="84"/>
      <c r="M26" s="85" t="s">
        <v>385</v>
      </c>
      <c r="N26" s="15" t="s">
        <v>416</v>
      </c>
      <c r="O26" s="85" t="s">
        <v>588</v>
      </c>
      <c r="P26" s="85"/>
      <c r="Q26" s="85"/>
      <c r="R26" s="85"/>
      <c r="S26" s="85" t="s">
        <v>511</v>
      </c>
      <c r="T26" s="85"/>
      <c r="U26" s="85"/>
      <c r="V26" s="85" t="s">
        <v>402</v>
      </c>
      <c r="W26" s="85" t="s">
        <v>402</v>
      </c>
      <c r="X26" s="85"/>
      <c r="Y26" s="85" t="s">
        <v>402</v>
      </c>
      <c r="Z26" s="85" t="s">
        <v>402</v>
      </c>
      <c r="AA26" s="85" t="s">
        <v>402</v>
      </c>
      <c r="AB26" s="96"/>
      <c r="AC26" s="85" t="s">
        <v>402</v>
      </c>
      <c r="AD26" s="85" t="s">
        <v>402</v>
      </c>
      <c r="AE26" s="85" t="s">
        <v>385</v>
      </c>
      <c r="AF26" s="85" t="s">
        <v>385</v>
      </c>
      <c r="AG26" s="85" t="s">
        <v>385</v>
      </c>
      <c r="AH26" s="15" t="s">
        <v>596</v>
      </c>
      <c r="AI26" s="85" t="s">
        <v>477</v>
      </c>
      <c r="AJ26" s="85" t="s">
        <v>590</v>
      </c>
      <c r="AK26" s="85"/>
      <c r="AL26" s="85" t="s">
        <v>590</v>
      </c>
      <c r="AM26" s="85" t="s">
        <v>590</v>
      </c>
      <c r="AN26" s="85" t="s">
        <v>590</v>
      </c>
      <c r="AO26" s="85" t="s">
        <v>590</v>
      </c>
      <c r="AP26" s="85" t="s">
        <v>590</v>
      </c>
      <c r="AQ26" s="85"/>
      <c r="AR26" s="128"/>
      <c r="AS26" s="67"/>
    </row>
    <row r="27" spans="1:45" ht="15">
      <c r="A27" s="163"/>
      <c r="B27" s="164"/>
      <c r="C27" s="165"/>
      <c r="D27" s="166"/>
      <c r="E27" s="167"/>
      <c r="F27" s="167"/>
      <c r="G27" s="167"/>
      <c r="H27" s="176" t="s">
        <v>592</v>
      </c>
      <c r="I27" s="168"/>
      <c r="J27" s="169"/>
      <c r="K27" s="170"/>
      <c r="L27" s="84" t="s">
        <v>283</v>
      </c>
      <c r="M27" s="112" t="s">
        <v>384</v>
      </c>
      <c r="N27" s="171" t="s">
        <v>416</v>
      </c>
      <c r="O27" s="112"/>
      <c r="P27" s="112"/>
      <c r="Q27" s="112" t="s">
        <v>385</v>
      </c>
      <c r="R27" s="112"/>
      <c r="S27" s="116"/>
      <c r="T27" s="112" t="s">
        <v>402</v>
      </c>
      <c r="U27" s="112" t="s">
        <v>402</v>
      </c>
      <c r="V27" s="112" t="s">
        <v>402</v>
      </c>
      <c r="W27" s="112" t="s">
        <v>402</v>
      </c>
      <c r="X27" s="112" t="s">
        <v>355</v>
      </c>
      <c r="Y27" s="112" t="s">
        <v>402</v>
      </c>
      <c r="Z27" s="112" t="s">
        <v>402</v>
      </c>
      <c r="AA27" s="112" t="s">
        <v>402</v>
      </c>
      <c r="AB27" s="116"/>
      <c r="AC27" s="112"/>
      <c r="AD27" s="112"/>
      <c r="AE27" s="112" t="s">
        <v>385</v>
      </c>
      <c r="AF27" s="112" t="s">
        <v>385</v>
      </c>
      <c r="AG27" s="112" t="s">
        <v>385</v>
      </c>
      <c r="AH27" s="171" t="s">
        <v>596</v>
      </c>
      <c r="AI27" s="85" t="s">
        <v>477</v>
      </c>
      <c r="AJ27" s="112"/>
      <c r="AK27" s="112" t="s">
        <v>402</v>
      </c>
      <c r="AL27" s="112"/>
      <c r="AM27" s="112"/>
      <c r="AN27" s="112"/>
      <c r="AO27" s="112"/>
      <c r="AP27" s="112"/>
      <c r="AQ27" s="112"/>
      <c r="AR27" s="139"/>
      <c r="AS27" s="140"/>
    </row>
    <row r="28" spans="1:45" ht="99">
      <c r="A28" s="103"/>
      <c r="B28" s="70" t="s">
        <v>356</v>
      </c>
      <c r="C28" s="72">
        <v>43433</v>
      </c>
      <c r="D28" s="74" t="s">
        <v>363</v>
      </c>
      <c r="E28" s="76">
        <v>43572</v>
      </c>
      <c r="F28" s="78" t="s">
        <v>360</v>
      </c>
      <c r="G28" s="76">
        <v>43579</v>
      </c>
      <c r="H28" s="78" t="s">
        <v>355</v>
      </c>
      <c r="I28" s="129" t="s">
        <v>600</v>
      </c>
      <c r="J28" s="105" t="s">
        <v>106</v>
      </c>
      <c r="K28" s="126" t="s">
        <v>433</v>
      </c>
      <c r="L28" s="84" t="s">
        <v>283</v>
      </c>
      <c r="M28" s="85" t="s">
        <v>546</v>
      </c>
      <c r="N28" s="91" t="s">
        <v>596</v>
      </c>
      <c r="O28" s="85"/>
      <c r="P28" s="85" t="s">
        <v>402</v>
      </c>
      <c r="Q28" s="85" t="s">
        <v>385</v>
      </c>
      <c r="R28" s="85" t="s">
        <v>402</v>
      </c>
      <c r="S28" s="96"/>
      <c r="T28" s="85" t="s">
        <v>402</v>
      </c>
      <c r="U28" s="633" t="s">
        <v>402</v>
      </c>
      <c r="V28" s="85" t="s">
        <v>385</v>
      </c>
      <c r="W28" s="85" t="s">
        <v>355</v>
      </c>
      <c r="X28" s="85" t="s">
        <v>355</v>
      </c>
      <c r="Y28" s="85" t="s">
        <v>355</v>
      </c>
      <c r="Z28" s="85" t="s">
        <v>355</v>
      </c>
      <c r="AA28" s="85" t="s">
        <v>355</v>
      </c>
      <c r="AB28" s="96"/>
      <c r="AC28" s="85" t="s">
        <v>576</v>
      </c>
      <c r="AD28" s="91" t="s">
        <v>573</v>
      </c>
      <c r="AE28" s="85" t="s">
        <v>354</v>
      </c>
      <c r="AF28" s="85" t="s">
        <v>355</v>
      </c>
      <c r="AG28" s="85" t="s">
        <v>355</v>
      </c>
      <c r="AH28" s="91" t="s">
        <v>578</v>
      </c>
      <c r="AI28" s="85" t="s">
        <v>580</v>
      </c>
      <c r="AJ28" s="85" t="s">
        <v>581</v>
      </c>
      <c r="AK28" s="85" t="s">
        <v>402</v>
      </c>
      <c r="AL28" s="85" t="s">
        <v>354</v>
      </c>
      <c r="AM28" s="85" t="s">
        <v>582</v>
      </c>
      <c r="AN28" s="85" t="s">
        <v>402</v>
      </c>
      <c r="AO28" s="85" t="s">
        <v>402</v>
      </c>
      <c r="AP28" s="85" t="s">
        <v>583</v>
      </c>
      <c r="AQ28" s="85" t="s">
        <v>584</v>
      </c>
      <c r="AR28" s="128" t="s">
        <v>453</v>
      </c>
      <c r="AS28" s="29" t="s">
        <v>605</v>
      </c>
    </row>
    <row r="29" spans="1:45" ht="15">
      <c r="A29" s="103"/>
      <c r="B29" s="70"/>
      <c r="C29" s="72"/>
      <c r="D29" s="74"/>
      <c r="E29" s="104"/>
      <c r="F29" s="104"/>
      <c r="G29" s="104"/>
      <c r="H29" s="104"/>
      <c r="I29" s="129"/>
      <c r="J29" s="105"/>
      <c r="K29" s="106"/>
      <c r="L29" s="84"/>
      <c r="M29" s="85" t="s">
        <v>446</v>
      </c>
      <c r="N29" s="91" t="s">
        <v>418</v>
      </c>
      <c r="O29" s="85"/>
      <c r="P29" s="85"/>
      <c r="Q29" s="85"/>
      <c r="R29" s="85"/>
      <c r="S29" s="96"/>
      <c r="T29" s="85" t="s">
        <v>402</v>
      </c>
      <c r="U29" s="633" t="s">
        <v>402</v>
      </c>
      <c r="V29" s="85" t="s">
        <v>402</v>
      </c>
      <c r="W29" s="85" t="s">
        <v>402</v>
      </c>
      <c r="X29" s="85" t="s">
        <v>402</v>
      </c>
      <c r="Y29" s="85" t="s">
        <v>402</v>
      </c>
      <c r="Z29" s="85" t="s">
        <v>402</v>
      </c>
      <c r="AA29" s="85" t="s">
        <v>402</v>
      </c>
      <c r="AB29" s="96"/>
      <c r="AC29" s="85"/>
      <c r="AD29" s="85" t="s">
        <v>608</v>
      </c>
      <c r="AE29" s="85" t="s">
        <v>446</v>
      </c>
      <c r="AF29" s="85" t="s">
        <v>446</v>
      </c>
      <c r="AG29" s="85" t="s">
        <v>446</v>
      </c>
      <c r="AH29" s="15" t="s">
        <v>609</v>
      </c>
      <c r="AI29" s="85" t="s">
        <v>611</v>
      </c>
      <c r="AJ29" s="85" t="s">
        <v>590</v>
      </c>
      <c r="AK29" s="85" t="s">
        <v>402</v>
      </c>
      <c r="AL29" s="85" t="s">
        <v>355</v>
      </c>
      <c r="AM29" s="85"/>
      <c r="AN29" s="85"/>
      <c r="AO29" s="85"/>
      <c r="AP29" s="85"/>
      <c r="AQ29" s="85"/>
      <c r="AR29" s="128"/>
      <c r="AS29" s="67"/>
    </row>
    <row r="30" spans="1:45" ht="15">
      <c r="A30" s="163"/>
      <c r="B30" s="164"/>
      <c r="C30" s="165"/>
      <c r="D30" s="166"/>
      <c r="E30" s="167"/>
      <c r="F30" s="167"/>
      <c r="G30" s="167"/>
      <c r="H30" s="167"/>
      <c r="I30" s="168"/>
      <c r="J30" s="169" t="s">
        <v>106</v>
      </c>
      <c r="K30" s="170"/>
      <c r="L30" s="124" t="s">
        <v>283</v>
      </c>
      <c r="M30" s="112" t="s">
        <v>385</v>
      </c>
      <c r="N30" s="120" t="s">
        <v>418</v>
      </c>
      <c r="O30" s="112"/>
      <c r="P30" s="112" t="s">
        <v>402</v>
      </c>
      <c r="Q30" s="112" t="s">
        <v>385</v>
      </c>
      <c r="R30" s="112"/>
      <c r="S30" s="116"/>
      <c r="T30" s="112" t="s">
        <v>402</v>
      </c>
      <c r="U30" s="634"/>
      <c r="V30" s="112" t="s">
        <v>402</v>
      </c>
      <c r="W30" s="112" t="s">
        <v>402</v>
      </c>
      <c r="X30" s="112" t="s">
        <v>402</v>
      </c>
      <c r="Y30" s="112" t="s">
        <v>402</v>
      </c>
      <c r="Z30" s="112" t="s">
        <v>402</v>
      </c>
      <c r="AA30" s="112" t="s">
        <v>402</v>
      </c>
      <c r="AB30" s="116"/>
      <c r="AC30" s="112" t="s">
        <v>576</v>
      </c>
      <c r="AD30" s="112"/>
      <c r="AE30" s="112" t="s">
        <v>446</v>
      </c>
      <c r="AF30" s="112" t="s">
        <v>446</v>
      </c>
      <c r="AG30" s="112" t="s">
        <v>446</v>
      </c>
      <c r="AH30" s="171" t="s">
        <v>609</v>
      </c>
      <c r="AI30" s="112" t="s">
        <v>611</v>
      </c>
      <c r="AJ30" s="112"/>
      <c r="AK30" s="112" t="s">
        <v>402</v>
      </c>
      <c r="AL30" s="112" t="s">
        <v>355</v>
      </c>
      <c r="AM30" s="112"/>
      <c r="AN30" s="112" t="s">
        <v>402</v>
      </c>
      <c r="AO30" s="112" t="s">
        <v>402</v>
      </c>
      <c r="AP30" s="112"/>
      <c r="AQ30" s="112" t="s">
        <v>584</v>
      </c>
      <c r="AR30" s="139"/>
      <c r="AS30" s="140"/>
    </row>
    <row r="31" spans="1:45" ht="71">
      <c r="A31" s="68"/>
      <c r="B31" s="70" t="s">
        <v>356</v>
      </c>
      <c r="C31" s="72">
        <v>43433</v>
      </c>
      <c r="D31" s="74" t="s">
        <v>363</v>
      </c>
      <c r="E31" s="76">
        <v>43572</v>
      </c>
      <c r="F31" s="78" t="s">
        <v>360</v>
      </c>
      <c r="G31" s="76">
        <v>43579</v>
      </c>
      <c r="H31" s="78" t="s">
        <v>355</v>
      </c>
      <c r="I31" s="125" t="s">
        <v>616</v>
      </c>
      <c r="J31" s="82" t="s">
        <v>107</v>
      </c>
      <c r="K31" s="126" t="s">
        <v>524</v>
      </c>
      <c r="L31" s="84" t="s">
        <v>284</v>
      </c>
      <c r="M31" s="85" t="s">
        <v>382</v>
      </c>
      <c r="N31" s="614" t="s">
        <v>419</v>
      </c>
      <c r="O31" s="613"/>
      <c r="P31" s="85" t="s">
        <v>402</v>
      </c>
      <c r="Q31" s="85" t="s">
        <v>385</v>
      </c>
      <c r="R31" s="85" t="s">
        <v>402</v>
      </c>
      <c r="S31" s="96"/>
      <c r="T31" s="85" t="s">
        <v>402</v>
      </c>
      <c r="U31" s="85" t="s">
        <v>402</v>
      </c>
      <c r="V31" s="85" t="s">
        <v>385</v>
      </c>
      <c r="W31" s="85" t="s">
        <v>355</v>
      </c>
      <c r="X31" s="85" t="s">
        <v>355</v>
      </c>
      <c r="Y31" s="85" t="s">
        <v>355</v>
      </c>
      <c r="Z31" s="85" t="s">
        <v>355</v>
      </c>
      <c r="AA31" s="85" t="s">
        <v>355</v>
      </c>
      <c r="AB31" s="96"/>
      <c r="AC31" s="85" t="s">
        <v>402</v>
      </c>
      <c r="AD31" s="91" t="s">
        <v>618</v>
      </c>
      <c r="AE31" s="85" t="s">
        <v>385</v>
      </c>
      <c r="AF31" s="85" t="s">
        <v>385</v>
      </c>
      <c r="AG31" s="85" t="s">
        <v>385</v>
      </c>
      <c r="AH31" s="91" t="s">
        <v>620</v>
      </c>
      <c r="AI31" s="85" t="s">
        <v>622</v>
      </c>
      <c r="AJ31" s="85" t="s">
        <v>402</v>
      </c>
      <c r="AK31" s="85" t="s">
        <v>623</v>
      </c>
      <c r="AL31" s="85" t="s">
        <v>355</v>
      </c>
      <c r="AM31" s="85" t="s">
        <v>402</v>
      </c>
      <c r="AN31" s="85" t="s">
        <v>402</v>
      </c>
      <c r="AO31" s="85" t="s">
        <v>402</v>
      </c>
      <c r="AP31" s="85" t="s">
        <v>583</v>
      </c>
      <c r="AQ31" s="96"/>
      <c r="AR31" s="128" t="s">
        <v>453</v>
      </c>
      <c r="AS31" s="29" t="s">
        <v>624</v>
      </c>
    </row>
    <row r="32" spans="1:45" ht="15">
      <c r="A32" s="103"/>
      <c r="B32" s="70"/>
      <c r="C32" s="72"/>
      <c r="D32" s="74"/>
      <c r="E32" s="104"/>
      <c r="F32" s="104"/>
      <c r="G32" s="104"/>
      <c r="H32" s="104"/>
      <c r="I32" s="129"/>
      <c r="J32" s="105"/>
      <c r="K32" s="106"/>
      <c r="L32" s="84"/>
      <c r="M32" s="85"/>
      <c r="N32" s="85"/>
      <c r="O32" s="85"/>
      <c r="P32" s="85"/>
      <c r="Q32" s="85"/>
      <c r="R32" s="85"/>
      <c r="S32" s="96"/>
      <c r="T32" s="85"/>
      <c r="U32" s="85"/>
      <c r="V32" s="85" t="s">
        <v>402</v>
      </c>
      <c r="W32" s="85"/>
      <c r="X32" s="85"/>
      <c r="Y32" s="85"/>
      <c r="Z32" s="85"/>
      <c r="AA32" s="85"/>
      <c r="AB32" s="96"/>
      <c r="AC32" s="85"/>
      <c r="AD32" s="85"/>
      <c r="AE32" s="85"/>
      <c r="AF32" s="85"/>
      <c r="AG32" s="85"/>
      <c r="AH32" s="85"/>
      <c r="AI32" s="177"/>
      <c r="AJ32" s="85"/>
      <c r="AK32" s="177"/>
      <c r="AL32" s="85"/>
      <c r="AM32" s="85"/>
      <c r="AN32" s="85"/>
      <c r="AO32" s="85"/>
      <c r="AP32" s="85"/>
      <c r="AQ32" s="96"/>
      <c r="AR32" s="128"/>
      <c r="AS32" s="67"/>
    </row>
    <row r="33" spans="1:45" ht="15">
      <c r="A33" s="163"/>
      <c r="B33" s="164"/>
      <c r="C33" s="165"/>
      <c r="D33" s="166"/>
      <c r="E33" s="167"/>
      <c r="F33" s="167"/>
      <c r="G33" s="167"/>
      <c r="H33" s="176"/>
      <c r="I33" s="168"/>
      <c r="J33" s="169"/>
      <c r="K33" s="170"/>
      <c r="L33" s="124" t="s">
        <v>284</v>
      </c>
      <c r="M33" s="112" t="s">
        <v>382</v>
      </c>
      <c r="N33" s="120" t="s">
        <v>419</v>
      </c>
      <c r="O33" s="112"/>
      <c r="P33" s="112" t="s">
        <v>402</v>
      </c>
      <c r="Q33" s="112" t="s">
        <v>385</v>
      </c>
      <c r="R33" s="112"/>
      <c r="S33" s="116"/>
      <c r="T33" s="112" t="s">
        <v>402</v>
      </c>
      <c r="U33" s="112" t="s">
        <v>402</v>
      </c>
      <c r="V33" s="112" t="s">
        <v>402</v>
      </c>
      <c r="W33" s="112" t="s">
        <v>402</v>
      </c>
      <c r="X33" s="112" t="s">
        <v>402</v>
      </c>
      <c r="Y33" s="112" t="s">
        <v>402</v>
      </c>
      <c r="Z33" s="112" t="s">
        <v>402</v>
      </c>
      <c r="AA33" s="112" t="s">
        <v>402</v>
      </c>
      <c r="AB33" s="116"/>
      <c r="AC33" s="112"/>
      <c r="AD33" s="120" t="s">
        <v>618</v>
      </c>
      <c r="AE33" s="112" t="s">
        <v>385</v>
      </c>
      <c r="AF33" s="112" t="s">
        <v>385</v>
      </c>
      <c r="AG33" s="112" t="s">
        <v>385</v>
      </c>
      <c r="AH33" s="171" t="s">
        <v>629</v>
      </c>
      <c r="AI33" s="132" t="s">
        <v>630</v>
      </c>
      <c r="AJ33" s="112"/>
      <c r="AK33" s="178" t="s">
        <v>402</v>
      </c>
      <c r="AL33" s="112" t="s">
        <v>385</v>
      </c>
      <c r="AM33" s="112"/>
      <c r="AN33" s="112"/>
      <c r="AO33" s="112"/>
      <c r="AP33" s="112"/>
      <c r="AQ33" s="116"/>
      <c r="AR33" s="139"/>
      <c r="AS33" s="140"/>
    </row>
    <row r="34" spans="1:45" ht="29">
      <c r="A34" s="103"/>
      <c r="B34" s="70" t="s">
        <v>356</v>
      </c>
      <c r="C34" s="72">
        <v>43433</v>
      </c>
      <c r="D34" s="74" t="s">
        <v>363</v>
      </c>
      <c r="E34" s="76">
        <v>43572</v>
      </c>
      <c r="F34" s="78" t="s">
        <v>360</v>
      </c>
      <c r="G34" s="76">
        <v>43579</v>
      </c>
      <c r="H34" s="78" t="s">
        <v>355</v>
      </c>
      <c r="I34" s="129" t="s">
        <v>633</v>
      </c>
      <c r="J34" s="105" t="s">
        <v>108</v>
      </c>
      <c r="K34" s="126" t="s">
        <v>368</v>
      </c>
      <c r="L34" s="84" t="s">
        <v>285</v>
      </c>
      <c r="M34" s="85" t="s">
        <v>382</v>
      </c>
      <c r="N34" s="614" t="s">
        <v>420</v>
      </c>
      <c r="O34" s="613"/>
      <c r="P34" s="85" t="s">
        <v>402</v>
      </c>
      <c r="Q34" s="85" t="s">
        <v>385</v>
      </c>
      <c r="R34" s="85" t="s">
        <v>402</v>
      </c>
      <c r="S34" s="96"/>
      <c r="T34" s="85" t="s">
        <v>402</v>
      </c>
      <c r="U34" s="85" t="s">
        <v>402</v>
      </c>
      <c r="V34" s="85" t="s">
        <v>385</v>
      </c>
      <c r="W34" s="85" t="s">
        <v>355</v>
      </c>
      <c r="X34" s="85" t="s">
        <v>355</v>
      </c>
      <c r="Y34" s="85" t="s">
        <v>355</v>
      </c>
      <c r="Z34" s="85" t="s">
        <v>355</v>
      </c>
      <c r="AA34" s="85" t="s">
        <v>355</v>
      </c>
      <c r="AB34" s="96"/>
      <c r="AC34" s="85" t="s">
        <v>402</v>
      </c>
      <c r="AD34" s="91" t="s">
        <v>635</v>
      </c>
      <c r="AE34" s="85" t="s">
        <v>385</v>
      </c>
      <c r="AF34" s="85" t="s">
        <v>385</v>
      </c>
      <c r="AG34" s="85" t="s">
        <v>385</v>
      </c>
      <c r="AH34" s="91" t="s">
        <v>637</v>
      </c>
      <c r="AI34" s="179" t="s">
        <v>639</v>
      </c>
      <c r="AJ34" s="85" t="s">
        <v>639</v>
      </c>
      <c r="AK34" s="85" t="s">
        <v>402</v>
      </c>
      <c r="AL34" s="85" t="s">
        <v>385</v>
      </c>
      <c r="AM34" s="85" t="s">
        <v>402</v>
      </c>
      <c r="AN34" s="85" t="s">
        <v>402</v>
      </c>
      <c r="AO34" s="85" t="s">
        <v>402</v>
      </c>
      <c r="AP34" s="85" t="s">
        <v>641</v>
      </c>
      <c r="AQ34" s="96"/>
      <c r="AR34" s="128" t="s">
        <v>453</v>
      </c>
      <c r="AS34" s="67"/>
    </row>
    <row r="35" spans="1:45" ht="15">
      <c r="A35" s="103"/>
      <c r="B35" s="70"/>
      <c r="C35" s="72"/>
      <c r="D35" s="74"/>
      <c r="E35" s="104"/>
      <c r="F35" s="104"/>
      <c r="G35" s="104"/>
      <c r="H35" s="104"/>
      <c r="I35" s="129"/>
      <c r="J35" s="105"/>
      <c r="K35" s="106"/>
      <c r="L35" s="84"/>
      <c r="M35" s="85"/>
      <c r="N35" s="85"/>
      <c r="O35" s="85" t="s">
        <v>635</v>
      </c>
      <c r="P35" s="85"/>
      <c r="Q35" s="85"/>
      <c r="R35" s="85"/>
      <c r="S35" s="96"/>
      <c r="T35" s="85"/>
      <c r="U35" s="85"/>
      <c r="V35" s="85"/>
      <c r="W35" s="85"/>
      <c r="X35" s="85"/>
      <c r="Y35" s="85"/>
      <c r="Z35" s="85"/>
      <c r="AA35" s="85"/>
      <c r="AB35" s="96"/>
      <c r="AC35" s="85"/>
      <c r="AD35" s="85"/>
      <c r="AE35" s="85"/>
      <c r="AF35" s="85"/>
      <c r="AG35" s="85"/>
      <c r="AH35" s="85"/>
      <c r="AI35" s="130" t="s">
        <v>642</v>
      </c>
      <c r="AJ35" s="85"/>
      <c r="AK35" s="85"/>
      <c r="AL35" s="85"/>
      <c r="AM35" s="85"/>
      <c r="AN35" s="85"/>
      <c r="AO35" s="85"/>
      <c r="AP35" s="85"/>
      <c r="AQ35" s="85" t="s">
        <v>643</v>
      </c>
      <c r="AR35" s="128"/>
      <c r="AS35" s="67"/>
    </row>
    <row r="36" spans="1:45" ht="15">
      <c r="A36" s="163"/>
      <c r="B36" s="164"/>
      <c r="C36" s="165"/>
      <c r="D36" s="166"/>
      <c r="E36" s="167"/>
      <c r="F36" s="167"/>
      <c r="G36" s="167"/>
      <c r="H36" s="167"/>
      <c r="I36" s="168"/>
      <c r="J36" s="169"/>
      <c r="K36" s="170"/>
      <c r="L36" s="124" t="s">
        <v>285</v>
      </c>
      <c r="M36" s="112" t="s">
        <v>382</v>
      </c>
      <c r="N36" s="620" t="s">
        <v>420</v>
      </c>
      <c r="O36" s="613"/>
      <c r="P36" s="112" t="s">
        <v>402</v>
      </c>
      <c r="Q36" s="112" t="s">
        <v>385</v>
      </c>
      <c r="R36" s="112"/>
      <c r="S36" s="116"/>
      <c r="T36" s="112" t="s">
        <v>402</v>
      </c>
      <c r="U36" s="112" t="s">
        <v>402</v>
      </c>
      <c r="V36" s="112" t="s">
        <v>402</v>
      </c>
      <c r="W36" s="112" t="s">
        <v>402</v>
      </c>
      <c r="X36" s="112" t="s">
        <v>402</v>
      </c>
      <c r="Y36" s="112" t="s">
        <v>402</v>
      </c>
      <c r="Z36" s="112" t="s">
        <v>402</v>
      </c>
      <c r="AA36" s="112" t="s">
        <v>402</v>
      </c>
      <c r="AB36" s="116"/>
      <c r="AC36" s="112"/>
      <c r="AD36" s="120" t="s">
        <v>635</v>
      </c>
      <c r="AE36" s="112" t="s">
        <v>385</v>
      </c>
      <c r="AF36" s="112" t="s">
        <v>385</v>
      </c>
      <c r="AG36" s="112" t="s">
        <v>385</v>
      </c>
      <c r="AH36" s="120" t="s">
        <v>637</v>
      </c>
      <c r="AI36" s="132" t="s">
        <v>642</v>
      </c>
      <c r="AJ36" s="112" t="s">
        <v>639</v>
      </c>
      <c r="AK36" s="112" t="s">
        <v>402</v>
      </c>
      <c r="AL36" s="112" t="s">
        <v>385</v>
      </c>
      <c r="AM36" s="112"/>
      <c r="AN36" s="112"/>
      <c r="AO36" s="112"/>
      <c r="AP36" s="112"/>
      <c r="AQ36" s="112" t="s">
        <v>643</v>
      </c>
      <c r="AR36" s="139"/>
      <c r="AS36" s="140"/>
    </row>
    <row r="37" spans="1:45" ht="29">
      <c r="A37" s="103"/>
      <c r="B37" s="70" t="s">
        <v>356</v>
      </c>
      <c r="C37" s="72">
        <v>43433</v>
      </c>
      <c r="D37" s="74" t="s">
        <v>363</v>
      </c>
      <c r="E37" s="76">
        <v>43572</v>
      </c>
      <c r="F37" s="78" t="s">
        <v>360</v>
      </c>
      <c r="G37" s="76">
        <v>43579</v>
      </c>
      <c r="H37" s="78" t="s">
        <v>355</v>
      </c>
      <c r="I37" s="129" t="s">
        <v>647</v>
      </c>
      <c r="J37" s="105" t="s">
        <v>109</v>
      </c>
      <c r="K37" s="126" t="s">
        <v>368</v>
      </c>
      <c r="L37" s="84" t="s">
        <v>648</v>
      </c>
      <c r="M37" s="85" t="s">
        <v>382</v>
      </c>
      <c r="N37" s="91" t="s">
        <v>421</v>
      </c>
      <c r="O37" s="85"/>
      <c r="P37" s="85" t="s">
        <v>402</v>
      </c>
      <c r="Q37" s="85" t="s">
        <v>385</v>
      </c>
      <c r="R37" s="85" t="s">
        <v>402</v>
      </c>
      <c r="S37" s="96"/>
      <c r="T37" s="85" t="s">
        <v>402</v>
      </c>
      <c r="U37" s="85" t="s">
        <v>402</v>
      </c>
      <c r="V37" s="85" t="s">
        <v>385</v>
      </c>
      <c r="W37" s="85" t="s">
        <v>355</v>
      </c>
      <c r="X37" s="85" t="s">
        <v>355</v>
      </c>
      <c r="Y37" s="85" t="s">
        <v>355</v>
      </c>
      <c r="Z37" s="85" t="s">
        <v>355</v>
      </c>
      <c r="AA37" s="85" t="s">
        <v>355</v>
      </c>
      <c r="AB37" s="96"/>
      <c r="AC37" s="85" t="s">
        <v>402</v>
      </c>
      <c r="AD37" s="91" t="s">
        <v>421</v>
      </c>
      <c r="AE37" s="85" t="s">
        <v>385</v>
      </c>
      <c r="AF37" s="85" t="s">
        <v>385</v>
      </c>
      <c r="AG37" s="85" t="s">
        <v>385</v>
      </c>
      <c r="AH37" s="96"/>
      <c r="AI37" s="130" t="s">
        <v>652</v>
      </c>
      <c r="AJ37" s="133" t="s">
        <v>402</v>
      </c>
      <c r="AK37" s="641"/>
      <c r="AL37" s="133" t="s">
        <v>355</v>
      </c>
      <c r="AM37" s="85" t="s">
        <v>402</v>
      </c>
      <c r="AN37" s="85" t="s">
        <v>402</v>
      </c>
      <c r="AO37" s="85" t="s">
        <v>402</v>
      </c>
      <c r="AP37" s="85" t="s">
        <v>402</v>
      </c>
      <c r="AQ37" s="180"/>
      <c r="AR37" s="128" t="s">
        <v>453</v>
      </c>
      <c r="AS37" s="67"/>
    </row>
    <row r="38" spans="1:45" ht="15">
      <c r="A38" s="103"/>
      <c r="B38" s="70"/>
      <c r="C38" s="72"/>
      <c r="D38" s="74"/>
      <c r="E38" s="104"/>
      <c r="F38" s="104"/>
      <c r="G38" s="104"/>
      <c r="H38" s="104"/>
      <c r="I38" s="129"/>
      <c r="J38" s="105"/>
      <c r="K38" s="106"/>
      <c r="L38" s="84"/>
      <c r="M38" s="85"/>
      <c r="N38" s="85"/>
      <c r="O38" s="85"/>
      <c r="P38" s="85"/>
      <c r="Q38" s="85"/>
      <c r="R38" s="85"/>
      <c r="S38" s="96"/>
      <c r="T38" s="85"/>
      <c r="U38" s="85"/>
      <c r="V38" s="85"/>
      <c r="W38" s="85"/>
      <c r="X38" s="85"/>
      <c r="Y38" s="85"/>
      <c r="Z38" s="85"/>
      <c r="AA38" s="85"/>
      <c r="AB38" s="96"/>
      <c r="AC38" s="85"/>
      <c r="AD38" s="85"/>
      <c r="AE38" s="85"/>
      <c r="AF38" s="85"/>
      <c r="AG38" s="85"/>
      <c r="AH38" s="96"/>
      <c r="AI38" s="133" t="s">
        <v>530</v>
      </c>
      <c r="AJ38" s="85"/>
      <c r="AK38" s="633"/>
      <c r="AL38" s="85"/>
      <c r="AM38" s="85"/>
      <c r="AN38" s="85"/>
      <c r="AO38" s="85"/>
      <c r="AP38" s="85"/>
      <c r="AQ38" s="96"/>
      <c r="AR38" s="128"/>
      <c r="AS38" s="67"/>
    </row>
    <row r="39" spans="1:45" ht="15">
      <c r="A39" s="163"/>
      <c r="B39" s="164"/>
      <c r="C39" s="165"/>
      <c r="D39" s="166"/>
      <c r="E39" s="167"/>
      <c r="F39" s="167"/>
      <c r="G39" s="167"/>
      <c r="H39" s="167"/>
      <c r="I39" s="168"/>
      <c r="J39" s="169"/>
      <c r="K39" s="170"/>
      <c r="L39" s="124"/>
      <c r="M39" s="112" t="s">
        <v>382</v>
      </c>
      <c r="N39" s="620" t="s">
        <v>421</v>
      </c>
      <c r="O39" s="613"/>
      <c r="P39" s="112"/>
      <c r="Q39" s="112" t="s">
        <v>385</v>
      </c>
      <c r="R39" s="112"/>
      <c r="S39" s="116"/>
      <c r="T39" s="112" t="s">
        <v>402</v>
      </c>
      <c r="U39" s="112" t="s">
        <v>402</v>
      </c>
      <c r="V39" s="112" t="s">
        <v>402</v>
      </c>
      <c r="W39" s="112" t="s">
        <v>402</v>
      </c>
      <c r="X39" s="112" t="s">
        <v>402</v>
      </c>
      <c r="Y39" s="112" t="s">
        <v>402</v>
      </c>
      <c r="Z39" s="112" t="s">
        <v>402</v>
      </c>
      <c r="AA39" s="112" t="s">
        <v>402</v>
      </c>
      <c r="AB39" s="116"/>
      <c r="AC39" s="112"/>
      <c r="AD39" s="120" t="s">
        <v>421</v>
      </c>
      <c r="AE39" s="112" t="s">
        <v>385</v>
      </c>
      <c r="AF39" s="112" t="s">
        <v>385</v>
      </c>
      <c r="AG39" s="112" t="s">
        <v>385</v>
      </c>
      <c r="AH39" s="116"/>
      <c r="AI39" s="181" t="s">
        <v>530</v>
      </c>
      <c r="AJ39" s="181" t="s">
        <v>402</v>
      </c>
      <c r="AK39" s="634"/>
      <c r="AL39" s="181" t="s">
        <v>355</v>
      </c>
      <c r="AM39" s="112"/>
      <c r="AN39" s="112"/>
      <c r="AO39" s="112"/>
      <c r="AP39" s="112"/>
      <c r="AQ39" s="116"/>
      <c r="AR39" s="139"/>
      <c r="AS39" s="140"/>
    </row>
    <row r="40" spans="1:45" ht="29">
      <c r="A40" s="103"/>
      <c r="B40" s="70" t="s">
        <v>356</v>
      </c>
      <c r="C40" s="72">
        <v>43433</v>
      </c>
      <c r="D40" s="74" t="s">
        <v>658</v>
      </c>
      <c r="E40" s="182">
        <v>43569</v>
      </c>
      <c r="F40" s="78" t="s">
        <v>360</v>
      </c>
      <c r="G40" s="76">
        <v>43579</v>
      </c>
      <c r="H40" s="78" t="s">
        <v>355</v>
      </c>
      <c r="I40" s="129" t="s">
        <v>660</v>
      </c>
      <c r="J40" s="105" t="s">
        <v>110</v>
      </c>
      <c r="K40" s="126" t="s">
        <v>368</v>
      </c>
      <c r="L40" s="84" t="s">
        <v>661</v>
      </c>
      <c r="M40" s="85" t="s">
        <v>385</v>
      </c>
      <c r="N40" s="614" t="s">
        <v>662</v>
      </c>
      <c r="O40" s="613"/>
      <c r="P40" s="91" t="s">
        <v>662</v>
      </c>
      <c r="Q40" s="85" t="s">
        <v>385</v>
      </c>
      <c r="R40" s="85" t="s">
        <v>402</v>
      </c>
      <c r="S40" s="96"/>
      <c r="T40" s="85" t="s">
        <v>402</v>
      </c>
      <c r="U40" s="85" t="s">
        <v>402</v>
      </c>
      <c r="V40" s="85" t="s">
        <v>402</v>
      </c>
      <c r="W40" s="85" t="s">
        <v>402</v>
      </c>
      <c r="X40" s="85" t="s">
        <v>402</v>
      </c>
      <c r="Y40" s="85" t="s">
        <v>402</v>
      </c>
      <c r="Z40" s="85" t="s">
        <v>402</v>
      </c>
      <c r="AA40" s="85" t="s">
        <v>402</v>
      </c>
      <c r="AB40" s="96"/>
      <c r="AC40" s="85" t="s">
        <v>402</v>
      </c>
      <c r="AD40" s="85" t="s">
        <v>402</v>
      </c>
      <c r="AE40" s="85" t="s">
        <v>385</v>
      </c>
      <c r="AF40" s="85" t="s">
        <v>385</v>
      </c>
      <c r="AG40" s="85" t="s">
        <v>385</v>
      </c>
      <c r="AH40" s="96"/>
      <c r="AI40" s="183"/>
      <c r="AJ40" s="85" t="s">
        <v>402</v>
      </c>
      <c r="AK40" s="96"/>
      <c r="AL40" s="96"/>
      <c r="AM40" s="85" t="s">
        <v>402</v>
      </c>
      <c r="AN40" s="85" t="s">
        <v>402</v>
      </c>
      <c r="AO40" s="85" t="s">
        <v>402</v>
      </c>
      <c r="AP40" s="85" t="s">
        <v>402</v>
      </c>
      <c r="AQ40" s="85" t="s">
        <v>668</v>
      </c>
      <c r="AR40" s="128" t="s">
        <v>453</v>
      </c>
      <c r="AS40" s="67"/>
    </row>
    <row r="41" spans="1:45" ht="15">
      <c r="A41" s="103"/>
      <c r="B41" s="70"/>
      <c r="C41" s="72"/>
      <c r="D41" s="74"/>
      <c r="E41" s="104"/>
      <c r="F41" s="104"/>
      <c r="G41" s="104"/>
      <c r="H41" s="104"/>
      <c r="I41" s="129"/>
      <c r="J41" s="105"/>
      <c r="K41" s="106"/>
      <c r="L41" s="84"/>
      <c r="M41" s="85" t="s">
        <v>670</v>
      </c>
      <c r="N41" s="91" t="s">
        <v>422</v>
      </c>
      <c r="O41" s="85"/>
      <c r="P41" s="85" t="s">
        <v>671</v>
      </c>
      <c r="Q41" s="85" t="s">
        <v>671</v>
      </c>
      <c r="R41" s="85"/>
      <c r="S41" s="96"/>
      <c r="T41" s="85"/>
      <c r="U41" s="85"/>
      <c r="V41" s="85"/>
      <c r="W41" s="85"/>
      <c r="X41" s="85"/>
      <c r="Y41" s="85"/>
      <c r="Z41" s="85"/>
      <c r="AA41" s="85" t="s">
        <v>672</v>
      </c>
      <c r="AB41" s="96"/>
      <c r="AC41" s="85"/>
      <c r="AD41" s="85"/>
      <c r="AE41" s="85"/>
      <c r="AF41" s="85"/>
      <c r="AG41" s="85"/>
      <c r="AH41" s="85"/>
      <c r="AI41" s="85" t="s">
        <v>385</v>
      </c>
      <c r="AJ41" s="85"/>
      <c r="AK41" s="85" t="s">
        <v>673</v>
      </c>
      <c r="AL41" s="85" t="s">
        <v>385</v>
      </c>
      <c r="AM41" s="85"/>
      <c r="AN41" s="85"/>
      <c r="AO41" s="85"/>
      <c r="AP41" s="85"/>
      <c r="AQ41" s="85"/>
      <c r="AR41" s="128" t="s">
        <v>674</v>
      </c>
      <c r="AS41" s="29" t="s">
        <v>675</v>
      </c>
    </row>
    <row r="42" spans="1:45" ht="15">
      <c r="A42" s="163"/>
      <c r="B42" s="164"/>
      <c r="C42" s="165"/>
      <c r="D42" s="166"/>
      <c r="E42" s="167"/>
      <c r="F42" s="167"/>
      <c r="G42" s="167"/>
      <c r="H42" s="167"/>
      <c r="I42" s="168"/>
      <c r="J42" s="169"/>
      <c r="K42" s="170"/>
      <c r="L42" s="124" t="s">
        <v>286</v>
      </c>
      <c r="M42" s="112" t="s">
        <v>382</v>
      </c>
      <c r="N42" s="120" t="s">
        <v>422</v>
      </c>
      <c r="O42" s="112"/>
      <c r="P42" s="112"/>
      <c r="Q42" s="112" t="s">
        <v>385</v>
      </c>
      <c r="R42" s="112"/>
      <c r="S42" s="116"/>
      <c r="T42" s="112" t="s">
        <v>402</v>
      </c>
      <c r="U42" s="112" t="s">
        <v>402</v>
      </c>
      <c r="V42" s="112" t="s">
        <v>402</v>
      </c>
      <c r="W42" s="112" t="s">
        <v>402</v>
      </c>
      <c r="X42" s="112" t="s">
        <v>402</v>
      </c>
      <c r="Y42" s="112" t="s">
        <v>402</v>
      </c>
      <c r="Z42" s="112" t="s">
        <v>402</v>
      </c>
      <c r="AA42" s="112" t="s">
        <v>402</v>
      </c>
      <c r="AB42" s="116"/>
      <c r="AC42" s="112"/>
      <c r="AD42" s="112"/>
      <c r="AE42" s="112" t="s">
        <v>385</v>
      </c>
      <c r="AF42" s="112" t="s">
        <v>385</v>
      </c>
      <c r="AG42" s="112" t="s">
        <v>385</v>
      </c>
      <c r="AH42" s="112"/>
      <c r="AI42" s="112" t="s">
        <v>385</v>
      </c>
      <c r="AJ42" s="112"/>
      <c r="AK42" s="112" t="s">
        <v>385</v>
      </c>
      <c r="AL42" s="112" t="s">
        <v>385</v>
      </c>
      <c r="AM42" s="112"/>
      <c r="AN42" s="112"/>
      <c r="AO42" s="112"/>
      <c r="AP42" s="112"/>
      <c r="AQ42" s="112" t="s">
        <v>676</v>
      </c>
      <c r="AR42" s="139"/>
      <c r="AS42" s="172"/>
    </row>
    <row r="43" spans="1:45" ht="29">
      <c r="A43" s="103"/>
      <c r="B43" s="70" t="s">
        <v>356</v>
      </c>
      <c r="C43" s="72">
        <v>43434</v>
      </c>
      <c r="D43" s="74" t="s">
        <v>658</v>
      </c>
      <c r="E43" s="182">
        <v>43569</v>
      </c>
      <c r="F43" s="78" t="s">
        <v>360</v>
      </c>
      <c r="G43" s="76">
        <v>43579</v>
      </c>
      <c r="H43" s="78" t="s">
        <v>355</v>
      </c>
      <c r="I43" s="129" t="s">
        <v>677</v>
      </c>
      <c r="J43" s="105" t="s">
        <v>111</v>
      </c>
      <c r="K43" s="126" t="s">
        <v>368</v>
      </c>
      <c r="L43" s="84" t="s">
        <v>287</v>
      </c>
      <c r="M43" s="85" t="s">
        <v>382</v>
      </c>
      <c r="N43" s="614" t="s">
        <v>678</v>
      </c>
      <c r="O43" s="613"/>
      <c r="P43" s="91" t="s">
        <v>679</v>
      </c>
      <c r="Q43" s="85" t="s">
        <v>385</v>
      </c>
      <c r="R43" s="85" t="s">
        <v>402</v>
      </c>
      <c r="S43" s="96"/>
      <c r="T43" s="85" t="s">
        <v>402</v>
      </c>
      <c r="U43" s="85" t="s">
        <v>402</v>
      </c>
      <c r="V43" s="85" t="s">
        <v>402</v>
      </c>
      <c r="W43" s="85" t="s">
        <v>402</v>
      </c>
      <c r="X43" s="85" t="s">
        <v>402</v>
      </c>
      <c r="Y43" s="85" t="s">
        <v>402</v>
      </c>
      <c r="Z43" s="85" t="s">
        <v>402</v>
      </c>
      <c r="AA43" s="85" t="s">
        <v>402</v>
      </c>
      <c r="AB43" s="96"/>
      <c r="AC43" s="85" t="s">
        <v>682</v>
      </c>
      <c r="AD43" s="91" t="s">
        <v>679</v>
      </c>
      <c r="AE43" s="85" t="s">
        <v>354</v>
      </c>
      <c r="AF43" s="85" t="s">
        <v>385</v>
      </c>
      <c r="AG43" s="85" t="s">
        <v>385</v>
      </c>
      <c r="AH43" s="91" t="s">
        <v>683</v>
      </c>
      <c r="AI43" s="85" t="s">
        <v>685</v>
      </c>
      <c r="AJ43" s="110" t="s">
        <v>686</v>
      </c>
      <c r="AK43" s="85" t="s">
        <v>412</v>
      </c>
      <c r="AL43" s="85" t="s">
        <v>354</v>
      </c>
      <c r="AM43" s="85" t="s">
        <v>402</v>
      </c>
      <c r="AN43" s="85" t="s">
        <v>402</v>
      </c>
      <c r="AO43" s="85" t="s">
        <v>402</v>
      </c>
      <c r="AP43" s="85" t="s">
        <v>402</v>
      </c>
      <c r="AQ43" s="96"/>
      <c r="AR43" s="128" t="s">
        <v>453</v>
      </c>
      <c r="AS43" s="67"/>
    </row>
    <row r="44" spans="1:45" ht="15">
      <c r="A44" s="103"/>
      <c r="B44" s="70"/>
      <c r="C44" s="72"/>
      <c r="D44" s="74"/>
      <c r="E44" s="104"/>
      <c r="F44" s="104"/>
      <c r="G44" s="104"/>
      <c r="H44" s="104"/>
      <c r="I44" s="129"/>
      <c r="J44" s="105"/>
      <c r="K44" s="106"/>
      <c r="L44" s="84"/>
      <c r="M44" s="85"/>
      <c r="N44" s="91" t="s">
        <v>424</v>
      </c>
      <c r="O44" s="85"/>
      <c r="P44" s="15" t="s">
        <v>688</v>
      </c>
      <c r="Q44" s="85" t="s">
        <v>689</v>
      </c>
      <c r="R44" s="85"/>
      <c r="S44" s="96"/>
      <c r="T44" s="85"/>
      <c r="U44" s="85"/>
      <c r="V44" s="85"/>
      <c r="W44" s="85"/>
      <c r="X44" s="85"/>
      <c r="Y44" s="85"/>
      <c r="Z44" s="85"/>
      <c r="AA44" s="85"/>
      <c r="AB44" s="96"/>
      <c r="AC44" s="85"/>
      <c r="AD44" s="85"/>
      <c r="AE44" s="85"/>
      <c r="AF44" s="85"/>
      <c r="AG44" s="85"/>
      <c r="AH44" s="15" t="s">
        <v>690</v>
      </c>
      <c r="AI44" s="85" t="s">
        <v>460</v>
      </c>
      <c r="AJ44" s="110" t="s">
        <v>691</v>
      </c>
      <c r="AK44" s="85" t="s">
        <v>402</v>
      </c>
      <c r="AL44" s="85" t="s">
        <v>385</v>
      </c>
      <c r="AM44" s="85"/>
      <c r="AN44" s="85"/>
      <c r="AO44" s="85"/>
      <c r="AP44" s="85"/>
      <c r="AQ44" s="96"/>
      <c r="AR44" s="128" t="s">
        <v>692</v>
      </c>
      <c r="AS44" s="29" t="s">
        <v>693</v>
      </c>
    </row>
    <row r="45" spans="1:45" ht="15">
      <c r="A45" s="163"/>
      <c r="B45" s="164"/>
      <c r="C45" s="165"/>
      <c r="D45" s="166"/>
      <c r="E45" s="167"/>
      <c r="F45" s="167"/>
      <c r="G45" s="167"/>
      <c r="H45" s="167"/>
      <c r="I45" s="168"/>
      <c r="J45" s="169"/>
      <c r="K45" s="170"/>
      <c r="L45" s="124" t="s">
        <v>287</v>
      </c>
      <c r="M45" s="112" t="s">
        <v>382</v>
      </c>
      <c r="N45" s="184" t="s">
        <v>424</v>
      </c>
      <c r="O45" s="112"/>
      <c r="P45" s="171" t="s">
        <v>688</v>
      </c>
      <c r="Q45" s="112" t="s">
        <v>354</v>
      </c>
      <c r="R45" s="112"/>
      <c r="S45" s="116"/>
      <c r="T45" s="112" t="s">
        <v>402</v>
      </c>
      <c r="U45" s="112" t="s">
        <v>402</v>
      </c>
      <c r="V45" s="112" t="s">
        <v>402</v>
      </c>
      <c r="W45" s="112" t="s">
        <v>402</v>
      </c>
      <c r="X45" s="112" t="s">
        <v>402</v>
      </c>
      <c r="Y45" s="112" t="s">
        <v>402</v>
      </c>
      <c r="Z45" s="112" t="s">
        <v>402</v>
      </c>
      <c r="AA45" s="112" t="s">
        <v>402</v>
      </c>
      <c r="AB45" s="116"/>
      <c r="AC45" s="112" t="s">
        <v>682</v>
      </c>
      <c r="AD45" s="120" t="s">
        <v>679</v>
      </c>
      <c r="AE45" s="112" t="s">
        <v>354</v>
      </c>
      <c r="AF45" s="112" t="s">
        <v>385</v>
      </c>
      <c r="AG45" s="112" t="s">
        <v>385</v>
      </c>
      <c r="AH45" s="171" t="s">
        <v>690</v>
      </c>
      <c r="AI45" s="112" t="s">
        <v>460</v>
      </c>
      <c r="AJ45" s="122" t="s">
        <v>691</v>
      </c>
      <c r="AK45" s="112" t="s">
        <v>412</v>
      </c>
      <c r="AL45" s="112" t="s">
        <v>385</v>
      </c>
      <c r="AM45" s="112"/>
      <c r="AN45" s="112"/>
      <c r="AO45" s="112"/>
      <c r="AP45" s="112"/>
      <c r="AQ45" s="112" t="s">
        <v>695</v>
      </c>
      <c r="AR45" s="139"/>
      <c r="AS45" s="172"/>
    </row>
    <row r="46" spans="1:45" ht="43">
      <c r="A46" s="103"/>
      <c r="B46" s="70" t="s">
        <v>356</v>
      </c>
      <c r="C46" s="72">
        <v>43434</v>
      </c>
      <c r="D46" s="74" t="s">
        <v>658</v>
      </c>
      <c r="E46" s="182">
        <v>43569</v>
      </c>
      <c r="F46" s="78" t="s">
        <v>360</v>
      </c>
      <c r="G46" s="76">
        <v>43579</v>
      </c>
      <c r="H46" s="78" t="s">
        <v>355</v>
      </c>
      <c r="I46" s="129" t="s">
        <v>696</v>
      </c>
      <c r="J46" s="105" t="s">
        <v>112</v>
      </c>
      <c r="K46" s="126" t="s">
        <v>469</v>
      </c>
      <c r="L46" s="84" t="s">
        <v>283</v>
      </c>
      <c r="M46" s="85" t="s">
        <v>546</v>
      </c>
      <c r="N46" s="614" t="s">
        <v>697</v>
      </c>
      <c r="O46" s="613"/>
      <c r="P46" s="85" t="s">
        <v>402</v>
      </c>
      <c r="Q46" s="85" t="s">
        <v>385</v>
      </c>
      <c r="R46" s="85" t="s">
        <v>402</v>
      </c>
      <c r="S46" s="96"/>
      <c r="T46" s="85" t="s">
        <v>402</v>
      </c>
      <c r="U46" s="85" t="s">
        <v>402</v>
      </c>
      <c r="V46" s="85" t="s">
        <v>402</v>
      </c>
      <c r="W46" s="85" t="s">
        <v>402</v>
      </c>
      <c r="X46" s="85" t="s">
        <v>402</v>
      </c>
      <c r="Y46" s="85" t="s">
        <v>402</v>
      </c>
      <c r="Z46" s="85" t="s">
        <v>402</v>
      </c>
      <c r="AA46" s="85" t="s">
        <v>402</v>
      </c>
      <c r="AB46" s="96"/>
      <c r="AC46" s="85" t="s">
        <v>402</v>
      </c>
      <c r="AD46" s="85" t="s">
        <v>402</v>
      </c>
      <c r="AE46" s="85" t="s">
        <v>402</v>
      </c>
      <c r="AF46" s="85" t="s">
        <v>402</v>
      </c>
      <c r="AG46" s="85" t="s">
        <v>402</v>
      </c>
      <c r="AH46" s="91" t="s">
        <v>700</v>
      </c>
      <c r="AI46" s="185" t="s">
        <v>702</v>
      </c>
      <c r="AJ46" s="186" t="s">
        <v>402</v>
      </c>
      <c r="AK46" s="185" t="s">
        <v>704</v>
      </c>
      <c r="AL46" s="187" t="s">
        <v>705</v>
      </c>
      <c r="AM46" s="185" t="s">
        <v>706</v>
      </c>
      <c r="AN46" s="85" t="s">
        <v>707</v>
      </c>
      <c r="AO46" s="85" t="s">
        <v>402</v>
      </c>
      <c r="AP46" s="85" t="s">
        <v>402</v>
      </c>
      <c r="AQ46" s="85" t="s">
        <v>708</v>
      </c>
      <c r="AR46" s="128" t="s">
        <v>453</v>
      </c>
      <c r="AS46" s="67"/>
    </row>
    <row r="47" spans="1:45" ht="13">
      <c r="A47" s="103"/>
      <c r="B47" s="70"/>
      <c r="C47" s="72"/>
      <c r="D47" s="74"/>
      <c r="E47" s="104"/>
      <c r="F47" s="104"/>
      <c r="G47" s="104"/>
      <c r="H47" s="104"/>
      <c r="I47" s="129"/>
      <c r="J47" s="105"/>
      <c r="K47" s="106"/>
      <c r="L47" s="84"/>
      <c r="M47" s="85" t="s">
        <v>374</v>
      </c>
      <c r="N47" s="15" t="s">
        <v>709</v>
      </c>
      <c r="O47" s="85"/>
      <c r="P47" s="15" t="s">
        <v>710</v>
      </c>
      <c r="Q47" s="85"/>
      <c r="R47" s="85"/>
      <c r="S47" s="96"/>
      <c r="T47" s="85"/>
      <c r="U47" s="85"/>
      <c r="V47" s="85"/>
      <c r="W47" s="85"/>
      <c r="X47" s="85"/>
      <c r="Y47" s="85"/>
      <c r="Z47" s="85"/>
      <c r="AA47" s="85"/>
      <c r="AB47" s="96"/>
      <c r="AC47" s="85"/>
      <c r="AD47" s="85"/>
      <c r="AE47" s="85"/>
      <c r="AF47" s="85"/>
      <c r="AG47" s="85"/>
      <c r="AH47" s="15" t="s">
        <v>697</v>
      </c>
      <c r="AI47" s="85" t="s">
        <v>460</v>
      </c>
      <c r="AJ47" s="186" t="s">
        <v>712</v>
      </c>
      <c r="AK47" s="185" t="s">
        <v>412</v>
      </c>
      <c r="AL47" s="187" t="s">
        <v>385</v>
      </c>
      <c r="AM47" s="185" t="s">
        <v>713</v>
      </c>
      <c r="AN47" s="85" t="s">
        <v>714</v>
      </c>
      <c r="AO47" s="85"/>
      <c r="AP47" s="85"/>
      <c r="AQ47" s="85"/>
      <c r="AR47" s="128" t="s">
        <v>715</v>
      </c>
      <c r="AS47" s="130" t="s">
        <v>716</v>
      </c>
    </row>
    <row r="48" spans="1:45" ht="13">
      <c r="A48" s="163"/>
      <c r="B48" s="164"/>
      <c r="C48" s="165"/>
      <c r="D48" s="166"/>
      <c r="E48" s="167"/>
      <c r="F48" s="167"/>
      <c r="G48" s="167"/>
      <c r="H48" s="167"/>
      <c r="I48" s="168"/>
      <c r="J48" s="169"/>
      <c r="K48" s="170"/>
      <c r="L48" s="124" t="s">
        <v>283</v>
      </c>
      <c r="M48" s="112" t="s">
        <v>374</v>
      </c>
      <c r="N48" s="131" t="s">
        <v>425</v>
      </c>
      <c r="O48" s="112"/>
      <c r="P48" s="131"/>
      <c r="Q48" s="112" t="s">
        <v>385</v>
      </c>
      <c r="R48" s="112"/>
      <c r="S48" s="116"/>
      <c r="T48" s="112" t="s">
        <v>402</v>
      </c>
      <c r="U48" s="112" t="s">
        <v>402</v>
      </c>
      <c r="V48" s="112" t="s">
        <v>402</v>
      </c>
      <c r="W48" s="112" t="s">
        <v>402</v>
      </c>
      <c r="X48" s="112" t="s">
        <v>402</v>
      </c>
      <c r="Y48" s="112" t="s">
        <v>402</v>
      </c>
      <c r="Z48" s="112" t="s">
        <v>402</v>
      </c>
      <c r="AA48" s="112" t="s">
        <v>402</v>
      </c>
      <c r="AB48" s="116"/>
      <c r="AC48" s="112"/>
      <c r="AD48" s="112"/>
      <c r="AE48" s="112" t="s">
        <v>385</v>
      </c>
      <c r="AF48" s="112" t="s">
        <v>385</v>
      </c>
      <c r="AG48" s="112" t="s">
        <v>385</v>
      </c>
      <c r="AH48" s="171" t="s">
        <v>697</v>
      </c>
      <c r="AI48" s="112" t="s">
        <v>460</v>
      </c>
      <c r="AJ48" s="188" t="s">
        <v>712</v>
      </c>
      <c r="AK48" s="189" t="s">
        <v>412</v>
      </c>
      <c r="AL48" s="190" t="s">
        <v>385</v>
      </c>
      <c r="AM48" s="189" t="s">
        <v>713</v>
      </c>
      <c r="AN48" s="112"/>
      <c r="AO48" s="112"/>
      <c r="AP48" s="112"/>
      <c r="AQ48" s="112" t="s">
        <v>708</v>
      </c>
      <c r="AR48" s="139"/>
      <c r="AS48" s="132"/>
    </row>
    <row r="49" spans="1:45" ht="15">
      <c r="A49" s="103"/>
      <c r="B49" s="70" t="s">
        <v>356</v>
      </c>
      <c r="C49" s="72">
        <v>43434</v>
      </c>
      <c r="D49" s="74" t="s">
        <v>658</v>
      </c>
      <c r="E49" s="182">
        <v>43569</v>
      </c>
      <c r="F49" s="78" t="s">
        <v>360</v>
      </c>
      <c r="G49" s="76">
        <v>43580</v>
      </c>
      <c r="H49" s="78" t="s">
        <v>355</v>
      </c>
      <c r="I49" s="129" t="s">
        <v>719</v>
      </c>
      <c r="J49" s="105" t="s">
        <v>113</v>
      </c>
      <c r="K49" s="106"/>
      <c r="L49" s="84" t="s">
        <v>288</v>
      </c>
      <c r="M49" s="85" t="s">
        <v>374</v>
      </c>
      <c r="N49" s="614" t="s">
        <v>426</v>
      </c>
      <c r="O49" s="613"/>
      <c r="P49" s="91" t="s">
        <v>426</v>
      </c>
      <c r="Q49" s="85" t="s">
        <v>385</v>
      </c>
      <c r="R49" s="85" t="s">
        <v>402</v>
      </c>
      <c r="S49" s="96"/>
      <c r="T49" s="85" t="s">
        <v>355</v>
      </c>
      <c r="U49" s="85" t="s">
        <v>385</v>
      </c>
      <c r="V49" s="85" t="s">
        <v>355</v>
      </c>
      <c r="W49" s="85" t="s">
        <v>355</v>
      </c>
      <c r="X49" s="85" t="s">
        <v>355</v>
      </c>
      <c r="Y49" s="85" t="s">
        <v>403</v>
      </c>
      <c r="Z49" s="85" t="s">
        <v>355</v>
      </c>
      <c r="AA49" s="85" t="s">
        <v>355</v>
      </c>
      <c r="AB49" s="96"/>
      <c r="AC49" s="191" t="s">
        <v>720</v>
      </c>
      <c r="AD49" s="91" t="s">
        <v>426</v>
      </c>
      <c r="AE49" s="85" t="s">
        <v>355</v>
      </c>
      <c r="AF49" s="85" t="s">
        <v>355</v>
      </c>
      <c r="AG49" s="85" t="s">
        <v>355</v>
      </c>
      <c r="AH49" s="91" t="s">
        <v>426</v>
      </c>
      <c r="AI49" s="85" t="s">
        <v>530</v>
      </c>
      <c r="AJ49" s="185" t="s">
        <v>402</v>
      </c>
      <c r="AK49" s="85" t="s">
        <v>412</v>
      </c>
      <c r="AL49" s="85" t="s">
        <v>355</v>
      </c>
      <c r="AM49" s="85" t="s">
        <v>402</v>
      </c>
      <c r="AN49" s="85" t="s">
        <v>529</v>
      </c>
      <c r="AO49" s="85" t="s">
        <v>402</v>
      </c>
      <c r="AP49" s="85" t="s">
        <v>402</v>
      </c>
      <c r="AQ49" s="85" t="s">
        <v>722</v>
      </c>
      <c r="AR49" s="128" t="s">
        <v>453</v>
      </c>
      <c r="AS49" s="67"/>
    </row>
    <row r="50" spans="1:45" ht="15">
      <c r="A50" s="103"/>
      <c r="B50" s="70"/>
      <c r="C50" s="72"/>
      <c r="D50" s="74"/>
      <c r="E50" s="104"/>
      <c r="F50" s="104"/>
      <c r="G50" s="104"/>
      <c r="H50" s="104"/>
      <c r="I50" s="129"/>
      <c r="J50" s="105"/>
      <c r="K50" s="106"/>
      <c r="L50" s="84"/>
      <c r="M50" s="85"/>
      <c r="N50" s="85"/>
      <c r="O50" s="85"/>
      <c r="P50" s="85"/>
      <c r="Q50" s="85"/>
      <c r="R50" s="85"/>
      <c r="S50" s="96"/>
      <c r="T50" s="85"/>
      <c r="U50" s="85" t="s">
        <v>402</v>
      </c>
      <c r="V50" s="85"/>
      <c r="W50" s="85"/>
      <c r="X50" s="85"/>
      <c r="Y50" s="85"/>
      <c r="Z50" s="85"/>
      <c r="AA50" s="85"/>
      <c r="AB50" s="96"/>
      <c r="AC50" s="191"/>
      <c r="AD50" s="85"/>
      <c r="AE50" s="85"/>
      <c r="AF50" s="85"/>
      <c r="AG50" s="85"/>
      <c r="AH50" s="85"/>
      <c r="AI50" s="85"/>
      <c r="AJ50" s="185"/>
      <c r="AK50" s="85" t="s">
        <v>723</v>
      </c>
      <c r="AL50" s="85" t="s">
        <v>385</v>
      </c>
      <c r="AM50" s="85" t="s">
        <v>724</v>
      </c>
      <c r="AN50" s="85"/>
      <c r="AO50" s="85"/>
      <c r="AP50" s="85"/>
      <c r="AQ50" s="85"/>
      <c r="AR50" s="128" t="s">
        <v>725</v>
      </c>
      <c r="AS50" s="29" t="s">
        <v>726</v>
      </c>
    </row>
    <row r="51" spans="1:45" ht="15">
      <c r="A51" s="163"/>
      <c r="B51" s="164"/>
      <c r="C51" s="165"/>
      <c r="D51" s="166"/>
      <c r="E51" s="167"/>
      <c r="F51" s="167"/>
      <c r="G51" s="167"/>
      <c r="H51" s="167"/>
      <c r="I51" s="168"/>
      <c r="J51" s="169"/>
      <c r="K51" s="170"/>
      <c r="L51" s="124" t="s">
        <v>288</v>
      </c>
      <c r="M51" s="112" t="s">
        <v>374</v>
      </c>
      <c r="N51" s="620" t="s">
        <v>426</v>
      </c>
      <c r="O51" s="613"/>
      <c r="P51" s="120" t="s">
        <v>426</v>
      </c>
      <c r="Q51" s="112" t="s">
        <v>385</v>
      </c>
      <c r="R51" s="112"/>
      <c r="S51" s="116"/>
      <c r="T51" s="112" t="s">
        <v>402</v>
      </c>
      <c r="U51" s="112" t="s">
        <v>402</v>
      </c>
      <c r="V51" s="112" t="s">
        <v>402</v>
      </c>
      <c r="W51" s="112" t="s">
        <v>402</v>
      </c>
      <c r="X51" s="112" t="s">
        <v>402</v>
      </c>
      <c r="Y51" s="112" t="s">
        <v>403</v>
      </c>
      <c r="Z51" s="112" t="s">
        <v>402</v>
      </c>
      <c r="AA51" s="112" t="s">
        <v>402</v>
      </c>
      <c r="AB51" s="116"/>
      <c r="AC51" s="192" t="s">
        <v>720</v>
      </c>
      <c r="AD51" s="120" t="s">
        <v>426</v>
      </c>
      <c r="AE51" s="112" t="s">
        <v>355</v>
      </c>
      <c r="AF51" s="112" t="s">
        <v>355</v>
      </c>
      <c r="AG51" s="112" t="s">
        <v>355</v>
      </c>
      <c r="AH51" s="120" t="s">
        <v>426</v>
      </c>
      <c r="AI51" s="112" t="s">
        <v>530</v>
      </c>
      <c r="AJ51" s="189"/>
      <c r="AK51" s="132" t="s">
        <v>727</v>
      </c>
      <c r="AL51" s="112" t="s">
        <v>385</v>
      </c>
      <c r="AM51" s="112"/>
      <c r="AN51" s="112"/>
      <c r="AO51" s="112"/>
      <c r="AP51" s="112"/>
      <c r="AQ51" s="132" t="s">
        <v>728</v>
      </c>
      <c r="AR51" s="139"/>
      <c r="AS51" s="172"/>
    </row>
    <row r="52" spans="1:45" ht="15">
      <c r="A52" s="103"/>
      <c r="B52" s="70" t="s">
        <v>356</v>
      </c>
      <c r="C52" s="72">
        <v>43434</v>
      </c>
      <c r="D52" s="74" t="s">
        <v>363</v>
      </c>
      <c r="E52" s="76">
        <v>43566</v>
      </c>
      <c r="F52" s="78" t="s">
        <v>360</v>
      </c>
      <c r="G52" s="76">
        <v>43580</v>
      </c>
      <c r="H52" s="78" t="s">
        <v>355</v>
      </c>
      <c r="I52" s="129" t="s">
        <v>729</v>
      </c>
      <c r="J52" s="105" t="s">
        <v>114</v>
      </c>
      <c r="K52" s="106"/>
      <c r="L52" s="84" t="s">
        <v>289</v>
      </c>
      <c r="M52" s="85" t="s">
        <v>385</v>
      </c>
      <c r="N52" s="91" t="s">
        <v>427</v>
      </c>
      <c r="O52" s="85"/>
      <c r="P52" s="96"/>
      <c r="Q52" s="85" t="s">
        <v>385</v>
      </c>
      <c r="R52" s="85" t="s">
        <v>402</v>
      </c>
      <c r="S52" s="96"/>
      <c r="T52" s="85" t="s">
        <v>402</v>
      </c>
      <c r="U52" s="85" t="s">
        <v>402</v>
      </c>
      <c r="V52" s="85" t="s">
        <v>402</v>
      </c>
      <c r="W52" s="85" t="s">
        <v>402</v>
      </c>
      <c r="X52" s="85" t="s">
        <v>402</v>
      </c>
      <c r="Y52" s="85" t="s">
        <v>402</v>
      </c>
      <c r="Z52" s="85" t="s">
        <v>402</v>
      </c>
      <c r="AA52" s="85" t="s">
        <v>402</v>
      </c>
      <c r="AB52" s="96"/>
      <c r="AC52" s="85" t="s">
        <v>402</v>
      </c>
      <c r="AD52" s="85" t="s">
        <v>402</v>
      </c>
      <c r="AE52" s="85" t="s">
        <v>402</v>
      </c>
      <c r="AF52" s="85" t="s">
        <v>402</v>
      </c>
      <c r="AG52" s="85" t="s">
        <v>402</v>
      </c>
      <c r="AH52" s="107" t="s">
        <v>730</v>
      </c>
      <c r="AI52" s="85" t="s">
        <v>731</v>
      </c>
      <c r="AJ52" s="85" t="s">
        <v>732</v>
      </c>
      <c r="AK52" s="85" t="s">
        <v>733</v>
      </c>
      <c r="AL52" s="85" t="s">
        <v>385</v>
      </c>
      <c r="AM52" s="85" t="s">
        <v>734</v>
      </c>
      <c r="AN52" s="85" t="s">
        <v>735</v>
      </c>
      <c r="AO52" s="85" t="s">
        <v>402</v>
      </c>
      <c r="AP52" s="85" t="s">
        <v>402</v>
      </c>
      <c r="AQ52" s="85" t="s">
        <v>736</v>
      </c>
      <c r="AR52" s="128" t="s">
        <v>453</v>
      </c>
      <c r="AS52" s="29"/>
    </row>
    <row r="53" spans="1:45" ht="68.25" customHeight="1">
      <c r="A53" s="103"/>
      <c r="B53" s="70"/>
      <c r="C53" s="72"/>
      <c r="D53" s="74"/>
      <c r="E53" s="76"/>
      <c r="F53" s="76"/>
      <c r="G53" s="76"/>
      <c r="H53" s="76"/>
      <c r="I53" s="129"/>
      <c r="J53" s="105"/>
      <c r="K53" s="106"/>
      <c r="L53" s="84"/>
      <c r="M53" s="85"/>
      <c r="N53" s="85"/>
      <c r="O53" s="85"/>
      <c r="P53" s="96"/>
      <c r="Q53" s="85"/>
      <c r="R53" s="85"/>
      <c r="S53" s="96"/>
      <c r="T53" s="85"/>
      <c r="U53" s="85"/>
      <c r="V53" s="85"/>
      <c r="W53" s="85"/>
      <c r="X53" s="85"/>
      <c r="Y53" s="85"/>
      <c r="Z53" s="85"/>
      <c r="AA53" s="85"/>
      <c r="AB53" s="96"/>
      <c r="AC53" s="85"/>
      <c r="AD53" s="85"/>
      <c r="AE53" s="85"/>
      <c r="AF53" s="85"/>
      <c r="AG53" s="85"/>
      <c r="AH53" s="107"/>
      <c r="AI53" s="85" t="s">
        <v>737</v>
      </c>
      <c r="AJ53" s="85" t="s">
        <v>738</v>
      </c>
      <c r="AK53" s="85" t="s">
        <v>739</v>
      </c>
      <c r="AL53" s="85"/>
      <c r="AM53" s="85"/>
      <c r="AN53" s="85" t="s">
        <v>740</v>
      </c>
      <c r="AO53" s="85"/>
      <c r="AP53" s="85"/>
      <c r="AQ53" s="85"/>
      <c r="AR53" s="128"/>
      <c r="AS53" s="29"/>
    </row>
    <row r="54" spans="1:45" ht="15">
      <c r="A54" s="163"/>
      <c r="B54" s="164"/>
      <c r="C54" s="165"/>
      <c r="D54" s="166"/>
      <c r="E54" s="193"/>
      <c r="F54" s="193"/>
      <c r="G54" s="193"/>
      <c r="H54" s="193"/>
      <c r="I54" s="168"/>
      <c r="J54" s="169"/>
      <c r="K54" s="170"/>
      <c r="L54" s="124" t="s">
        <v>289</v>
      </c>
      <c r="M54" s="112" t="s">
        <v>385</v>
      </c>
      <c r="N54" s="120" t="s">
        <v>427</v>
      </c>
      <c r="O54" s="112"/>
      <c r="P54" s="116"/>
      <c r="Q54" s="112" t="s">
        <v>385</v>
      </c>
      <c r="R54" s="112"/>
      <c r="S54" s="116"/>
      <c r="T54" s="112" t="s">
        <v>402</v>
      </c>
      <c r="U54" s="112" t="s">
        <v>402</v>
      </c>
      <c r="V54" s="112" t="s">
        <v>402</v>
      </c>
      <c r="W54" s="112" t="s">
        <v>402</v>
      </c>
      <c r="X54" s="112" t="s">
        <v>402</v>
      </c>
      <c r="Y54" s="112" t="s">
        <v>402</v>
      </c>
      <c r="Z54" s="112" t="s">
        <v>402</v>
      </c>
      <c r="AA54" s="112" t="s">
        <v>402</v>
      </c>
      <c r="AB54" s="116"/>
      <c r="AC54" s="112"/>
      <c r="AD54" s="112"/>
      <c r="AE54" s="112" t="s">
        <v>385</v>
      </c>
      <c r="AF54" s="112" t="s">
        <v>385</v>
      </c>
      <c r="AG54" s="112" t="s">
        <v>385</v>
      </c>
      <c r="AH54" s="113" t="s">
        <v>730</v>
      </c>
      <c r="AI54" s="132" t="s">
        <v>460</v>
      </c>
      <c r="AJ54" s="132" t="s">
        <v>742</v>
      </c>
      <c r="AK54" s="112" t="s">
        <v>733</v>
      </c>
      <c r="AL54" s="112" t="s">
        <v>385</v>
      </c>
      <c r="AM54" s="112"/>
      <c r="AN54" s="112"/>
      <c r="AO54" s="112"/>
      <c r="AP54" s="112"/>
      <c r="AQ54" s="112" t="s">
        <v>736</v>
      </c>
      <c r="AR54" s="139"/>
      <c r="AS54" s="172"/>
    </row>
    <row r="55" spans="1:45" ht="15">
      <c r="A55" s="103"/>
      <c r="B55" s="70" t="s">
        <v>356</v>
      </c>
      <c r="C55" s="72">
        <v>43437</v>
      </c>
      <c r="D55" s="74" t="s">
        <v>363</v>
      </c>
      <c r="E55" s="76">
        <v>43566</v>
      </c>
      <c r="F55" s="78" t="s">
        <v>360</v>
      </c>
      <c r="G55" s="76">
        <v>43580</v>
      </c>
      <c r="H55" s="78" t="s">
        <v>355</v>
      </c>
      <c r="I55" s="129" t="s">
        <v>743</v>
      </c>
      <c r="J55" s="105" t="s">
        <v>115</v>
      </c>
      <c r="K55" s="106"/>
      <c r="L55" s="84" t="s">
        <v>290</v>
      </c>
      <c r="M55" s="85" t="s">
        <v>374</v>
      </c>
      <c r="N55" s="614" t="s">
        <v>428</v>
      </c>
      <c r="O55" s="613"/>
      <c r="P55" s="91" t="s">
        <v>494</v>
      </c>
      <c r="Q55" s="85" t="s">
        <v>385</v>
      </c>
      <c r="R55" s="96"/>
      <c r="S55" s="107" t="s">
        <v>494</v>
      </c>
      <c r="T55" s="85" t="s">
        <v>355</v>
      </c>
      <c r="U55" s="85" t="s">
        <v>404</v>
      </c>
      <c r="V55" s="85" t="s">
        <v>402</v>
      </c>
      <c r="W55" s="85" t="s">
        <v>355</v>
      </c>
      <c r="X55" s="85" t="s">
        <v>355</v>
      </c>
      <c r="Y55" s="85" t="s">
        <v>404</v>
      </c>
      <c r="Z55" s="85" t="s">
        <v>355</v>
      </c>
      <c r="AA55" s="85" t="s">
        <v>355</v>
      </c>
      <c r="AB55" s="96"/>
      <c r="AC55" s="85" t="s">
        <v>744</v>
      </c>
      <c r="AD55" s="91" t="s">
        <v>494</v>
      </c>
      <c r="AE55" s="85" t="s">
        <v>354</v>
      </c>
      <c r="AF55" s="85" t="s">
        <v>385</v>
      </c>
      <c r="AG55" s="85" t="s">
        <v>385</v>
      </c>
      <c r="AH55" s="91" t="s">
        <v>745</v>
      </c>
      <c r="AI55" s="85" t="s">
        <v>529</v>
      </c>
      <c r="AJ55" s="96"/>
      <c r="AK55" s="85" t="s">
        <v>402</v>
      </c>
      <c r="AL55" s="85" t="s">
        <v>355</v>
      </c>
      <c r="AM55" s="85" t="s">
        <v>746</v>
      </c>
      <c r="AN55" s="96"/>
      <c r="AO55" s="85" t="s">
        <v>747</v>
      </c>
      <c r="AP55" s="85" t="s">
        <v>402</v>
      </c>
      <c r="AQ55" s="96"/>
      <c r="AR55" s="128" t="s">
        <v>748</v>
      </c>
      <c r="AS55" s="29"/>
    </row>
    <row r="56" spans="1:45" ht="15">
      <c r="A56" s="103"/>
      <c r="B56" s="70"/>
      <c r="C56" s="72"/>
      <c r="D56" s="74"/>
      <c r="E56" s="76"/>
      <c r="F56" s="76"/>
      <c r="G56" s="76"/>
      <c r="H56" s="76"/>
      <c r="I56" s="129"/>
      <c r="J56" s="105"/>
      <c r="K56" s="106"/>
      <c r="L56" s="84"/>
      <c r="M56" s="85"/>
      <c r="N56" s="85"/>
      <c r="O56" s="85"/>
      <c r="P56" s="85"/>
      <c r="Q56" s="85"/>
      <c r="R56" s="85" t="s">
        <v>749</v>
      </c>
      <c r="S56" s="107"/>
      <c r="T56" s="85"/>
      <c r="U56" s="85" t="s">
        <v>750</v>
      </c>
      <c r="V56" s="85"/>
      <c r="W56" s="85"/>
      <c r="X56" s="85" t="s">
        <v>751</v>
      </c>
      <c r="Y56" s="85" t="s">
        <v>751</v>
      </c>
      <c r="Z56" s="85"/>
      <c r="AA56" s="85"/>
      <c r="AB56" s="96"/>
      <c r="AC56" s="85"/>
      <c r="AD56" s="85"/>
      <c r="AE56" s="85"/>
      <c r="AF56" s="85"/>
      <c r="AG56" s="85"/>
      <c r="AH56" s="85" t="s">
        <v>752</v>
      </c>
      <c r="AI56" s="85" t="s">
        <v>753</v>
      </c>
      <c r="AJ56" s="85" t="s">
        <v>754</v>
      </c>
      <c r="AK56" s="85"/>
      <c r="AL56" s="85"/>
      <c r="AM56" s="85"/>
      <c r="AN56" s="85" t="s">
        <v>755</v>
      </c>
      <c r="AO56" s="85"/>
      <c r="AP56" s="85"/>
      <c r="AQ56" s="96"/>
      <c r="AR56" s="128"/>
      <c r="AS56" s="29"/>
    </row>
    <row r="57" spans="1:45" ht="15">
      <c r="A57" s="163"/>
      <c r="B57" s="164"/>
      <c r="C57" s="165"/>
      <c r="D57" s="166"/>
      <c r="E57" s="193"/>
      <c r="F57" s="193"/>
      <c r="G57" s="193"/>
      <c r="H57" s="193"/>
      <c r="I57" s="168"/>
      <c r="J57" s="169"/>
      <c r="K57" s="170"/>
      <c r="L57" s="124" t="s">
        <v>290</v>
      </c>
      <c r="M57" s="112" t="s">
        <v>374</v>
      </c>
      <c r="N57" s="620" t="s">
        <v>428</v>
      </c>
      <c r="O57" s="613"/>
      <c r="P57" s="120" t="s">
        <v>494</v>
      </c>
      <c r="Q57" s="112" t="s">
        <v>385</v>
      </c>
      <c r="R57" s="132" t="s">
        <v>757</v>
      </c>
      <c r="S57" s="113" t="s">
        <v>494</v>
      </c>
      <c r="T57" s="112" t="s">
        <v>402</v>
      </c>
      <c r="U57" s="112" t="s">
        <v>402</v>
      </c>
      <c r="V57" s="112" t="s">
        <v>402</v>
      </c>
      <c r="W57" s="112" t="s">
        <v>402</v>
      </c>
      <c r="X57" s="112" t="s">
        <v>402</v>
      </c>
      <c r="Y57" s="112" t="s">
        <v>402</v>
      </c>
      <c r="Z57" s="112" t="s">
        <v>402</v>
      </c>
      <c r="AA57" s="112" t="s">
        <v>402</v>
      </c>
      <c r="AB57" s="116"/>
      <c r="AC57" s="112" t="s">
        <v>744</v>
      </c>
      <c r="AD57" s="120" t="s">
        <v>494</v>
      </c>
      <c r="AE57" s="112" t="s">
        <v>354</v>
      </c>
      <c r="AF57" s="112" t="s">
        <v>385</v>
      </c>
      <c r="AG57" s="112" t="s">
        <v>385</v>
      </c>
      <c r="AH57" s="184" t="s">
        <v>758</v>
      </c>
      <c r="AI57" s="132" t="s">
        <v>642</v>
      </c>
      <c r="AJ57" s="132" t="s">
        <v>759</v>
      </c>
      <c r="AK57" s="112" t="s">
        <v>402</v>
      </c>
      <c r="AL57" s="112" t="s">
        <v>355</v>
      </c>
      <c r="AM57" s="112" t="s">
        <v>746</v>
      </c>
      <c r="AN57" s="132" t="s">
        <v>760</v>
      </c>
      <c r="AO57" s="112"/>
      <c r="AP57" s="112"/>
      <c r="AQ57" s="132" t="s">
        <v>753</v>
      </c>
      <c r="AR57" s="139"/>
      <c r="AS57" s="172"/>
    </row>
    <row r="58" spans="1:45" ht="29">
      <c r="A58" s="103"/>
      <c r="B58" s="70" t="s">
        <v>356</v>
      </c>
      <c r="C58" s="72">
        <v>43437</v>
      </c>
      <c r="D58" s="74" t="s">
        <v>363</v>
      </c>
      <c r="E58" s="76">
        <v>43566</v>
      </c>
      <c r="F58" s="78" t="s">
        <v>360</v>
      </c>
      <c r="G58" s="76">
        <v>43580</v>
      </c>
      <c r="H58" s="78" t="s">
        <v>355</v>
      </c>
      <c r="I58" s="129" t="s">
        <v>761</v>
      </c>
      <c r="J58" s="105" t="s">
        <v>116</v>
      </c>
      <c r="K58" s="126" t="s">
        <v>368</v>
      </c>
      <c r="L58" s="84" t="s">
        <v>291</v>
      </c>
      <c r="M58" s="85" t="s">
        <v>382</v>
      </c>
      <c r="N58" s="614" t="s">
        <v>429</v>
      </c>
      <c r="O58" s="613"/>
      <c r="P58" s="107" t="s">
        <v>694</v>
      </c>
      <c r="Q58" s="85" t="s">
        <v>354</v>
      </c>
      <c r="R58" s="85" t="s">
        <v>763</v>
      </c>
      <c r="S58" s="194" t="s">
        <v>764</v>
      </c>
      <c r="T58" s="195" t="s">
        <v>765</v>
      </c>
      <c r="U58" s="195" t="s">
        <v>402</v>
      </c>
      <c r="V58" s="85" t="s">
        <v>402</v>
      </c>
      <c r="W58" s="85" t="s">
        <v>402</v>
      </c>
      <c r="X58" s="85" t="s">
        <v>355</v>
      </c>
      <c r="Y58" s="85" t="s">
        <v>355</v>
      </c>
      <c r="Z58" s="85" t="s">
        <v>355</v>
      </c>
      <c r="AA58" s="85" t="s">
        <v>355</v>
      </c>
      <c r="AB58" s="96"/>
      <c r="AC58" s="85" t="s">
        <v>402</v>
      </c>
      <c r="AD58" s="96"/>
      <c r="AE58" s="85" t="s">
        <v>355</v>
      </c>
      <c r="AF58" s="85" t="s">
        <v>355</v>
      </c>
      <c r="AG58" s="85" t="s">
        <v>385</v>
      </c>
      <c r="AH58" s="107" t="s">
        <v>766</v>
      </c>
      <c r="AI58" s="177" t="s">
        <v>767</v>
      </c>
      <c r="AJ58" s="85" t="s">
        <v>402</v>
      </c>
      <c r="AK58" s="85" t="s">
        <v>402</v>
      </c>
      <c r="AL58" s="85" t="s">
        <v>355</v>
      </c>
      <c r="AM58" s="85" t="s">
        <v>402</v>
      </c>
      <c r="AN58" s="85" t="s">
        <v>768</v>
      </c>
      <c r="AO58" s="85" t="s">
        <v>402</v>
      </c>
      <c r="AP58" s="85" t="s">
        <v>402</v>
      </c>
      <c r="AQ58" s="85" t="s">
        <v>769</v>
      </c>
      <c r="AR58" s="128" t="s">
        <v>453</v>
      </c>
      <c r="AS58" s="29"/>
    </row>
    <row r="59" spans="1:45" ht="15">
      <c r="A59" s="103"/>
      <c r="B59" s="70"/>
      <c r="C59" s="72"/>
      <c r="D59" s="74"/>
      <c r="E59" s="76"/>
      <c r="F59" s="76"/>
      <c r="G59" s="76"/>
      <c r="H59" s="76"/>
      <c r="I59" s="129"/>
      <c r="J59" s="105"/>
      <c r="K59" s="106"/>
      <c r="L59" s="84"/>
      <c r="M59" s="85"/>
      <c r="N59" s="85"/>
      <c r="O59" s="85"/>
      <c r="P59" s="107"/>
      <c r="Q59" s="85"/>
      <c r="R59" s="85"/>
      <c r="S59" s="102"/>
      <c r="T59" s="195" t="s">
        <v>770</v>
      </c>
      <c r="U59" s="195" t="s">
        <v>770</v>
      </c>
      <c r="V59" s="85" t="s">
        <v>770</v>
      </c>
      <c r="W59" s="85" t="s">
        <v>770</v>
      </c>
      <c r="X59" s="85" t="s">
        <v>770</v>
      </c>
      <c r="Y59" s="85" t="s">
        <v>770</v>
      </c>
      <c r="Z59" s="85" t="s">
        <v>770</v>
      </c>
      <c r="AA59" s="85" t="s">
        <v>770</v>
      </c>
      <c r="AB59" s="85" t="s">
        <v>770</v>
      </c>
      <c r="AC59" s="85"/>
      <c r="AD59" s="85"/>
      <c r="AE59" s="85"/>
      <c r="AF59" s="85"/>
      <c r="AG59" s="85"/>
      <c r="AH59" s="107" t="s">
        <v>771</v>
      </c>
      <c r="AI59" s="177" t="s">
        <v>772</v>
      </c>
      <c r="AJ59" s="85"/>
      <c r="AK59" s="85"/>
      <c r="AL59" s="85"/>
      <c r="AM59" s="85"/>
      <c r="AN59" s="85" t="s">
        <v>773</v>
      </c>
      <c r="AO59" s="85"/>
      <c r="AP59" s="85"/>
      <c r="AQ59" s="85"/>
      <c r="AR59" s="128"/>
      <c r="AS59" s="29"/>
    </row>
    <row r="60" spans="1:45" ht="15">
      <c r="A60" s="103"/>
      <c r="B60" s="70"/>
      <c r="C60" s="72"/>
      <c r="D60" s="74"/>
      <c r="E60" s="76"/>
      <c r="F60" s="76"/>
      <c r="G60" s="76"/>
      <c r="H60" s="76"/>
      <c r="I60" s="129"/>
      <c r="J60" s="105"/>
      <c r="K60" s="106"/>
      <c r="L60" s="84" t="s">
        <v>291</v>
      </c>
      <c r="M60" s="85" t="s">
        <v>382</v>
      </c>
      <c r="N60" s="614" t="s">
        <v>429</v>
      </c>
      <c r="O60" s="613"/>
      <c r="P60" s="107" t="s">
        <v>694</v>
      </c>
      <c r="Q60" s="85" t="s">
        <v>354</v>
      </c>
      <c r="R60" s="85" t="s">
        <v>763</v>
      </c>
      <c r="S60" s="194" t="s">
        <v>764</v>
      </c>
      <c r="T60" s="112" t="s">
        <v>402</v>
      </c>
      <c r="U60" s="112" t="s">
        <v>402</v>
      </c>
      <c r="V60" s="112" t="s">
        <v>402</v>
      </c>
      <c r="W60" s="112" t="s">
        <v>402</v>
      </c>
      <c r="X60" s="112" t="s">
        <v>402</v>
      </c>
      <c r="Y60" s="112" t="s">
        <v>402</v>
      </c>
      <c r="Z60" s="112" t="s">
        <v>402</v>
      </c>
      <c r="AA60" s="112" t="s">
        <v>402</v>
      </c>
      <c r="AB60" s="85"/>
      <c r="AC60" s="85"/>
      <c r="AD60" s="85"/>
      <c r="AE60" s="85" t="s">
        <v>385</v>
      </c>
      <c r="AF60" s="85" t="s">
        <v>385</v>
      </c>
      <c r="AG60" s="85" t="s">
        <v>385</v>
      </c>
      <c r="AH60" s="196" t="s">
        <v>774</v>
      </c>
      <c r="AI60" s="177" t="s">
        <v>652</v>
      </c>
      <c r="AJ60" s="85"/>
      <c r="AK60" s="85" t="s">
        <v>402</v>
      </c>
      <c r="AL60" s="85" t="s">
        <v>355</v>
      </c>
      <c r="AM60" s="85"/>
      <c r="AN60" s="85"/>
      <c r="AO60" s="85"/>
      <c r="AP60" s="85" t="s">
        <v>402</v>
      </c>
      <c r="AQ60" s="177" t="s">
        <v>775</v>
      </c>
      <c r="AR60" s="128"/>
      <c r="AS60" s="29"/>
    </row>
    <row r="61" spans="1:45" ht="15">
      <c r="A61" s="103"/>
      <c r="B61" s="70" t="s">
        <v>356</v>
      </c>
      <c r="C61" s="72">
        <v>43437</v>
      </c>
      <c r="D61" s="74" t="s">
        <v>363</v>
      </c>
      <c r="E61" s="76">
        <v>43566</v>
      </c>
      <c r="F61" s="78" t="s">
        <v>360</v>
      </c>
      <c r="G61" s="76">
        <v>43580</v>
      </c>
      <c r="H61" s="78" t="s">
        <v>355</v>
      </c>
      <c r="I61" s="129" t="s">
        <v>776</v>
      </c>
      <c r="J61" s="105" t="s">
        <v>117</v>
      </c>
      <c r="K61" s="106"/>
      <c r="L61" s="84" t="s">
        <v>291</v>
      </c>
      <c r="M61" s="85" t="s">
        <v>374</v>
      </c>
      <c r="N61" s="614" t="s">
        <v>430</v>
      </c>
      <c r="O61" s="613"/>
      <c r="P61" s="107" t="s">
        <v>694</v>
      </c>
      <c r="Q61" s="85" t="s">
        <v>385</v>
      </c>
      <c r="R61" s="85" t="s">
        <v>763</v>
      </c>
      <c r="S61" s="91" t="s">
        <v>764</v>
      </c>
      <c r="T61" s="195" t="s">
        <v>355</v>
      </c>
      <c r="U61" s="195" t="s">
        <v>355</v>
      </c>
      <c r="V61" s="195" t="s">
        <v>355</v>
      </c>
      <c r="W61" s="195" t="s">
        <v>355</v>
      </c>
      <c r="X61" s="85" t="s">
        <v>355</v>
      </c>
      <c r="Y61" s="85" t="s">
        <v>355</v>
      </c>
      <c r="Z61" s="85" t="s">
        <v>355</v>
      </c>
      <c r="AA61" s="85" t="s">
        <v>355</v>
      </c>
      <c r="AB61" s="96"/>
      <c r="AC61" s="85" t="s">
        <v>777</v>
      </c>
      <c r="AD61" s="91" t="s">
        <v>430</v>
      </c>
      <c r="AE61" s="85" t="s">
        <v>355</v>
      </c>
      <c r="AF61" s="85" t="s">
        <v>355</v>
      </c>
      <c r="AG61" s="85" t="s">
        <v>385</v>
      </c>
      <c r="AH61" s="107" t="s">
        <v>766</v>
      </c>
      <c r="AI61" s="177" t="s">
        <v>767</v>
      </c>
      <c r="AJ61" s="85" t="s">
        <v>402</v>
      </c>
      <c r="AK61" s="85" t="s">
        <v>402</v>
      </c>
      <c r="AL61" s="85" t="s">
        <v>355</v>
      </c>
      <c r="AM61" s="85" t="s">
        <v>402</v>
      </c>
      <c r="AN61" s="85" t="s">
        <v>768</v>
      </c>
      <c r="AO61" s="85" t="s">
        <v>402</v>
      </c>
      <c r="AP61" s="85" t="s">
        <v>402</v>
      </c>
      <c r="AQ61" s="85" t="s">
        <v>769</v>
      </c>
      <c r="AR61" s="128" t="s">
        <v>748</v>
      </c>
      <c r="AS61" s="29"/>
    </row>
    <row r="62" spans="1:45" ht="15">
      <c r="A62" s="103"/>
      <c r="B62" s="70"/>
      <c r="C62" s="72"/>
      <c r="D62" s="74"/>
      <c r="E62" s="76"/>
      <c r="F62" s="76"/>
      <c r="G62" s="76"/>
      <c r="H62" s="76"/>
      <c r="I62" s="129"/>
      <c r="J62" s="105"/>
      <c r="K62" s="106"/>
      <c r="L62" s="84"/>
      <c r="M62" s="85"/>
      <c r="N62" s="85"/>
      <c r="O62" s="85"/>
      <c r="P62" s="107"/>
      <c r="Q62" s="85"/>
      <c r="R62" s="85"/>
      <c r="S62" s="85"/>
      <c r="T62" s="85" t="s">
        <v>770</v>
      </c>
      <c r="U62" s="85" t="s">
        <v>770</v>
      </c>
      <c r="V62" s="85" t="s">
        <v>770</v>
      </c>
      <c r="W62" s="85" t="s">
        <v>770</v>
      </c>
      <c r="X62" s="85" t="s">
        <v>770</v>
      </c>
      <c r="Y62" s="85" t="s">
        <v>770</v>
      </c>
      <c r="Z62" s="85" t="s">
        <v>770</v>
      </c>
      <c r="AA62" s="85" t="s">
        <v>770</v>
      </c>
      <c r="AB62" s="85" t="s">
        <v>770</v>
      </c>
      <c r="AC62" s="85"/>
      <c r="AD62" s="85"/>
      <c r="AE62" s="85"/>
      <c r="AF62" s="85"/>
      <c r="AG62" s="85"/>
      <c r="AH62" s="107" t="s">
        <v>771</v>
      </c>
      <c r="AI62" s="177" t="s">
        <v>772</v>
      </c>
      <c r="AJ62" s="85"/>
      <c r="AK62" s="85"/>
      <c r="AL62" s="85"/>
      <c r="AM62" s="85"/>
      <c r="AN62" s="85" t="s">
        <v>773</v>
      </c>
      <c r="AO62" s="85"/>
      <c r="AP62" s="85"/>
      <c r="AQ62" s="85"/>
      <c r="AR62" s="128"/>
      <c r="AS62" s="29"/>
    </row>
    <row r="63" spans="1:45" ht="15">
      <c r="A63" s="103"/>
      <c r="B63" s="70"/>
      <c r="C63" s="72"/>
      <c r="D63" s="74"/>
      <c r="E63" s="76"/>
      <c r="F63" s="76"/>
      <c r="G63" s="76"/>
      <c r="H63" s="76"/>
      <c r="I63" s="129"/>
      <c r="J63" s="105"/>
      <c r="K63" s="106"/>
      <c r="L63" s="84" t="s">
        <v>291</v>
      </c>
      <c r="M63" s="85" t="s">
        <v>374</v>
      </c>
      <c r="N63" s="614" t="s">
        <v>430</v>
      </c>
      <c r="O63" s="613"/>
      <c r="P63" s="107" t="s">
        <v>694</v>
      </c>
      <c r="Q63" s="85" t="s">
        <v>385</v>
      </c>
      <c r="R63" s="85" t="s">
        <v>763</v>
      </c>
      <c r="S63" s="91" t="s">
        <v>764</v>
      </c>
      <c r="T63" s="85" t="s">
        <v>402</v>
      </c>
      <c r="U63" s="85" t="s">
        <v>402</v>
      </c>
      <c r="V63" s="85" t="s">
        <v>402</v>
      </c>
      <c r="W63" s="85" t="s">
        <v>402</v>
      </c>
      <c r="X63" s="85" t="s">
        <v>402</v>
      </c>
      <c r="Y63" s="85" t="s">
        <v>402</v>
      </c>
      <c r="Z63" s="85" t="s">
        <v>402</v>
      </c>
      <c r="AA63" s="85" t="s">
        <v>402</v>
      </c>
      <c r="AB63" s="85"/>
      <c r="AC63" s="85"/>
      <c r="AD63" s="85"/>
      <c r="AE63" s="85" t="s">
        <v>385</v>
      </c>
      <c r="AF63" s="85" t="s">
        <v>385</v>
      </c>
      <c r="AG63" s="85" t="s">
        <v>385</v>
      </c>
      <c r="AH63" s="196" t="s">
        <v>774</v>
      </c>
      <c r="AI63" s="177" t="s">
        <v>652</v>
      </c>
      <c r="AJ63" s="85"/>
      <c r="AK63" s="85" t="s">
        <v>402</v>
      </c>
      <c r="AL63" s="85" t="s">
        <v>355</v>
      </c>
      <c r="AM63" s="85"/>
      <c r="AN63" s="85"/>
      <c r="AO63" s="85"/>
      <c r="AP63" s="85"/>
      <c r="AQ63" s="85" t="s">
        <v>769</v>
      </c>
      <c r="AR63" s="128"/>
      <c r="AS63" s="29"/>
    </row>
    <row r="64" spans="1:45" ht="42">
      <c r="A64" s="68"/>
      <c r="B64" s="70" t="s">
        <v>356</v>
      </c>
      <c r="C64" s="72">
        <v>43437</v>
      </c>
      <c r="D64" s="74" t="s">
        <v>782</v>
      </c>
      <c r="E64" s="76">
        <v>43579</v>
      </c>
      <c r="F64" s="78" t="s">
        <v>363</v>
      </c>
      <c r="G64" s="76">
        <v>43583</v>
      </c>
      <c r="H64" s="78" t="s">
        <v>784</v>
      </c>
      <c r="I64" s="125" t="s">
        <v>785</v>
      </c>
      <c r="J64" s="82" t="s">
        <v>118</v>
      </c>
      <c r="K64" s="126" t="s">
        <v>786</v>
      </c>
      <c r="L64" s="197" t="s">
        <v>289</v>
      </c>
      <c r="M64" s="198" t="s">
        <v>382</v>
      </c>
      <c r="N64" s="624" t="s">
        <v>431</v>
      </c>
      <c r="O64" s="613"/>
      <c r="P64" s="200"/>
      <c r="Q64" s="198" t="s">
        <v>385</v>
      </c>
      <c r="R64" s="198" t="s">
        <v>402</v>
      </c>
      <c r="S64" s="200"/>
      <c r="T64" s="198" t="s">
        <v>355</v>
      </c>
      <c r="U64" s="198" t="s">
        <v>402</v>
      </c>
      <c r="V64" s="198" t="s">
        <v>355</v>
      </c>
      <c r="W64" s="198" t="s">
        <v>355</v>
      </c>
      <c r="X64" s="198" t="s">
        <v>355</v>
      </c>
      <c r="Y64" s="198" t="s">
        <v>355</v>
      </c>
      <c r="Z64" s="198" t="s">
        <v>355</v>
      </c>
      <c r="AA64" s="198" t="s">
        <v>404</v>
      </c>
      <c r="AB64" s="200"/>
      <c r="AC64" s="198" t="s">
        <v>787</v>
      </c>
      <c r="AD64" s="199" t="s">
        <v>788</v>
      </c>
      <c r="AE64" s="198" t="s">
        <v>354</v>
      </c>
      <c r="AF64" s="198" t="s">
        <v>385</v>
      </c>
      <c r="AG64" s="198" t="s">
        <v>385</v>
      </c>
      <c r="AH64" s="199" t="s">
        <v>730</v>
      </c>
      <c r="AI64" s="198" t="s">
        <v>731</v>
      </c>
      <c r="AJ64" s="198" t="s">
        <v>732</v>
      </c>
      <c r="AK64" s="642" t="s">
        <v>733</v>
      </c>
      <c r="AL64" s="198" t="s">
        <v>385</v>
      </c>
      <c r="AM64" s="198" t="s">
        <v>734</v>
      </c>
      <c r="AN64" s="198" t="s">
        <v>735</v>
      </c>
      <c r="AO64" s="198" t="s">
        <v>402</v>
      </c>
      <c r="AP64" s="198" t="s">
        <v>402</v>
      </c>
      <c r="AQ64" s="198" t="s">
        <v>791</v>
      </c>
      <c r="AR64" s="203" t="s">
        <v>453</v>
      </c>
      <c r="AS64" s="200"/>
    </row>
    <row r="65" spans="1:45" ht="13">
      <c r="A65" s="103"/>
      <c r="B65" s="70"/>
      <c r="C65" s="72"/>
      <c r="D65" s="74"/>
      <c r="E65" s="104"/>
      <c r="F65" s="104"/>
      <c r="G65" s="104"/>
      <c r="H65" s="104"/>
      <c r="I65" s="129"/>
      <c r="J65" s="105"/>
      <c r="K65" s="105"/>
      <c r="L65" s="197"/>
      <c r="M65" s="198"/>
      <c r="N65" s="198"/>
      <c r="O65" s="198"/>
      <c r="P65" s="204"/>
      <c r="Q65" s="198"/>
      <c r="R65" s="198"/>
      <c r="S65" s="204"/>
      <c r="T65" s="198"/>
      <c r="U65" s="198"/>
      <c r="V65" s="198"/>
      <c r="W65" s="198"/>
      <c r="X65" s="198"/>
      <c r="Y65" s="198"/>
      <c r="Z65" s="198"/>
      <c r="AA65" s="198"/>
      <c r="AB65" s="204"/>
      <c r="AC65" s="205"/>
      <c r="AD65" s="198"/>
      <c r="AE65" s="198"/>
      <c r="AF65" s="198"/>
      <c r="AG65" s="198"/>
      <c r="AH65" s="198"/>
      <c r="AI65" s="198"/>
      <c r="AJ65" s="198"/>
      <c r="AK65" s="642"/>
      <c r="AL65" s="198"/>
      <c r="AM65" s="198"/>
      <c r="AN65" s="198"/>
      <c r="AO65" s="198"/>
      <c r="AP65" s="198"/>
      <c r="AQ65" s="198"/>
      <c r="AR65" s="203"/>
      <c r="AS65" s="204"/>
    </row>
    <row r="66" spans="1:45" ht="13">
      <c r="A66" s="206"/>
      <c r="B66" s="207"/>
      <c r="C66" s="208"/>
      <c r="D66" s="209"/>
      <c r="E66" s="210"/>
      <c r="F66" s="210"/>
      <c r="G66" s="210"/>
      <c r="H66" s="211" t="s">
        <v>796</v>
      </c>
      <c r="I66" s="212"/>
      <c r="J66" s="213"/>
      <c r="K66" s="213"/>
      <c r="L66" s="214" t="s">
        <v>289</v>
      </c>
      <c r="M66" s="215" t="s">
        <v>382</v>
      </c>
      <c r="N66" s="216" t="s">
        <v>431</v>
      </c>
      <c r="O66" s="216"/>
      <c r="P66" s="210"/>
      <c r="Q66" s="215" t="s">
        <v>385</v>
      </c>
      <c r="R66" s="215" t="s">
        <v>402</v>
      </c>
      <c r="S66" s="210"/>
      <c r="T66" s="215" t="s">
        <v>355</v>
      </c>
      <c r="U66" s="215" t="s">
        <v>402</v>
      </c>
      <c r="V66" s="215" t="s">
        <v>355</v>
      </c>
      <c r="W66" s="215" t="s">
        <v>355</v>
      </c>
      <c r="X66" s="215" t="s">
        <v>355</v>
      </c>
      <c r="Y66" s="215" t="s">
        <v>355</v>
      </c>
      <c r="Z66" s="215" t="s">
        <v>355</v>
      </c>
      <c r="AA66" s="215" t="s">
        <v>404</v>
      </c>
      <c r="AB66" s="210"/>
      <c r="AC66" s="215" t="s">
        <v>787</v>
      </c>
      <c r="AD66" s="216" t="s">
        <v>788</v>
      </c>
      <c r="AE66" s="215" t="s">
        <v>354</v>
      </c>
      <c r="AF66" s="215" t="s">
        <v>385</v>
      </c>
      <c r="AG66" s="215" t="s">
        <v>385</v>
      </c>
      <c r="AH66" s="216" t="s">
        <v>730</v>
      </c>
      <c r="AI66" s="217" t="s">
        <v>816</v>
      </c>
      <c r="AJ66" s="218" t="s">
        <v>742</v>
      </c>
      <c r="AK66" s="643"/>
      <c r="AL66" s="209" t="s">
        <v>385</v>
      </c>
      <c r="AM66" s="209"/>
      <c r="AN66" s="209"/>
      <c r="AO66" s="209"/>
      <c r="AP66" s="209"/>
      <c r="AQ66" s="209"/>
      <c r="AR66" s="213"/>
      <c r="AS66" s="210"/>
    </row>
    <row r="67" spans="1:45" ht="13">
      <c r="A67" s="103"/>
      <c r="B67" s="70" t="s">
        <v>356</v>
      </c>
      <c r="C67" s="72">
        <v>43437</v>
      </c>
      <c r="D67" s="74" t="s">
        <v>782</v>
      </c>
      <c r="E67" s="76">
        <v>43579</v>
      </c>
      <c r="F67" s="78" t="s">
        <v>363</v>
      </c>
      <c r="G67" s="76">
        <v>43583</v>
      </c>
      <c r="H67" s="78" t="s">
        <v>355</v>
      </c>
      <c r="I67" s="129" t="s">
        <v>828</v>
      </c>
      <c r="J67" s="105" t="s">
        <v>119</v>
      </c>
      <c r="K67" s="105"/>
      <c r="L67" s="219" t="s">
        <v>292</v>
      </c>
      <c r="M67" s="220" t="s">
        <v>385</v>
      </c>
      <c r="N67" s="615" t="s">
        <v>434</v>
      </c>
      <c r="O67" s="613"/>
      <c r="P67" s="222"/>
      <c r="Q67" s="220" t="s">
        <v>385</v>
      </c>
      <c r="R67" s="220" t="s">
        <v>800</v>
      </c>
      <c r="S67" s="221" t="s">
        <v>434</v>
      </c>
      <c r="T67" s="220" t="s">
        <v>402</v>
      </c>
      <c r="U67" s="220" t="s">
        <v>402</v>
      </c>
      <c r="V67" s="220" t="s">
        <v>402</v>
      </c>
      <c r="W67" s="220" t="s">
        <v>402</v>
      </c>
      <c r="X67" s="220" t="s">
        <v>402</v>
      </c>
      <c r="Y67" s="220" t="s">
        <v>402</v>
      </c>
      <c r="Z67" s="220" t="s">
        <v>402</v>
      </c>
      <c r="AA67" s="220" t="s">
        <v>402</v>
      </c>
      <c r="AB67" s="222"/>
      <c r="AC67" s="220" t="s">
        <v>402</v>
      </c>
      <c r="AD67" s="222"/>
      <c r="AE67" s="220" t="s">
        <v>402</v>
      </c>
      <c r="AF67" s="220" t="s">
        <v>402</v>
      </c>
      <c r="AG67" s="220" t="s">
        <v>402</v>
      </c>
      <c r="AH67" s="222"/>
      <c r="AI67" s="223" t="s">
        <v>530</v>
      </c>
      <c r="AJ67" s="220" t="s">
        <v>402</v>
      </c>
      <c r="AK67" s="220" t="s">
        <v>402</v>
      </c>
      <c r="AL67" s="220" t="s">
        <v>385</v>
      </c>
      <c r="AM67" s="220" t="s">
        <v>402</v>
      </c>
      <c r="AN67" s="220" t="s">
        <v>402</v>
      </c>
      <c r="AO67" s="220" t="s">
        <v>402</v>
      </c>
      <c r="AP67" s="220" t="s">
        <v>402</v>
      </c>
      <c r="AQ67" s="220" t="s">
        <v>844</v>
      </c>
      <c r="AR67" s="224" t="s">
        <v>748</v>
      </c>
      <c r="AS67" s="225"/>
    </row>
    <row r="68" spans="1:45" ht="13">
      <c r="A68" s="103"/>
      <c r="B68" s="70"/>
      <c r="C68" s="72"/>
      <c r="D68" s="74"/>
      <c r="E68" s="104"/>
      <c r="F68" s="104"/>
      <c r="G68" s="104"/>
      <c r="H68" s="104"/>
      <c r="I68" s="129"/>
      <c r="J68" s="105"/>
      <c r="K68" s="105"/>
      <c r="L68" s="219"/>
      <c r="M68" s="220"/>
      <c r="N68" s="220"/>
      <c r="O68" s="220"/>
      <c r="P68" s="222"/>
      <c r="Q68" s="220"/>
      <c r="R68" s="220"/>
      <c r="S68" s="220"/>
      <c r="T68" s="220"/>
      <c r="U68" s="220"/>
      <c r="V68" s="220"/>
      <c r="W68" s="220"/>
      <c r="X68" s="220"/>
      <c r="Y68" s="220"/>
      <c r="Z68" s="220"/>
      <c r="AA68" s="220"/>
      <c r="AB68" s="222"/>
      <c r="AC68" s="220"/>
      <c r="AD68" s="222"/>
      <c r="AE68" s="220"/>
      <c r="AF68" s="220"/>
      <c r="AG68" s="220"/>
      <c r="AH68" s="222"/>
      <c r="AI68" s="220"/>
      <c r="AJ68" s="220"/>
      <c r="AK68" s="220"/>
      <c r="AL68" s="220"/>
      <c r="AM68" s="220"/>
      <c r="AN68" s="220"/>
      <c r="AO68" s="220"/>
      <c r="AP68" s="220"/>
      <c r="AQ68" s="220"/>
      <c r="AR68" s="224"/>
      <c r="AS68" s="225"/>
    </row>
    <row r="69" spans="1:45" ht="13">
      <c r="A69" s="226"/>
      <c r="B69" s="227"/>
      <c r="C69" s="228"/>
      <c r="D69" s="229"/>
      <c r="E69" s="230"/>
      <c r="F69" s="230"/>
      <c r="G69" s="230"/>
      <c r="H69" s="230"/>
      <c r="I69" s="231"/>
      <c r="J69" s="232"/>
      <c r="K69" s="232"/>
      <c r="L69" s="233" t="s">
        <v>292</v>
      </c>
      <c r="M69" s="234" t="s">
        <v>385</v>
      </c>
      <c r="N69" s="623" t="s">
        <v>434</v>
      </c>
      <c r="O69" s="613"/>
      <c r="P69" s="222"/>
      <c r="Q69" s="234" t="s">
        <v>385</v>
      </c>
      <c r="R69" s="234" t="s">
        <v>800</v>
      </c>
      <c r="S69" s="235" t="s">
        <v>434</v>
      </c>
      <c r="T69" s="234" t="s">
        <v>402</v>
      </c>
      <c r="U69" s="234" t="s">
        <v>402</v>
      </c>
      <c r="V69" s="234" t="s">
        <v>402</v>
      </c>
      <c r="W69" s="234" t="s">
        <v>402</v>
      </c>
      <c r="X69" s="234" t="s">
        <v>402</v>
      </c>
      <c r="Y69" s="234" t="s">
        <v>402</v>
      </c>
      <c r="Z69" s="234" t="s">
        <v>402</v>
      </c>
      <c r="AA69" s="234" t="s">
        <v>402</v>
      </c>
      <c r="AB69" s="222"/>
      <c r="AC69" s="234" t="s">
        <v>402</v>
      </c>
      <c r="AD69" s="222"/>
      <c r="AE69" s="234" t="s">
        <v>402</v>
      </c>
      <c r="AF69" s="234" t="s">
        <v>402</v>
      </c>
      <c r="AG69" s="234" t="s">
        <v>402</v>
      </c>
      <c r="AH69" s="222"/>
      <c r="AI69" s="236" t="s">
        <v>530</v>
      </c>
      <c r="AJ69" s="234" t="s">
        <v>402</v>
      </c>
      <c r="AK69" s="234" t="s">
        <v>402</v>
      </c>
      <c r="AL69" s="234" t="s">
        <v>385</v>
      </c>
      <c r="AM69" s="234"/>
      <c r="AN69" s="234"/>
      <c r="AO69" s="234"/>
      <c r="AP69" s="234"/>
      <c r="AQ69" s="234" t="s">
        <v>844</v>
      </c>
      <c r="AR69" s="237" t="s">
        <v>748</v>
      </c>
      <c r="AS69" s="225"/>
    </row>
    <row r="70" spans="1:45" ht="43">
      <c r="A70" s="238"/>
      <c r="B70" s="70" t="s">
        <v>356</v>
      </c>
      <c r="C70" s="72">
        <v>43437</v>
      </c>
      <c r="D70" s="74" t="s">
        <v>782</v>
      </c>
      <c r="E70" s="76">
        <v>43579</v>
      </c>
      <c r="F70" s="78" t="s">
        <v>363</v>
      </c>
      <c r="G70" s="76">
        <v>43583</v>
      </c>
      <c r="H70" s="78" t="s">
        <v>355</v>
      </c>
      <c r="I70" s="129" t="s">
        <v>850</v>
      </c>
      <c r="J70" s="105" t="s">
        <v>120</v>
      </c>
      <c r="K70" s="126" t="s">
        <v>851</v>
      </c>
      <c r="L70" s="197" t="s">
        <v>293</v>
      </c>
      <c r="M70" s="198" t="s">
        <v>385</v>
      </c>
      <c r="N70" s="204"/>
      <c r="O70" s="204"/>
      <c r="P70" s="204"/>
      <c r="Q70" s="198" t="s">
        <v>385</v>
      </c>
      <c r="R70" s="198" t="s">
        <v>402</v>
      </c>
      <c r="S70" s="204"/>
      <c r="T70" s="198" t="s">
        <v>402</v>
      </c>
      <c r="U70" s="198" t="s">
        <v>402</v>
      </c>
      <c r="V70" s="198" t="s">
        <v>402</v>
      </c>
      <c r="W70" s="198" t="s">
        <v>402</v>
      </c>
      <c r="X70" s="198" t="s">
        <v>402</v>
      </c>
      <c r="Y70" s="198" t="s">
        <v>402</v>
      </c>
      <c r="Z70" s="198" t="s">
        <v>402</v>
      </c>
      <c r="AA70" s="198" t="s">
        <v>402</v>
      </c>
      <c r="AB70" s="204"/>
      <c r="AC70" s="198" t="s">
        <v>402</v>
      </c>
      <c r="AD70" s="204"/>
      <c r="AE70" s="198" t="s">
        <v>402</v>
      </c>
      <c r="AF70" s="198" t="s">
        <v>402</v>
      </c>
      <c r="AG70" s="198" t="s">
        <v>402</v>
      </c>
      <c r="AH70" s="199" t="s">
        <v>853</v>
      </c>
      <c r="AI70" s="198" t="s">
        <v>854</v>
      </c>
      <c r="AJ70" s="198" t="s">
        <v>402</v>
      </c>
      <c r="AK70" s="198" t="s">
        <v>402</v>
      </c>
      <c r="AL70" s="198" t="s">
        <v>385</v>
      </c>
      <c r="AM70" s="198" t="s">
        <v>402</v>
      </c>
      <c r="AN70" s="198" t="s">
        <v>402</v>
      </c>
      <c r="AO70" s="198" t="s">
        <v>402</v>
      </c>
      <c r="AP70" s="198" t="s">
        <v>402</v>
      </c>
      <c r="AQ70" s="198" t="s">
        <v>855</v>
      </c>
      <c r="AR70" s="203" t="s">
        <v>674</v>
      </c>
      <c r="AS70" s="239" t="s">
        <v>856</v>
      </c>
    </row>
    <row r="71" spans="1:45" ht="15">
      <c r="A71" s="238"/>
      <c r="B71" s="70"/>
      <c r="C71" s="72"/>
      <c r="D71" s="74"/>
      <c r="E71" s="104"/>
      <c r="F71" s="104"/>
      <c r="G71" s="104"/>
      <c r="H71" s="104"/>
      <c r="I71" s="129"/>
      <c r="J71" s="29" t="s">
        <v>856</v>
      </c>
      <c r="K71" s="29"/>
      <c r="L71" s="197"/>
      <c r="M71" s="198"/>
      <c r="N71" s="204"/>
      <c r="O71" s="204"/>
      <c r="P71" s="204"/>
      <c r="Q71" s="198"/>
      <c r="R71" s="198"/>
      <c r="S71" s="204"/>
      <c r="T71" s="198"/>
      <c r="U71" s="198"/>
      <c r="V71" s="198"/>
      <c r="W71" s="198"/>
      <c r="X71" s="198"/>
      <c r="Y71" s="198"/>
      <c r="Z71" s="198"/>
      <c r="AA71" s="198"/>
      <c r="AB71" s="204"/>
      <c r="AC71" s="198"/>
      <c r="AD71" s="204"/>
      <c r="AE71" s="198"/>
      <c r="AF71" s="198"/>
      <c r="AG71" s="198"/>
      <c r="AH71" s="198"/>
      <c r="AI71" s="198"/>
      <c r="AJ71" s="198"/>
      <c r="AK71" s="198"/>
      <c r="AL71" s="198"/>
      <c r="AM71" s="198"/>
      <c r="AN71" s="198"/>
      <c r="AO71" s="198"/>
      <c r="AP71" s="198"/>
      <c r="AQ71" s="198"/>
      <c r="AR71" s="203"/>
      <c r="AS71" s="204"/>
    </row>
    <row r="72" spans="1:45" ht="15">
      <c r="A72" s="240"/>
      <c r="B72" s="227"/>
      <c r="C72" s="228"/>
      <c r="D72" s="241"/>
      <c r="E72" s="204"/>
      <c r="F72" s="204"/>
      <c r="G72" s="204"/>
      <c r="H72" s="242" t="s">
        <v>857</v>
      </c>
      <c r="I72" s="243"/>
      <c r="J72" s="244"/>
      <c r="K72" s="244"/>
      <c r="L72" s="214" t="s">
        <v>293</v>
      </c>
      <c r="M72" s="215" t="s">
        <v>385</v>
      </c>
      <c r="N72" s="245" t="s">
        <v>437</v>
      </c>
      <c r="O72" s="246"/>
      <c r="P72" s="204"/>
      <c r="Q72" s="215" t="s">
        <v>385</v>
      </c>
      <c r="R72" s="215" t="s">
        <v>402</v>
      </c>
      <c r="S72" s="204"/>
      <c r="T72" s="215" t="s">
        <v>402</v>
      </c>
      <c r="U72" s="215" t="s">
        <v>402</v>
      </c>
      <c r="V72" s="215" t="s">
        <v>402</v>
      </c>
      <c r="W72" s="215" t="s">
        <v>402</v>
      </c>
      <c r="X72" s="215" t="s">
        <v>402</v>
      </c>
      <c r="Y72" s="215" t="s">
        <v>402</v>
      </c>
      <c r="Z72" s="215" t="s">
        <v>402</v>
      </c>
      <c r="AA72" s="215" t="s">
        <v>402</v>
      </c>
      <c r="AB72" s="204"/>
      <c r="AC72" s="215" t="s">
        <v>402</v>
      </c>
      <c r="AD72" s="204"/>
      <c r="AE72" s="215" t="s">
        <v>402</v>
      </c>
      <c r="AF72" s="215" t="s">
        <v>402</v>
      </c>
      <c r="AG72" s="215" t="s">
        <v>402</v>
      </c>
      <c r="AH72" s="216" t="s">
        <v>853</v>
      </c>
      <c r="AI72" s="217" t="s">
        <v>385</v>
      </c>
      <c r="AJ72" s="215" t="s">
        <v>402</v>
      </c>
      <c r="AK72" s="215" t="s">
        <v>402</v>
      </c>
      <c r="AL72" s="215" t="s">
        <v>385</v>
      </c>
      <c r="AM72" s="215"/>
      <c r="AN72" s="215"/>
      <c r="AO72" s="215"/>
      <c r="AP72" s="215"/>
      <c r="AQ72" s="215" t="s">
        <v>855</v>
      </c>
      <c r="AR72" s="247" t="s">
        <v>674</v>
      </c>
      <c r="AS72" s="248" t="s">
        <v>856</v>
      </c>
    </row>
    <row r="73" spans="1:45" ht="15">
      <c r="A73" s="238"/>
      <c r="B73" s="70" t="s">
        <v>356</v>
      </c>
      <c r="C73" s="72">
        <v>43437</v>
      </c>
      <c r="D73" s="74" t="s">
        <v>782</v>
      </c>
      <c r="E73" s="76">
        <v>43579</v>
      </c>
      <c r="F73" s="78" t="s">
        <v>363</v>
      </c>
      <c r="G73" s="76">
        <v>43583</v>
      </c>
      <c r="H73" s="78" t="s">
        <v>355</v>
      </c>
      <c r="I73" s="80" t="s">
        <v>858</v>
      </c>
      <c r="J73" s="82" t="s">
        <v>121</v>
      </c>
      <c r="K73" s="82"/>
      <c r="L73" s="219" t="s">
        <v>291</v>
      </c>
      <c r="M73" s="220" t="s">
        <v>374</v>
      </c>
      <c r="N73" s="249" t="s">
        <v>438</v>
      </c>
      <c r="O73" s="250"/>
      <c r="P73" s="221" t="s">
        <v>694</v>
      </c>
      <c r="Q73" s="220" t="s">
        <v>354</v>
      </c>
      <c r="R73" s="220" t="s">
        <v>763</v>
      </c>
      <c r="S73" s="221" t="s">
        <v>764</v>
      </c>
      <c r="T73" s="220" t="s">
        <v>355</v>
      </c>
      <c r="U73" s="220" t="s">
        <v>355</v>
      </c>
      <c r="V73" s="220" t="s">
        <v>355</v>
      </c>
      <c r="W73" s="220" t="s">
        <v>355</v>
      </c>
      <c r="X73" s="220" t="s">
        <v>355</v>
      </c>
      <c r="Y73" s="220" t="s">
        <v>355</v>
      </c>
      <c r="Z73" s="220" t="s">
        <v>355</v>
      </c>
      <c r="AA73" s="220" t="s">
        <v>355</v>
      </c>
      <c r="AB73" s="250"/>
      <c r="AC73" s="220" t="s">
        <v>863</v>
      </c>
      <c r="AD73" s="221" t="s">
        <v>544</v>
      </c>
      <c r="AE73" s="220" t="s">
        <v>385</v>
      </c>
      <c r="AF73" s="220" t="s">
        <v>385</v>
      </c>
      <c r="AG73" s="220" t="s">
        <v>385</v>
      </c>
      <c r="AH73" s="221" t="s">
        <v>766</v>
      </c>
      <c r="AI73" s="220" t="s">
        <v>767</v>
      </c>
      <c r="AJ73" s="220" t="s">
        <v>402</v>
      </c>
      <c r="AK73" s="220" t="s">
        <v>402</v>
      </c>
      <c r="AL73" s="220" t="s">
        <v>355</v>
      </c>
      <c r="AM73" s="220" t="s">
        <v>402</v>
      </c>
      <c r="AN73" s="220" t="s">
        <v>768</v>
      </c>
      <c r="AO73" s="220" t="s">
        <v>402</v>
      </c>
      <c r="AP73" s="220" t="s">
        <v>402</v>
      </c>
      <c r="AQ73" s="220" t="s">
        <v>769</v>
      </c>
      <c r="AR73" s="224" t="s">
        <v>725</v>
      </c>
      <c r="AS73" s="251" t="s">
        <v>864</v>
      </c>
    </row>
    <row r="74" spans="1:45" ht="15.75" customHeight="1">
      <c r="A74" s="238"/>
      <c r="B74" s="70"/>
      <c r="C74" s="72"/>
      <c r="D74" s="74"/>
      <c r="E74" s="104"/>
      <c r="F74" s="104"/>
      <c r="G74" s="104"/>
      <c r="H74" s="104"/>
      <c r="I74" s="80"/>
      <c r="J74" s="105"/>
      <c r="K74" s="105"/>
      <c r="L74" s="219"/>
      <c r="M74" s="220"/>
      <c r="N74" s="220"/>
      <c r="O74" s="222"/>
      <c r="P74" s="220"/>
      <c r="R74" s="220"/>
      <c r="S74" s="220"/>
      <c r="T74" s="252"/>
      <c r="U74" s="252"/>
      <c r="V74" s="252"/>
      <c r="W74" s="252"/>
      <c r="X74" s="220"/>
      <c r="Y74" s="220"/>
      <c r="Z74" s="220"/>
      <c r="AA74" s="220"/>
      <c r="AB74" s="222"/>
      <c r="AC74" s="253"/>
      <c r="AD74" s="220"/>
      <c r="AE74" s="220"/>
      <c r="AF74" s="220"/>
      <c r="AG74" s="130" t="s">
        <v>865</v>
      </c>
      <c r="AH74" s="254" t="s">
        <v>866</v>
      </c>
      <c r="AI74" s="253"/>
      <c r="AJ74" s="220"/>
      <c r="AK74" s="220"/>
      <c r="AL74" s="220"/>
      <c r="AM74" s="220"/>
      <c r="AN74" s="220"/>
      <c r="AO74" s="220"/>
      <c r="AP74" s="220"/>
      <c r="AQ74" s="220"/>
      <c r="AR74" s="224"/>
      <c r="AS74" s="251" t="s">
        <v>866</v>
      </c>
    </row>
    <row r="75" spans="1:45" ht="15.75" customHeight="1">
      <c r="A75" s="240"/>
      <c r="B75" s="227"/>
      <c r="C75" s="228"/>
      <c r="D75" s="229"/>
      <c r="E75" s="230"/>
      <c r="F75" s="230"/>
      <c r="G75" s="230"/>
      <c r="H75" s="255" t="s">
        <v>867</v>
      </c>
      <c r="I75" s="256"/>
      <c r="J75" s="232"/>
      <c r="K75" s="232"/>
      <c r="L75" s="233" t="s">
        <v>291</v>
      </c>
      <c r="M75" s="234" t="s">
        <v>374</v>
      </c>
      <c r="N75" s="257" t="s">
        <v>438</v>
      </c>
      <c r="O75" s="222"/>
      <c r="P75" s="235" t="s">
        <v>694</v>
      </c>
      <c r="Q75" s="234" t="s">
        <v>354</v>
      </c>
      <c r="R75" s="234" t="s">
        <v>763</v>
      </c>
      <c r="S75" s="235" t="s">
        <v>764</v>
      </c>
      <c r="T75" s="258" t="s">
        <v>355</v>
      </c>
      <c r="U75" s="258" t="s">
        <v>355</v>
      </c>
      <c r="V75" s="258" t="s">
        <v>355</v>
      </c>
      <c r="W75" s="258" t="s">
        <v>355</v>
      </c>
      <c r="X75" s="234" t="s">
        <v>355</v>
      </c>
      <c r="Y75" s="234" t="s">
        <v>355</v>
      </c>
      <c r="Z75" s="234" t="s">
        <v>355</v>
      </c>
      <c r="AA75" s="234" t="s">
        <v>355</v>
      </c>
      <c r="AB75" s="222"/>
      <c r="AC75" s="259" t="s">
        <v>863</v>
      </c>
      <c r="AD75" s="235" t="s">
        <v>544</v>
      </c>
      <c r="AE75" s="234" t="s">
        <v>385</v>
      </c>
      <c r="AF75" s="234" t="s">
        <v>385</v>
      </c>
      <c r="AG75" s="234" t="s">
        <v>385</v>
      </c>
      <c r="AH75" s="260" t="s">
        <v>872</v>
      </c>
      <c r="AI75" s="261" t="s">
        <v>873</v>
      </c>
      <c r="AJ75" s="262" t="s">
        <v>874</v>
      </c>
      <c r="AK75" s="234" t="s">
        <v>402</v>
      </c>
      <c r="AL75" s="234" t="s">
        <v>355</v>
      </c>
      <c r="AM75" s="234"/>
      <c r="AN75" s="263"/>
      <c r="AO75" s="263"/>
      <c r="AP75" s="263"/>
      <c r="AQ75" s="263"/>
      <c r="AR75" s="232"/>
      <c r="AS75" s="225"/>
    </row>
    <row r="76" spans="1:45" ht="15.75" customHeight="1">
      <c r="A76" s="238"/>
      <c r="B76" s="70" t="s">
        <v>356</v>
      </c>
      <c r="C76" s="72">
        <v>43437</v>
      </c>
      <c r="D76" s="74" t="s">
        <v>782</v>
      </c>
      <c r="E76" s="76">
        <v>43579</v>
      </c>
      <c r="F76" s="78" t="s">
        <v>363</v>
      </c>
      <c r="G76" s="76">
        <v>43583</v>
      </c>
      <c r="H76" s="78" t="s">
        <v>355</v>
      </c>
      <c r="I76" s="125" t="s">
        <v>875</v>
      </c>
      <c r="J76" s="82" t="s">
        <v>122</v>
      </c>
      <c r="K76" s="126" t="s">
        <v>876</v>
      </c>
      <c r="L76" s="197" t="s">
        <v>877</v>
      </c>
      <c r="M76" s="198" t="s">
        <v>374</v>
      </c>
      <c r="N76" s="624" t="s">
        <v>698</v>
      </c>
      <c r="O76" s="613"/>
      <c r="P76" s="199" t="s">
        <v>698</v>
      </c>
      <c r="Q76" s="198" t="s">
        <v>355</v>
      </c>
      <c r="R76" s="198" t="s">
        <v>402</v>
      </c>
      <c r="S76" s="200"/>
      <c r="T76" s="198" t="s">
        <v>402</v>
      </c>
      <c r="U76" s="198" t="s">
        <v>402</v>
      </c>
      <c r="V76" s="198" t="s">
        <v>402</v>
      </c>
      <c r="W76" s="198" t="s">
        <v>402</v>
      </c>
      <c r="X76" s="198" t="s">
        <v>402</v>
      </c>
      <c r="Y76" s="198" t="s">
        <v>402</v>
      </c>
      <c r="Z76" s="198" t="s">
        <v>402</v>
      </c>
      <c r="AA76" s="198" t="s">
        <v>402</v>
      </c>
      <c r="AB76" s="200"/>
      <c r="AC76" s="198" t="s">
        <v>879</v>
      </c>
      <c r="AD76" s="199" t="s">
        <v>698</v>
      </c>
      <c r="AE76" s="198" t="s">
        <v>355</v>
      </c>
      <c r="AF76" s="198" t="s">
        <v>385</v>
      </c>
      <c r="AG76" s="198" t="s">
        <v>355</v>
      </c>
      <c r="AH76" s="200"/>
      <c r="AI76" s="200"/>
      <c r="AJ76" s="198" t="s">
        <v>402</v>
      </c>
      <c r="AK76" s="642" t="s">
        <v>402</v>
      </c>
      <c r="AL76" s="198" t="s">
        <v>355</v>
      </c>
      <c r="AM76" s="198" t="s">
        <v>402</v>
      </c>
      <c r="AN76" s="198" t="s">
        <v>402</v>
      </c>
      <c r="AO76" s="198" t="s">
        <v>402</v>
      </c>
      <c r="AP76" s="198" t="s">
        <v>402</v>
      </c>
      <c r="AQ76" s="198" t="s">
        <v>880</v>
      </c>
      <c r="AR76" s="203" t="s">
        <v>692</v>
      </c>
      <c r="AS76" s="200"/>
    </row>
    <row r="77" spans="1:45" ht="15.75" customHeight="1">
      <c r="A77" s="238"/>
      <c r="B77" s="70"/>
      <c r="C77" s="72"/>
      <c r="D77" s="74"/>
      <c r="E77" s="104"/>
      <c r="F77" s="104"/>
      <c r="G77" s="104"/>
      <c r="H77" s="104"/>
      <c r="I77" s="129"/>
      <c r="J77" s="105"/>
      <c r="K77" s="105"/>
      <c r="L77" s="264"/>
      <c r="M77" s="265"/>
      <c r="N77" s="265"/>
      <c r="O77" s="265"/>
      <c r="P77" s="265"/>
      <c r="Q77" s="266"/>
      <c r="R77" s="266"/>
      <c r="S77" s="267"/>
      <c r="T77" s="265"/>
      <c r="U77" s="265"/>
      <c r="V77" s="265"/>
      <c r="W77" s="265"/>
      <c r="X77" s="265"/>
      <c r="Y77" s="265"/>
      <c r="Z77" s="265"/>
      <c r="AA77" s="265"/>
      <c r="AB77" s="267"/>
      <c r="AC77" s="268"/>
      <c r="AD77" s="268"/>
      <c r="AE77" s="265"/>
      <c r="AF77" s="265"/>
      <c r="AG77" s="265"/>
      <c r="AH77" s="267"/>
      <c r="AI77" s="267"/>
      <c r="AJ77" s="265"/>
      <c r="AK77" s="644"/>
      <c r="AL77" s="265"/>
      <c r="AM77" s="265"/>
      <c r="AN77" s="265"/>
      <c r="AO77" s="265"/>
      <c r="AP77" s="265"/>
      <c r="AQ77" s="265"/>
      <c r="AR77" s="269"/>
      <c r="AS77" s="204"/>
    </row>
    <row r="78" spans="1:45" ht="15.75" customHeight="1">
      <c r="A78" s="240"/>
      <c r="B78" s="227"/>
      <c r="C78" s="228"/>
      <c r="D78" s="241"/>
      <c r="E78" s="204"/>
      <c r="F78" s="204"/>
      <c r="G78" s="204"/>
      <c r="H78" s="242" t="s">
        <v>882</v>
      </c>
      <c r="I78" s="243"/>
      <c r="J78" s="244"/>
      <c r="K78" s="244"/>
      <c r="L78" s="270"/>
      <c r="M78" s="271" t="s">
        <v>374</v>
      </c>
      <c r="N78" s="272" t="s">
        <v>439</v>
      </c>
      <c r="O78" s="273"/>
      <c r="P78" s="274" t="s">
        <v>698</v>
      </c>
      <c r="Q78" s="275" t="s">
        <v>355</v>
      </c>
      <c r="R78" s="275" t="s">
        <v>402</v>
      </c>
      <c r="S78" s="276"/>
      <c r="T78" s="271" t="s">
        <v>402</v>
      </c>
      <c r="U78" s="271" t="s">
        <v>402</v>
      </c>
      <c r="V78" s="271" t="s">
        <v>402</v>
      </c>
      <c r="W78" s="271" t="s">
        <v>402</v>
      </c>
      <c r="X78" s="271" t="s">
        <v>402</v>
      </c>
      <c r="Y78" s="271" t="s">
        <v>402</v>
      </c>
      <c r="Z78" s="271" t="s">
        <v>402</v>
      </c>
      <c r="AA78" s="271" t="s">
        <v>402</v>
      </c>
      <c r="AB78" s="276"/>
      <c r="AC78" s="277" t="s">
        <v>883</v>
      </c>
      <c r="AD78" s="278" t="s">
        <v>698</v>
      </c>
      <c r="AE78" s="198" t="s">
        <v>355</v>
      </c>
      <c r="AF78" s="273" t="s">
        <v>385</v>
      </c>
      <c r="AG78" s="273" t="s">
        <v>385</v>
      </c>
      <c r="AH78" s="279" t="s">
        <v>885</v>
      </c>
      <c r="AI78" s="273" t="s">
        <v>460</v>
      </c>
      <c r="AJ78" s="280" t="s">
        <v>886</v>
      </c>
      <c r="AK78" s="645"/>
      <c r="AL78" s="273" t="s">
        <v>385</v>
      </c>
      <c r="AM78" s="281" t="s">
        <v>887</v>
      </c>
      <c r="AN78" s="282"/>
      <c r="AO78" s="273"/>
      <c r="AP78" s="281" t="s">
        <v>887</v>
      </c>
      <c r="AQ78" s="282"/>
      <c r="AR78" s="282"/>
      <c r="AS78" s="204"/>
    </row>
    <row r="79" spans="1:45" ht="43">
      <c r="A79" s="103"/>
      <c r="B79" s="283" t="s">
        <v>492</v>
      </c>
      <c r="C79" s="284">
        <v>43483</v>
      </c>
      <c r="D79" s="74" t="s">
        <v>360</v>
      </c>
      <c r="E79" s="76">
        <v>43575</v>
      </c>
      <c r="F79" s="78" t="s">
        <v>363</v>
      </c>
      <c r="G79" s="76">
        <v>43581</v>
      </c>
      <c r="H79" s="78" t="s">
        <v>355</v>
      </c>
      <c r="I79" s="80" t="s">
        <v>888</v>
      </c>
      <c r="J79" s="285" t="s">
        <v>123</v>
      </c>
      <c r="K79" s="126" t="s">
        <v>876</v>
      </c>
      <c r="L79" s="286" t="s">
        <v>294</v>
      </c>
      <c r="M79" s="287" t="s">
        <v>374</v>
      </c>
      <c r="N79" s="288" t="s">
        <v>441</v>
      </c>
      <c r="O79" s="289" t="s">
        <v>889</v>
      </c>
      <c r="P79" s="290" t="s">
        <v>699</v>
      </c>
      <c r="Q79" s="291" t="s">
        <v>355</v>
      </c>
      <c r="R79" s="292" t="s">
        <v>801</v>
      </c>
      <c r="S79" s="288" t="s">
        <v>494</v>
      </c>
      <c r="T79" s="293" t="s">
        <v>890</v>
      </c>
      <c r="U79" s="293" t="s">
        <v>891</v>
      </c>
      <c r="V79" s="293" t="s">
        <v>891</v>
      </c>
      <c r="W79" s="293" t="s">
        <v>891</v>
      </c>
      <c r="X79" s="293" t="s">
        <v>892</v>
      </c>
      <c r="Y79" s="293" t="s">
        <v>893</v>
      </c>
      <c r="Z79" s="293" t="s">
        <v>355</v>
      </c>
      <c r="AA79" s="293" t="s">
        <v>355</v>
      </c>
      <c r="AB79" s="294" t="s">
        <v>894</v>
      </c>
      <c r="AC79" s="135" t="s">
        <v>895</v>
      </c>
      <c r="AD79" s="295" t="s">
        <v>680</v>
      </c>
      <c r="AE79" s="293" t="s">
        <v>385</v>
      </c>
      <c r="AF79" s="293" t="s">
        <v>385</v>
      </c>
      <c r="AG79" s="293" t="s">
        <v>385</v>
      </c>
      <c r="AH79" s="288" t="s">
        <v>758</v>
      </c>
      <c r="AI79" s="293" t="s">
        <v>652</v>
      </c>
      <c r="AJ79" s="293" t="s">
        <v>897</v>
      </c>
      <c r="AK79" s="296" t="s">
        <v>402</v>
      </c>
      <c r="AL79" s="293" t="s">
        <v>385</v>
      </c>
      <c r="AM79" s="297" t="s">
        <v>402</v>
      </c>
      <c r="AN79" s="297" t="s">
        <v>899</v>
      </c>
      <c r="AO79" s="293" t="s">
        <v>402</v>
      </c>
      <c r="AP79" s="293" t="s">
        <v>402</v>
      </c>
      <c r="AQ79" s="289" t="s">
        <v>900</v>
      </c>
      <c r="AR79" s="298">
        <v>65</v>
      </c>
      <c r="AS79" s="29" t="s">
        <v>902</v>
      </c>
    </row>
    <row r="80" spans="1:45" ht="14.25" customHeight="1">
      <c r="A80" s="103"/>
      <c r="B80" s="70"/>
      <c r="C80" s="284"/>
      <c r="D80" s="74"/>
      <c r="I80" s="80"/>
      <c r="J80" s="285"/>
      <c r="K80" s="299"/>
      <c r="L80" s="300"/>
      <c r="M80" s="301" t="s">
        <v>386</v>
      </c>
      <c r="N80" s="288"/>
      <c r="O80" s="293" t="s">
        <v>904</v>
      </c>
      <c r="P80" s="302"/>
      <c r="Q80" s="303" t="s">
        <v>385</v>
      </c>
      <c r="R80" s="295"/>
      <c r="S80" s="288"/>
      <c r="T80" s="293" t="s">
        <v>905</v>
      </c>
      <c r="U80" s="293" t="s">
        <v>905</v>
      </c>
      <c r="V80" s="293" t="s">
        <v>905</v>
      </c>
      <c r="W80" s="293" t="s">
        <v>905</v>
      </c>
      <c r="X80" s="293" t="s">
        <v>905</v>
      </c>
      <c r="Y80" s="293" t="s">
        <v>892</v>
      </c>
      <c r="Z80" s="293"/>
      <c r="AA80" s="293"/>
      <c r="AB80" s="304"/>
      <c r="AC80" s="135" t="s">
        <v>744</v>
      </c>
      <c r="AD80" s="15" t="s">
        <v>441</v>
      </c>
      <c r="AE80" s="293" t="s">
        <v>354</v>
      </c>
      <c r="AF80" s="293"/>
      <c r="AG80" s="293"/>
      <c r="AH80" s="288"/>
      <c r="AI80" s="293"/>
      <c r="AJ80" s="293"/>
      <c r="AK80" s="287"/>
      <c r="AL80" s="293"/>
      <c r="AM80" s="297"/>
      <c r="AN80" s="297"/>
      <c r="AO80" s="293"/>
      <c r="AP80" s="293"/>
      <c r="AQ80" s="293" t="s">
        <v>906</v>
      </c>
      <c r="AR80" s="305"/>
      <c r="AS80" s="67"/>
    </row>
    <row r="81" spans="1:45" ht="14.25" customHeight="1">
      <c r="A81" s="163"/>
      <c r="B81" s="164"/>
      <c r="C81" s="306"/>
      <c r="D81" s="166"/>
      <c r="E81" s="307"/>
      <c r="F81" s="307"/>
      <c r="G81" s="307"/>
      <c r="H81" s="307"/>
      <c r="I81" s="308"/>
      <c r="J81" s="309"/>
      <c r="K81" s="310"/>
      <c r="L81" s="311" t="s">
        <v>294</v>
      </c>
      <c r="M81" s="312" t="s">
        <v>386</v>
      </c>
      <c r="N81" s="313" t="s">
        <v>441</v>
      </c>
      <c r="O81" s="314"/>
      <c r="P81" s="315" t="s">
        <v>699</v>
      </c>
      <c r="Q81" s="316" t="s">
        <v>385</v>
      </c>
      <c r="R81" s="317" t="s">
        <v>801</v>
      </c>
      <c r="S81" s="313" t="s">
        <v>494</v>
      </c>
      <c r="T81" s="314" t="s">
        <v>905</v>
      </c>
      <c r="U81" s="314" t="s">
        <v>905</v>
      </c>
      <c r="V81" s="314" t="s">
        <v>905</v>
      </c>
      <c r="W81" s="314" t="s">
        <v>905</v>
      </c>
      <c r="X81" s="314" t="s">
        <v>905</v>
      </c>
      <c r="Y81" s="314" t="s">
        <v>892</v>
      </c>
      <c r="Z81" s="314" t="s">
        <v>355</v>
      </c>
      <c r="AA81" s="314" t="s">
        <v>355</v>
      </c>
      <c r="AB81" s="318" t="s">
        <v>894</v>
      </c>
      <c r="AC81" s="319" t="s">
        <v>744</v>
      </c>
      <c r="AD81" s="171" t="s">
        <v>441</v>
      </c>
      <c r="AE81" s="314" t="s">
        <v>354</v>
      </c>
      <c r="AF81" s="314" t="s">
        <v>385</v>
      </c>
      <c r="AG81" s="314" t="s">
        <v>385</v>
      </c>
      <c r="AH81" s="313" t="s">
        <v>758</v>
      </c>
      <c r="AI81" s="314" t="s">
        <v>652</v>
      </c>
      <c r="AJ81" s="314" t="s">
        <v>897</v>
      </c>
      <c r="AK81" s="320" t="s">
        <v>402</v>
      </c>
      <c r="AL81" s="314" t="s">
        <v>385</v>
      </c>
      <c r="AM81" s="321"/>
      <c r="AN81" s="321" t="s">
        <v>899</v>
      </c>
      <c r="AO81" s="314"/>
      <c r="AP81" s="314"/>
      <c r="AQ81" s="314" t="s">
        <v>906</v>
      </c>
      <c r="AR81" s="322"/>
      <c r="AS81" s="140"/>
    </row>
    <row r="82" spans="1:45" ht="14.25" customHeight="1">
      <c r="A82" s="103"/>
      <c r="B82" s="70" t="s">
        <v>492</v>
      </c>
      <c r="C82" s="284">
        <v>43483</v>
      </c>
      <c r="D82" s="74" t="s">
        <v>360</v>
      </c>
      <c r="E82" s="76">
        <v>43575</v>
      </c>
      <c r="F82" s="78" t="s">
        <v>363</v>
      </c>
      <c r="G82" s="323">
        <v>43581</v>
      </c>
      <c r="H82" s="78" t="s">
        <v>355</v>
      </c>
      <c r="I82" s="125" t="s">
        <v>909</v>
      </c>
      <c r="J82" s="285" t="s">
        <v>124</v>
      </c>
      <c r="K82" s="299"/>
      <c r="L82" s="300" t="s">
        <v>295</v>
      </c>
      <c r="M82" s="301" t="s">
        <v>374</v>
      </c>
      <c r="N82" s="288" t="s">
        <v>442</v>
      </c>
      <c r="O82" s="293" t="s">
        <v>680</v>
      </c>
      <c r="P82" s="293" t="s">
        <v>680</v>
      </c>
      <c r="Q82" s="324" t="s">
        <v>385</v>
      </c>
      <c r="R82" s="293" t="s">
        <v>804</v>
      </c>
      <c r="S82" s="288" t="s">
        <v>845</v>
      </c>
      <c r="T82" s="293" t="s">
        <v>402</v>
      </c>
      <c r="U82" s="293" t="s">
        <v>402</v>
      </c>
      <c r="V82" s="293" t="s">
        <v>402</v>
      </c>
      <c r="W82" s="293" t="s">
        <v>402</v>
      </c>
      <c r="X82" s="293" t="s">
        <v>355</v>
      </c>
      <c r="Y82" s="293" t="s">
        <v>355</v>
      </c>
      <c r="Z82" s="293" t="s">
        <v>402</v>
      </c>
      <c r="AA82" s="293" t="s">
        <v>402</v>
      </c>
      <c r="AB82" s="294" t="s">
        <v>910</v>
      </c>
      <c r="AC82" s="135" t="s">
        <v>911</v>
      </c>
      <c r="AD82" s="327" t="s">
        <v>442</v>
      </c>
      <c r="AE82" s="293" t="s">
        <v>354</v>
      </c>
      <c r="AF82" s="293" t="s">
        <v>385</v>
      </c>
      <c r="AG82" s="293" t="s">
        <v>385</v>
      </c>
      <c r="AH82" s="288" t="s">
        <v>914</v>
      </c>
      <c r="AI82" s="293" t="s">
        <v>460</v>
      </c>
      <c r="AJ82" s="289" t="s">
        <v>917</v>
      </c>
      <c r="AK82" s="330" t="s">
        <v>402</v>
      </c>
      <c r="AL82" s="293" t="s">
        <v>385</v>
      </c>
      <c r="AM82" s="289" t="s">
        <v>918</v>
      </c>
      <c r="AN82" s="330" t="s">
        <v>402</v>
      </c>
      <c r="AO82" s="330" t="s">
        <v>402</v>
      </c>
      <c r="AP82" s="330" t="s">
        <v>402</v>
      </c>
      <c r="AQ82" s="331" t="s">
        <v>919</v>
      </c>
      <c r="AR82" s="305">
        <v>45</v>
      </c>
      <c r="AS82" s="67"/>
    </row>
    <row r="83" spans="1:45" ht="14.25" customHeight="1">
      <c r="A83" s="103"/>
      <c r="B83" s="70"/>
      <c r="C83" s="284"/>
      <c r="D83" s="74"/>
      <c r="E83" s="104"/>
      <c r="F83" s="104"/>
      <c r="G83" s="104"/>
      <c r="H83" s="104"/>
      <c r="I83" s="125"/>
      <c r="J83" s="285"/>
      <c r="K83" s="299"/>
      <c r="L83" s="300"/>
      <c r="M83" s="301"/>
      <c r="N83" s="288"/>
      <c r="O83" s="293"/>
      <c r="P83" s="293"/>
      <c r="Q83" s="333"/>
      <c r="R83" s="293" t="s">
        <v>802</v>
      </c>
      <c r="S83" s="288"/>
      <c r="T83" s="293"/>
      <c r="U83" s="293"/>
      <c r="V83" s="293"/>
      <c r="W83" s="293"/>
      <c r="X83" s="293"/>
      <c r="Y83" s="293"/>
      <c r="Z83" s="293"/>
      <c r="AA83" s="293"/>
      <c r="AB83" s="304"/>
      <c r="AC83" s="135"/>
      <c r="AD83" s="327"/>
      <c r="AE83" s="293"/>
      <c r="AF83" s="293"/>
      <c r="AG83" s="293"/>
      <c r="AH83" s="288"/>
      <c r="AI83" s="293"/>
      <c r="AJ83" s="293"/>
      <c r="AK83" s="330"/>
      <c r="AL83" s="293"/>
      <c r="AM83" s="293"/>
      <c r="AN83" s="330"/>
      <c r="AO83" s="330"/>
      <c r="AP83" s="330"/>
      <c r="AQ83" s="293" t="s">
        <v>920</v>
      </c>
      <c r="AR83" s="305"/>
      <c r="AS83" s="67"/>
    </row>
    <row r="84" spans="1:45" ht="14.25" customHeight="1">
      <c r="A84" s="163"/>
      <c r="B84" s="164"/>
      <c r="C84" s="306"/>
      <c r="D84" s="166"/>
      <c r="E84" s="167"/>
      <c r="F84" s="167"/>
      <c r="G84" s="167"/>
      <c r="H84" s="167"/>
      <c r="I84" s="335"/>
      <c r="J84" s="309"/>
      <c r="K84" s="310"/>
      <c r="L84" s="336" t="s">
        <v>295</v>
      </c>
      <c r="M84" s="312" t="s">
        <v>374</v>
      </c>
      <c r="N84" s="313" t="s">
        <v>442</v>
      </c>
      <c r="O84" s="314"/>
      <c r="P84" s="314"/>
      <c r="Q84" s="337" t="s">
        <v>385</v>
      </c>
      <c r="R84" s="314" t="s">
        <v>802</v>
      </c>
      <c r="S84" s="313" t="s">
        <v>845</v>
      </c>
      <c r="T84" s="314" t="s">
        <v>402</v>
      </c>
      <c r="U84" s="314" t="s">
        <v>402</v>
      </c>
      <c r="V84" s="314" t="s">
        <v>402</v>
      </c>
      <c r="W84" s="314" t="s">
        <v>402</v>
      </c>
      <c r="X84" s="314" t="s">
        <v>355</v>
      </c>
      <c r="Y84" s="314" t="s">
        <v>355</v>
      </c>
      <c r="Z84" s="314" t="s">
        <v>402</v>
      </c>
      <c r="AA84" s="314" t="s">
        <v>402</v>
      </c>
      <c r="AB84" s="318" t="s">
        <v>910</v>
      </c>
      <c r="AC84" s="319" t="s">
        <v>911</v>
      </c>
      <c r="AD84" s="339" t="s">
        <v>442</v>
      </c>
      <c r="AE84" s="314" t="s">
        <v>354</v>
      </c>
      <c r="AF84" s="314" t="s">
        <v>385</v>
      </c>
      <c r="AG84" s="314" t="s">
        <v>385</v>
      </c>
      <c r="AH84" s="313" t="s">
        <v>914</v>
      </c>
      <c r="AI84" s="314" t="s">
        <v>460</v>
      </c>
      <c r="AJ84" s="331" t="s">
        <v>917</v>
      </c>
      <c r="AK84" s="341" t="s">
        <v>402</v>
      </c>
      <c r="AL84" s="314" t="s">
        <v>385</v>
      </c>
      <c r="AM84" s="331" t="s">
        <v>918</v>
      </c>
      <c r="AN84" s="341"/>
      <c r="AO84" s="341"/>
      <c r="AP84" s="341"/>
      <c r="AQ84" s="314" t="s">
        <v>920</v>
      </c>
      <c r="AR84" s="322"/>
      <c r="AS84" s="140"/>
    </row>
    <row r="85" spans="1:45" ht="15">
      <c r="A85" s="103"/>
      <c r="B85" s="70" t="s">
        <v>492</v>
      </c>
      <c r="C85" s="284">
        <v>43483</v>
      </c>
      <c r="D85" s="74" t="s">
        <v>360</v>
      </c>
      <c r="E85" s="76">
        <v>43575</v>
      </c>
      <c r="F85" s="78" t="s">
        <v>363</v>
      </c>
      <c r="G85" s="76">
        <v>43581</v>
      </c>
      <c r="H85" s="78" t="s">
        <v>355</v>
      </c>
      <c r="I85" s="125" t="s">
        <v>923</v>
      </c>
      <c r="J85" s="285" t="s">
        <v>125</v>
      </c>
      <c r="K85" s="299"/>
      <c r="L85" s="300" t="s">
        <v>296</v>
      </c>
      <c r="M85" s="301" t="s">
        <v>385</v>
      </c>
      <c r="N85" s="288" t="s">
        <v>445</v>
      </c>
      <c r="O85" s="293" t="s">
        <v>680</v>
      </c>
      <c r="P85" s="288" t="s">
        <v>701</v>
      </c>
      <c r="Q85" s="333" t="s">
        <v>385</v>
      </c>
      <c r="R85" s="293" t="s">
        <v>803</v>
      </c>
      <c r="S85" s="288" t="s">
        <v>846</v>
      </c>
      <c r="T85" s="293" t="s">
        <v>402</v>
      </c>
      <c r="U85" s="293" t="s">
        <v>402</v>
      </c>
      <c r="V85" s="293" t="s">
        <v>402</v>
      </c>
      <c r="W85" s="293" t="s">
        <v>402</v>
      </c>
      <c r="X85" s="293" t="s">
        <v>402</v>
      </c>
      <c r="Y85" s="293" t="s">
        <v>402</v>
      </c>
      <c r="Z85" s="293" t="s">
        <v>402</v>
      </c>
      <c r="AA85" s="293" t="s">
        <v>402</v>
      </c>
      <c r="AB85" s="342"/>
      <c r="AC85" s="343" t="s">
        <v>680</v>
      </c>
      <c r="AD85" s="293" t="s">
        <v>680</v>
      </c>
      <c r="AE85" s="293" t="s">
        <v>385</v>
      </c>
      <c r="AF85" s="293" t="s">
        <v>385</v>
      </c>
      <c r="AG85" s="293" t="s">
        <v>385</v>
      </c>
      <c r="AH85" s="288" t="s">
        <v>925</v>
      </c>
      <c r="AI85" s="293" t="s">
        <v>460</v>
      </c>
      <c r="AJ85" s="293" t="s">
        <v>926</v>
      </c>
      <c r="AK85" s="293" t="s">
        <v>402</v>
      </c>
      <c r="AL85" s="293" t="s">
        <v>385</v>
      </c>
      <c r="AM85" s="293" t="s">
        <v>927</v>
      </c>
      <c r="AN85" s="293" t="s">
        <v>402</v>
      </c>
      <c r="AO85" s="293" t="s">
        <v>402</v>
      </c>
      <c r="AP85" s="293" t="s">
        <v>402</v>
      </c>
      <c r="AQ85" s="331" t="s">
        <v>928</v>
      </c>
      <c r="AR85" s="305">
        <v>20</v>
      </c>
      <c r="AS85" s="67"/>
    </row>
    <row r="86" spans="1:45" ht="15">
      <c r="A86" s="103"/>
      <c r="B86" s="70"/>
      <c r="C86" s="284"/>
      <c r="D86" s="74"/>
      <c r="E86" s="104"/>
      <c r="F86" s="104"/>
      <c r="G86" s="104"/>
      <c r="H86" s="104"/>
      <c r="I86" s="125"/>
      <c r="J86" s="285"/>
      <c r="K86" s="299"/>
      <c r="L86" s="300"/>
      <c r="M86" s="301"/>
      <c r="N86" s="288"/>
      <c r="O86" s="293"/>
      <c r="P86" s="288"/>
      <c r="Q86" s="333"/>
      <c r="R86" s="293"/>
      <c r="S86" s="288"/>
      <c r="T86" s="293"/>
      <c r="U86" s="293"/>
      <c r="V86" s="293"/>
      <c r="W86" s="293"/>
      <c r="X86" s="293"/>
      <c r="Y86" s="293"/>
      <c r="Z86" s="293"/>
      <c r="AA86" s="293"/>
      <c r="AB86" s="344"/>
      <c r="AC86" s="85"/>
      <c r="AD86" s="295"/>
      <c r="AE86" s="293"/>
      <c r="AF86" s="293"/>
      <c r="AG86" s="293"/>
      <c r="AH86" s="288"/>
      <c r="AI86" s="293"/>
      <c r="AJ86" s="293"/>
      <c r="AK86" s="293"/>
      <c r="AL86" s="293"/>
      <c r="AM86" s="293"/>
      <c r="AN86" s="293"/>
      <c r="AO86" s="293"/>
      <c r="AP86" s="293"/>
      <c r="AQ86" s="314"/>
      <c r="AR86" s="305"/>
      <c r="AS86" s="29" t="s">
        <v>929</v>
      </c>
    </row>
    <row r="87" spans="1:45" ht="15">
      <c r="A87" s="163"/>
      <c r="B87" s="164"/>
      <c r="C87" s="306"/>
      <c r="D87" s="166"/>
      <c r="E87" s="167"/>
      <c r="F87" s="167"/>
      <c r="G87" s="167"/>
      <c r="H87" s="167"/>
      <c r="I87" s="335"/>
      <c r="J87" s="309"/>
      <c r="K87" s="310"/>
      <c r="L87" s="336" t="s">
        <v>296</v>
      </c>
      <c r="M87" s="312" t="s">
        <v>385</v>
      </c>
      <c r="N87" s="313" t="s">
        <v>445</v>
      </c>
      <c r="O87" s="314" t="s">
        <v>680</v>
      </c>
      <c r="P87" s="313" t="s">
        <v>701</v>
      </c>
      <c r="Q87" s="345" t="s">
        <v>385</v>
      </c>
      <c r="R87" s="314" t="s">
        <v>803</v>
      </c>
      <c r="S87" s="313" t="s">
        <v>846</v>
      </c>
      <c r="T87" s="314" t="s">
        <v>402</v>
      </c>
      <c r="U87" s="314" t="s">
        <v>402</v>
      </c>
      <c r="V87" s="314" t="s">
        <v>402</v>
      </c>
      <c r="W87" s="314" t="s">
        <v>402</v>
      </c>
      <c r="X87" s="314" t="s">
        <v>402</v>
      </c>
      <c r="Y87" s="314" t="s">
        <v>402</v>
      </c>
      <c r="Z87" s="314" t="s">
        <v>402</v>
      </c>
      <c r="AA87" s="314" t="s">
        <v>402</v>
      </c>
      <c r="AB87" s="348"/>
      <c r="AC87" s="349" t="s">
        <v>680</v>
      </c>
      <c r="AD87" s="314" t="s">
        <v>680</v>
      </c>
      <c r="AE87" s="314" t="s">
        <v>385</v>
      </c>
      <c r="AF87" s="314" t="s">
        <v>385</v>
      </c>
      <c r="AG87" s="314" t="s">
        <v>385</v>
      </c>
      <c r="AH87" s="313" t="s">
        <v>925</v>
      </c>
      <c r="AI87" s="314" t="s">
        <v>460</v>
      </c>
      <c r="AJ87" s="314" t="s">
        <v>926</v>
      </c>
      <c r="AK87" s="314" t="s">
        <v>402</v>
      </c>
      <c r="AL87" s="314" t="s">
        <v>385</v>
      </c>
      <c r="AM87" s="314" t="s">
        <v>927</v>
      </c>
      <c r="AN87" s="314" t="s">
        <v>402</v>
      </c>
      <c r="AO87" s="314" t="s">
        <v>402</v>
      </c>
      <c r="AP87" s="314" t="s">
        <v>402</v>
      </c>
      <c r="AQ87" s="314"/>
      <c r="AR87" s="322"/>
      <c r="AS87" s="172"/>
    </row>
    <row r="88" spans="1:45" ht="99">
      <c r="A88" s="68"/>
      <c r="B88" s="70" t="s">
        <v>492</v>
      </c>
      <c r="C88" s="284">
        <v>43483</v>
      </c>
      <c r="D88" s="74" t="s">
        <v>360</v>
      </c>
      <c r="E88" s="76">
        <v>43575</v>
      </c>
      <c r="F88" s="78" t="s">
        <v>363</v>
      </c>
      <c r="G88" s="76">
        <v>43581</v>
      </c>
      <c r="H88" s="78" t="s">
        <v>355</v>
      </c>
      <c r="I88" s="125" t="s">
        <v>935</v>
      </c>
      <c r="J88" s="350" t="s">
        <v>126</v>
      </c>
      <c r="K88" s="126" t="s">
        <v>941</v>
      </c>
      <c r="L88" s="300" t="s">
        <v>295</v>
      </c>
      <c r="M88" s="301" t="s">
        <v>374</v>
      </c>
      <c r="N88" s="289" t="s">
        <v>442</v>
      </c>
      <c r="O88" s="293" t="s">
        <v>680</v>
      </c>
      <c r="P88" s="293" t="s">
        <v>680</v>
      </c>
      <c r="Q88" s="333" t="s">
        <v>385</v>
      </c>
      <c r="R88" s="293" t="s">
        <v>804</v>
      </c>
      <c r="S88" s="289" t="s">
        <v>847</v>
      </c>
      <c r="T88" s="293" t="s">
        <v>402</v>
      </c>
      <c r="U88" s="293" t="s">
        <v>402</v>
      </c>
      <c r="V88" s="293" t="s">
        <v>402</v>
      </c>
      <c r="W88" s="293" t="s">
        <v>402</v>
      </c>
      <c r="X88" s="293" t="s">
        <v>355</v>
      </c>
      <c r="Y88" s="293" t="s">
        <v>355</v>
      </c>
      <c r="Z88" s="293" t="s">
        <v>402</v>
      </c>
      <c r="AA88" s="293" t="s">
        <v>402</v>
      </c>
      <c r="AB88" s="355" t="s">
        <v>951</v>
      </c>
      <c r="AC88" s="135" t="s">
        <v>911</v>
      </c>
      <c r="AD88" s="356" t="s">
        <v>442</v>
      </c>
      <c r="AE88" s="293" t="s">
        <v>354</v>
      </c>
      <c r="AF88" s="293" t="s">
        <v>385</v>
      </c>
      <c r="AG88" s="293" t="s">
        <v>385</v>
      </c>
      <c r="AH88" s="289" t="s">
        <v>980</v>
      </c>
      <c r="AI88" s="293" t="s">
        <v>460</v>
      </c>
      <c r="AJ88" s="289" t="s">
        <v>917</v>
      </c>
      <c r="AK88" s="330" t="s">
        <v>402</v>
      </c>
      <c r="AL88" s="293" t="s">
        <v>385</v>
      </c>
      <c r="AM88" s="289" t="s">
        <v>989</v>
      </c>
      <c r="AN88" s="330" t="s">
        <v>402</v>
      </c>
      <c r="AO88" s="330" t="s">
        <v>402</v>
      </c>
      <c r="AP88" s="330" t="s">
        <v>402</v>
      </c>
      <c r="AQ88" s="331" t="s">
        <v>990</v>
      </c>
      <c r="AR88" s="305">
        <v>20</v>
      </c>
      <c r="AS88" s="67"/>
    </row>
    <row r="89" spans="1:45" ht="15">
      <c r="A89" s="103"/>
      <c r="B89" s="70"/>
      <c r="C89" s="284"/>
      <c r="D89" s="74"/>
      <c r="E89" s="104"/>
      <c r="F89" s="104"/>
      <c r="G89" s="104"/>
      <c r="H89" s="104"/>
      <c r="I89" s="125"/>
      <c r="J89" s="285"/>
      <c r="K89" s="299"/>
      <c r="L89" s="300"/>
      <c r="M89" s="301"/>
      <c r="N89" s="288"/>
      <c r="O89" s="293"/>
      <c r="P89" s="293"/>
      <c r="Q89" s="333"/>
      <c r="R89" s="293"/>
      <c r="S89" s="288"/>
      <c r="T89" s="293"/>
      <c r="U89" s="293"/>
      <c r="V89" s="293"/>
      <c r="W89" s="293"/>
      <c r="X89" s="293"/>
      <c r="Y89" s="293"/>
      <c r="Z89" s="293"/>
      <c r="AA89" s="293"/>
      <c r="AB89" s="359"/>
      <c r="AC89" s="135"/>
      <c r="AD89" s="327"/>
      <c r="AE89" s="293"/>
      <c r="AF89" s="293"/>
      <c r="AG89" s="293"/>
      <c r="AH89" s="288"/>
      <c r="AI89" s="293"/>
      <c r="AJ89" s="293"/>
      <c r="AK89" s="330"/>
      <c r="AL89" s="293"/>
      <c r="AM89" s="293"/>
      <c r="AN89" s="330"/>
      <c r="AO89" s="330"/>
      <c r="AP89" s="330"/>
      <c r="AQ89" s="293" t="s">
        <v>920</v>
      </c>
      <c r="AR89" s="305"/>
      <c r="AS89" s="67"/>
    </row>
    <row r="90" spans="1:45" ht="15">
      <c r="A90" s="163"/>
      <c r="B90" s="164"/>
      <c r="C90" s="306"/>
      <c r="D90" s="166"/>
      <c r="E90" s="167"/>
      <c r="F90" s="167"/>
      <c r="G90" s="167"/>
      <c r="H90" s="176" t="s">
        <v>991</v>
      </c>
      <c r="I90" s="335"/>
      <c r="J90" s="309"/>
      <c r="K90" s="310"/>
      <c r="L90" s="336" t="s">
        <v>295</v>
      </c>
      <c r="M90" s="312" t="s">
        <v>374</v>
      </c>
      <c r="N90" s="313" t="s">
        <v>442</v>
      </c>
      <c r="O90" s="314" t="s">
        <v>680</v>
      </c>
      <c r="P90" s="314" t="s">
        <v>680</v>
      </c>
      <c r="Q90" s="345" t="s">
        <v>385</v>
      </c>
      <c r="R90" s="314" t="s">
        <v>804</v>
      </c>
      <c r="S90" s="313" t="s">
        <v>847</v>
      </c>
      <c r="T90" s="314" t="s">
        <v>402</v>
      </c>
      <c r="U90" s="314" t="s">
        <v>402</v>
      </c>
      <c r="V90" s="314" t="s">
        <v>402</v>
      </c>
      <c r="W90" s="314" t="s">
        <v>402</v>
      </c>
      <c r="X90" s="314" t="s">
        <v>355</v>
      </c>
      <c r="Y90" s="314" t="s">
        <v>403</v>
      </c>
      <c r="Z90" s="314" t="s">
        <v>402</v>
      </c>
      <c r="AA90" s="314" t="s">
        <v>402</v>
      </c>
      <c r="AB90" s="360" t="s">
        <v>931</v>
      </c>
      <c r="AC90" s="319" t="s">
        <v>952</v>
      </c>
      <c r="AD90" s="339" t="s">
        <v>442</v>
      </c>
      <c r="AE90" s="314" t="s">
        <v>354</v>
      </c>
      <c r="AF90" s="314" t="s">
        <v>355</v>
      </c>
      <c r="AG90" s="314" t="s">
        <v>385</v>
      </c>
      <c r="AH90" s="313" t="s">
        <v>980</v>
      </c>
      <c r="AI90" s="314" t="s">
        <v>460</v>
      </c>
      <c r="AJ90" s="331" t="s">
        <v>917</v>
      </c>
      <c r="AK90" s="341" t="s">
        <v>402</v>
      </c>
      <c r="AL90" s="314" t="s">
        <v>385</v>
      </c>
      <c r="AM90" s="314" t="s">
        <v>992</v>
      </c>
      <c r="AN90" s="341" t="s">
        <v>402</v>
      </c>
      <c r="AO90" s="341" t="s">
        <v>402</v>
      </c>
      <c r="AP90" s="341" t="s">
        <v>402</v>
      </c>
      <c r="AQ90" s="314"/>
      <c r="AR90" s="322"/>
      <c r="AS90" s="140"/>
    </row>
    <row r="91" spans="1:45" ht="15">
      <c r="A91" s="68"/>
      <c r="B91" s="70" t="s">
        <v>492</v>
      </c>
      <c r="C91" s="284">
        <v>43483</v>
      </c>
      <c r="D91" s="74" t="s">
        <v>360</v>
      </c>
      <c r="E91" s="76">
        <v>43576</v>
      </c>
      <c r="F91" s="78" t="s">
        <v>363</v>
      </c>
      <c r="G91" s="76">
        <v>43581</v>
      </c>
      <c r="H91" s="78" t="s">
        <v>355</v>
      </c>
      <c r="I91" s="125" t="s">
        <v>993</v>
      </c>
      <c r="J91" s="350" t="s">
        <v>127</v>
      </c>
      <c r="K91" s="300" t="s">
        <v>994</v>
      </c>
      <c r="L91" s="300" t="s">
        <v>295</v>
      </c>
      <c r="M91" s="301" t="s">
        <v>374</v>
      </c>
      <c r="N91" s="289" t="s">
        <v>442</v>
      </c>
      <c r="O91" s="293" t="s">
        <v>680</v>
      </c>
      <c r="P91" s="293" t="s">
        <v>680</v>
      </c>
      <c r="Q91" s="333" t="s">
        <v>385</v>
      </c>
      <c r="R91" s="293" t="s">
        <v>804</v>
      </c>
      <c r="S91" s="289" t="s">
        <v>848</v>
      </c>
      <c r="T91" s="293" t="s">
        <v>402</v>
      </c>
      <c r="U91" s="293" t="s">
        <v>402</v>
      </c>
      <c r="V91" s="293" t="s">
        <v>402</v>
      </c>
      <c r="W91" s="293" t="s">
        <v>402</v>
      </c>
      <c r="X91" s="293" t="s">
        <v>355</v>
      </c>
      <c r="Y91" s="293" t="s">
        <v>355</v>
      </c>
      <c r="Z91" s="293" t="s">
        <v>402</v>
      </c>
      <c r="AA91" s="293" t="s">
        <v>402</v>
      </c>
      <c r="AB91" s="294" t="s">
        <v>995</v>
      </c>
      <c r="AC91" s="135" t="s">
        <v>911</v>
      </c>
      <c r="AD91" s="356" t="s">
        <v>442</v>
      </c>
      <c r="AE91" s="293" t="s">
        <v>354</v>
      </c>
      <c r="AF91" s="293" t="s">
        <v>385</v>
      </c>
      <c r="AG91" s="293" t="s">
        <v>385</v>
      </c>
      <c r="AH91" s="289" t="s">
        <v>996</v>
      </c>
      <c r="AI91" s="293" t="s">
        <v>460</v>
      </c>
      <c r="AJ91" s="289" t="s">
        <v>917</v>
      </c>
      <c r="AK91" s="330" t="s">
        <v>402</v>
      </c>
      <c r="AL91" s="293" t="s">
        <v>385</v>
      </c>
      <c r="AM91" s="289" t="s">
        <v>918</v>
      </c>
      <c r="AN91" s="330" t="s">
        <v>402</v>
      </c>
      <c r="AO91" s="330" t="s">
        <v>402</v>
      </c>
      <c r="AP91" s="330" t="s">
        <v>402</v>
      </c>
      <c r="AQ91" s="331" t="s">
        <v>998</v>
      </c>
      <c r="AR91" s="305">
        <v>19</v>
      </c>
      <c r="AS91" s="67"/>
    </row>
    <row r="92" spans="1:45" ht="15">
      <c r="A92" s="103"/>
      <c r="B92" s="70"/>
      <c r="C92" s="284"/>
      <c r="D92" s="74"/>
      <c r="E92" s="104"/>
      <c r="F92" s="104"/>
      <c r="G92" s="104"/>
      <c r="H92" s="104"/>
      <c r="I92" s="125"/>
      <c r="J92" s="285"/>
      <c r="K92" s="299"/>
      <c r="L92" s="300"/>
      <c r="M92" s="301"/>
      <c r="N92" s="288"/>
      <c r="O92" s="293"/>
      <c r="P92" s="293"/>
      <c r="Q92" s="333"/>
      <c r="R92" s="293"/>
      <c r="S92" s="288"/>
      <c r="T92" s="293"/>
      <c r="U92" s="293"/>
      <c r="V92" s="293"/>
      <c r="W92" s="293"/>
      <c r="X92" s="293"/>
      <c r="Y92" s="293"/>
      <c r="Z92" s="293"/>
      <c r="AA92" s="293"/>
      <c r="AB92" s="304"/>
      <c r="AC92" s="135"/>
      <c r="AD92" s="327"/>
      <c r="AE92" s="293"/>
      <c r="AF92" s="293"/>
      <c r="AG92" s="293"/>
      <c r="AH92" s="288"/>
      <c r="AI92" s="293"/>
      <c r="AJ92" s="293"/>
      <c r="AK92" s="330"/>
      <c r="AL92" s="293"/>
      <c r="AM92" s="293"/>
      <c r="AN92" s="330"/>
      <c r="AO92" s="330"/>
      <c r="AP92" s="330"/>
      <c r="AQ92" s="314"/>
      <c r="AR92" s="305"/>
      <c r="AS92" s="67"/>
    </row>
    <row r="93" spans="1:45" ht="15">
      <c r="A93" s="163"/>
      <c r="B93" s="164"/>
      <c r="C93" s="306"/>
      <c r="D93" s="166"/>
      <c r="E93" s="167"/>
      <c r="F93" s="167"/>
      <c r="G93" s="167"/>
      <c r="H93" s="176" t="s">
        <v>1000</v>
      </c>
      <c r="I93" s="335"/>
      <c r="J93" s="309"/>
      <c r="K93" s="310"/>
      <c r="L93" s="336" t="s">
        <v>295</v>
      </c>
      <c r="M93" s="312" t="s">
        <v>374</v>
      </c>
      <c r="N93" s="313" t="s">
        <v>442</v>
      </c>
      <c r="O93" s="314" t="s">
        <v>680</v>
      </c>
      <c r="P93" s="314" t="s">
        <v>680</v>
      </c>
      <c r="Q93" s="345" t="s">
        <v>385</v>
      </c>
      <c r="R93" s="314" t="s">
        <v>804</v>
      </c>
      <c r="S93" s="313" t="s">
        <v>848</v>
      </c>
      <c r="T93" s="314" t="s">
        <v>402</v>
      </c>
      <c r="U93" s="314" t="s">
        <v>402</v>
      </c>
      <c r="V93" s="314" t="s">
        <v>402</v>
      </c>
      <c r="W93" s="314" t="s">
        <v>402</v>
      </c>
      <c r="X93" s="314" t="s">
        <v>355</v>
      </c>
      <c r="Y93" s="314" t="s">
        <v>403</v>
      </c>
      <c r="Z93" s="314" t="s">
        <v>402</v>
      </c>
      <c r="AA93" s="314" t="s">
        <v>402</v>
      </c>
      <c r="AB93" s="361" t="s">
        <v>932</v>
      </c>
      <c r="AC93" s="319" t="s">
        <v>911</v>
      </c>
      <c r="AD93" s="339" t="s">
        <v>442</v>
      </c>
      <c r="AE93" s="314" t="s">
        <v>354</v>
      </c>
      <c r="AF93" s="314" t="s">
        <v>355</v>
      </c>
      <c r="AG93" s="314" t="s">
        <v>385</v>
      </c>
      <c r="AH93" s="313" t="s">
        <v>996</v>
      </c>
      <c r="AI93" s="314" t="s">
        <v>460</v>
      </c>
      <c r="AJ93" s="331" t="s">
        <v>917</v>
      </c>
      <c r="AK93" s="341" t="s">
        <v>402</v>
      </c>
      <c r="AL93" s="314" t="s">
        <v>385</v>
      </c>
      <c r="AM93" s="314" t="s">
        <v>1002</v>
      </c>
      <c r="AN93" s="341" t="s">
        <v>402</v>
      </c>
      <c r="AO93" s="341" t="s">
        <v>402</v>
      </c>
      <c r="AP93" s="341" t="s">
        <v>402</v>
      </c>
      <c r="AQ93" s="314"/>
      <c r="AR93" s="322"/>
      <c r="AS93" s="140"/>
    </row>
    <row r="94" spans="1:45" ht="57">
      <c r="A94" s="68"/>
      <c r="B94" s="70" t="s">
        <v>492</v>
      </c>
      <c r="C94" s="284">
        <v>43483</v>
      </c>
      <c r="D94" s="74" t="s">
        <v>360</v>
      </c>
      <c r="E94" s="76">
        <v>43576</v>
      </c>
      <c r="F94" s="78" t="s">
        <v>363</v>
      </c>
      <c r="G94" s="76">
        <v>43581</v>
      </c>
      <c r="H94" s="78" t="s">
        <v>355</v>
      </c>
      <c r="I94" s="125" t="s">
        <v>1003</v>
      </c>
      <c r="J94" s="350" t="s">
        <v>128</v>
      </c>
      <c r="K94" s="126" t="s">
        <v>994</v>
      </c>
      <c r="L94" s="300" t="s">
        <v>295</v>
      </c>
      <c r="M94" s="301" t="s">
        <v>374</v>
      </c>
      <c r="N94" s="289" t="s">
        <v>442</v>
      </c>
      <c r="O94" s="293" t="s">
        <v>680</v>
      </c>
      <c r="P94" s="293" t="s">
        <v>680</v>
      </c>
      <c r="Q94" s="333" t="s">
        <v>385</v>
      </c>
      <c r="R94" s="293" t="s">
        <v>804</v>
      </c>
      <c r="S94" s="289" t="s">
        <v>849</v>
      </c>
      <c r="T94" s="293" t="s">
        <v>402</v>
      </c>
      <c r="U94" s="293" t="s">
        <v>402</v>
      </c>
      <c r="V94" s="293" t="s">
        <v>402</v>
      </c>
      <c r="W94" s="293" t="s">
        <v>402</v>
      </c>
      <c r="X94" s="293" t="s">
        <v>355</v>
      </c>
      <c r="Y94" s="293" t="s">
        <v>355</v>
      </c>
      <c r="Z94" s="293" t="s">
        <v>402</v>
      </c>
      <c r="AA94" s="293" t="s">
        <v>402</v>
      </c>
      <c r="AB94" s="294" t="s">
        <v>1006</v>
      </c>
      <c r="AC94" s="135" t="s">
        <v>911</v>
      </c>
      <c r="AD94" s="356" t="s">
        <v>442</v>
      </c>
      <c r="AE94" s="293" t="s">
        <v>354</v>
      </c>
      <c r="AF94" s="293" t="s">
        <v>385</v>
      </c>
      <c r="AG94" s="293" t="s">
        <v>385</v>
      </c>
      <c r="AH94" s="289" t="s">
        <v>1007</v>
      </c>
      <c r="AI94" s="293" t="s">
        <v>460</v>
      </c>
      <c r="AJ94" s="289" t="s">
        <v>917</v>
      </c>
      <c r="AK94" s="330" t="s">
        <v>402</v>
      </c>
      <c r="AL94" s="293" t="s">
        <v>385</v>
      </c>
      <c r="AM94" s="289" t="s">
        <v>918</v>
      </c>
      <c r="AN94" s="330" t="s">
        <v>402</v>
      </c>
      <c r="AO94" s="330" t="s">
        <v>402</v>
      </c>
      <c r="AP94" s="330" t="s">
        <v>402</v>
      </c>
      <c r="AQ94" s="331" t="s">
        <v>1010</v>
      </c>
      <c r="AR94" s="305">
        <v>18</v>
      </c>
      <c r="AS94" s="67"/>
    </row>
    <row r="95" spans="1:45" ht="15">
      <c r="A95" s="103"/>
      <c r="B95" s="70"/>
      <c r="C95" s="284"/>
      <c r="D95" s="74"/>
      <c r="E95" s="104"/>
      <c r="F95" s="104"/>
      <c r="G95" s="104"/>
      <c r="H95" s="104"/>
      <c r="I95" s="125"/>
      <c r="J95" s="350"/>
      <c r="K95" s="300"/>
      <c r="L95" s="300"/>
      <c r="M95" s="301"/>
      <c r="N95" s="288"/>
      <c r="O95" s="293"/>
      <c r="P95" s="293"/>
      <c r="Q95" s="362"/>
      <c r="R95" s="293"/>
      <c r="S95" s="288"/>
      <c r="T95" s="293"/>
      <c r="U95" s="293"/>
      <c r="V95" s="293"/>
      <c r="W95" s="293"/>
      <c r="X95" s="293"/>
      <c r="Y95" s="293"/>
      <c r="Z95" s="293"/>
      <c r="AA95" s="293"/>
      <c r="AB95" s="304"/>
      <c r="AC95" s="135"/>
      <c r="AD95" s="327"/>
      <c r="AE95" s="293"/>
      <c r="AF95" s="293"/>
      <c r="AG95" s="293"/>
      <c r="AH95" s="288"/>
      <c r="AI95" s="293"/>
      <c r="AJ95" s="293"/>
      <c r="AK95" s="330"/>
      <c r="AL95" s="293"/>
      <c r="AM95" s="293"/>
      <c r="AN95" s="330"/>
      <c r="AO95" s="330"/>
      <c r="AP95" s="330"/>
      <c r="AQ95" s="314"/>
      <c r="AR95" s="305"/>
      <c r="AS95" s="67"/>
    </row>
    <row r="96" spans="1:45" ht="15">
      <c r="A96" s="163"/>
      <c r="B96" s="164"/>
      <c r="C96" s="306"/>
      <c r="D96" s="166"/>
      <c r="E96" s="167"/>
      <c r="F96" s="167"/>
      <c r="G96" s="167"/>
      <c r="H96" s="176" t="s">
        <v>1000</v>
      </c>
      <c r="I96" s="335"/>
      <c r="J96" s="363"/>
      <c r="K96" s="336"/>
      <c r="L96" s="336" t="s">
        <v>295</v>
      </c>
      <c r="M96" s="312" t="s">
        <v>374</v>
      </c>
      <c r="N96" s="313" t="s">
        <v>442</v>
      </c>
      <c r="O96" s="314" t="s">
        <v>680</v>
      </c>
      <c r="P96" s="314" t="s">
        <v>680</v>
      </c>
      <c r="Q96" s="345" t="s">
        <v>385</v>
      </c>
      <c r="R96" s="314" t="s">
        <v>804</v>
      </c>
      <c r="S96" s="313" t="s">
        <v>849</v>
      </c>
      <c r="T96" s="314" t="s">
        <v>402</v>
      </c>
      <c r="U96" s="314" t="s">
        <v>402</v>
      </c>
      <c r="V96" s="314" t="s">
        <v>402</v>
      </c>
      <c r="W96" s="314" t="s">
        <v>402</v>
      </c>
      <c r="X96" s="314" t="s">
        <v>355</v>
      </c>
      <c r="Y96" s="314" t="s">
        <v>403</v>
      </c>
      <c r="Z96" s="314" t="s">
        <v>402</v>
      </c>
      <c r="AA96" s="314" t="s">
        <v>402</v>
      </c>
      <c r="AB96" s="361" t="s">
        <v>933</v>
      </c>
      <c r="AC96" s="319" t="s">
        <v>911</v>
      </c>
      <c r="AD96" s="339" t="s">
        <v>442</v>
      </c>
      <c r="AE96" s="314" t="s">
        <v>354</v>
      </c>
      <c r="AF96" s="314" t="s">
        <v>355</v>
      </c>
      <c r="AG96" s="314" t="s">
        <v>385</v>
      </c>
      <c r="AH96" s="313" t="s">
        <v>1007</v>
      </c>
      <c r="AI96" s="314" t="s">
        <v>460</v>
      </c>
      <c r="AJ96" s="331" t="s">
        <v>917</v>
      </c>
      <c r="AK96" s="341" t="s">
        <v>402</v>
      </c>
      <c r="AL96" s="314" t="s">
        <v>385</v>
      </c>
      <c r="AM96" s="314" t="s">
        <v>1015</v>
      </c>
      <c r="AN96" s="341" t="s">
        <v>402</v>
      </c>
      <c r="AO96" s="341" t="s">
        <v>402</v>
      </c>
      <c r="AP96" s="341" t="s">
        <v>402</v>
      </c>
      <c r="AQ96" s="314"/>
      <c r="AR96" s="322"/>
      <c r="AS96" s="140"/>
    </row>
    <row r="97" spans="1:45" ht="43">
      <c r="A97" s="103"/>
      <c r="B97" s="70" t="s">
        <v>492</v>
      </c>
      <c r="C97" s="284">
        <v>43483</v>
      </c>
      <c r="D97" s="74" t="s">
        <v>360</v>
      </c>
      <c r="E97" s="76">
        <v>43576</v>
      </c>
      <c r="F97" s="78" t="s">
        <v>363</v>
      </c>
      <c r="G97" s="76">
        <v>43581</v>
      </c>
      <c r="H97" s="78" t="s">
        <v>355</v>
      </c>
      <c r="I97" s="125" t="s">
        <v>1016</v>
      </c>
      <c r="J97" s="350" t="s">
        <v>129</v>
      </c>
      <c r="K97" s="126" t="s">
        <v>469</v>
      </c>
      <c r="L97" s="300" t="s">
        <v>297</v>
      </c>
      <c r="M97" s="301" t="s">
        <v>387</v>
      </c>
      <c r="N97" s="288" t="s">
        <v>454</v>
      </c>
      <c r="O97" s="293" t="s">
        <v>680</v>
      </c>
      <c r="P97" s="288" t="s">
        <v>703</v>
      </c>
      <c r="Q97" s="293" t="s">
        <v>792</v>
      </c>
      <c r="R97" s="293" t="s">
        <v>805</v>
      </c>
      <c r="S97" s="288" t="s">
        <v>852</v>
      </c>
      <c r="T97" s="293" t="s">
        <v>355</v>
      </c>
      <c r="U97" s="293" t="s">
        <v>402</v>
      </c>
      <c r="V97" s="293" t="s">
        <v>402</v>
      </c>
      <c r="W97" s="293" t="s">
        <v>402</v>
      </c>
      <c r="X97" s="293" t="s">
        <v>403</v>
      </c>
      <c r="Y97" s="293" t="s">
        <v>403</v>
      </c>
      <c r="Z97" s="293" t="s">
        <v>402</v>
      </c>
      <c r="AA97" s="293" t="s">
        <v>402</v>
      </c>
      <c r="AB97" s="293" t="s">
        <v>934</v>
      </c>
      <c r="AC97" s="293" t="s">
        <v>680</v>
      </c>
      <c r="AD97" s="293" t="s">
        <v>680</v>
      </c>
      <c r="AE97" s="293" t="s">
        <v>385</v>
      </c>
      <c r="AF97" s="293" t="s">
        <v>385</v>
      </c>
      <c r="AG97" s="293" t="s">
        <v>385</v>
      </c>
      <c r="AH97" s="288" t="s">
        <v>1023</v>
      </c>
      <c r="AI97" s="293" t="s">
        <v>630</v>
      </c>
      <c r="AJ97" s="293" t="s">
        <v>1026</v>
      </c>
      <c r="AK97" s="293" t="s">
        <v>412</v>
      </c>
      <c r="AL97" s="293" t="s">
        <v>385</v>
      </c>
      <c r="AM97" s="293" t="s">
        <v>385</v>
      </c>
      <c r="AN97" s="330" t="s">
        <v>402</v>
      </c>
      <c r="AO97" s="330" t="s">
        <v>402</v>
      </c>
      <c r="AP97" s="330" t="s">
        <v>402</v>
      </c>
      <c r="AQ97" s="331" t="s">
        <v>1028</v>
      </c>
      <c r="AR97" s="305">
        <v>25</v>
      </c>
      <c r="AS97" s="67"/>
    </row>
    <row r="98" spans="1:45" ht="15">
      <c r="A98" s="103"/>
      <c r="B98" s="70"/>
      <c r="C98" s="284"/>
      <c r="D98" s="74"/>
      <c r="E98" s="104"/>
      <c r="F98" s="104"/>
      <c r="G98" s="104"/>
      <c r="H98" s="104"/>
      <c r="I98" s="125"/>
      <c r="J98" s="350"/>
      <c r="K98" s="300"/>
      <c r="L98" s="300"/>
      <c r="M98" s="301"/>
      <c r="N98" s="288"/>
      <c r="O98" s="293"/>
      <c r="P98" s="288"/>
      <c r="Q98" s="293"/>
      <c r="R98" s="293"/>
      <c r="S98" s="288"/>
      <c r="T98" s="293"/>
      <c r="U98" s="293"/>
      <c r="V98" s="293"/>
      <c r="W98" s="293"/>
      <c r="X98" s="293"/>
      <c r="Y98" s="293"/>
      <c r="Z98" s="293"/>
      <c r="AA98" s="293"/>
      <c r="AB98" s="293"/>
      <c r="AC98" s="293"/>
      <c r="AD98" s="293"/>
      <c r="AE98" s="293"/>
      <c r="AF98" s="293"/>
      <c r="AG98" s="293"/>
      <c r="AH98" s="288"/>
      <c r="AI98" s="293"/>
      <c r="AJ98" s="293"/>
      <c r="AK98" s="293"/>
      <c r="AL98" s="293"/>
      <c r="AM98" s="293"/>
      <c r="AN98" s="330"/>
      <c r="AO98" s="330"/>
      <c r="AP98" s="330"/>
      <c r="AQ98" s="314"/>
      <c r="AR98" s="305"/>
      <c r="AS98" s="67"/>
    </row>
    <row r="99" spans="1:45" ht="15">
      <c r="A99" s="103"/>
      <c r="B99" s="70"/>
      <c r="C99" s="284"/>
      <c r="D99" s="74"/>
      <c r="E99" s="104"/>
      <c r="F99" s="104"/>
      <c r="G99" s="104"/>
      <c r="H99" s="104"/>
      <c r="I99" s="125"/>
      <c r="J99" s="350"/>
      <c r="K99" s="300"/>
      <c r="L99" s="300" t="s">
        <v>297</v>
      </c>
      <c r="M99" s="301" t="s">
        <v>387</v>
      </c>
      <c r="N99" s="288" t="s">
        <v>454</v>
      </c>
      <c r="O99" s="293" t="s">
        <v>680</v>
      </c>
      <c r="P99" s="288" t="s">
        <v>703</v>
      </c>
      <c r="Q99" s="293" t="s">
        <v>792</v>
      </c>
      <c r="R99" s="293" t="s">
        <v>805</v>
      </c>
      <c r="S99" s="288" t="s">
        <v>852</v>
      </c>
      <c r="T99" s="293" t="s">
        <v>355</v>
      </c>
      <c r="U99" s="293" t="s">
        <v>402</v>
      </c>
      <c r="V99" s="293" t="s">
        <v>402</v>
      </c>
      <c r="W99" s="293" t="s">
        <v>402</v>
      </c>
      <c r="X99" s="293" t="s">
        <v>403</v>
      </c>
      <c r="Y99" s="293" t="s">
        <v>403</v>
      </c>
      <c r="Z99" s="293" t="s">
        <v>402</v>
      </c>
      <c r="AA99" s="293" t="s">
        <v>402</v>
      </c>
      <c r="AB99" s="293" t="s">
        <v>934</v>
      </c>
      <c r="AC99" s="293" t="s">
        <v>680</v>
      </c>
      <c r="AD99" s="293" t="s">
        <v>680</v>
      </c>
      <c r="AE99" s="293" t="s">
        <v>385</v>
      </c>
      <c r="AF99" s="293" t="s">
        <v>385</v>
      </c>
      <c r="AG99" s="293" t="s">
        <v>385</v>
      </c>
      <c r="AH99" s="288" t="s">
        <v>1023</v>
      </c>
      <c r="AI99" s="293" t="s">
        <v>630</v>
      </c>
      <c r="AJ99" s="293" t="s">
        <v>1026</v>
      </c>
      <c r="AK99" s="293" t="s">
        <v>412</v>
      </c>
      <c r="AL99" s="293" t="s">
        <v>385</v>
      </c>
      <c r="AM99" s="293" t="s">
        <v>385</v>
      </c>
      <c r="AN99" s="330" t="s">
        <v>402</v>
      </c>
      <c r="AO99" s="330" t="s">
        <v>402</v>
      </c>
      <c r="AP99" s="330" t="s">
        <v>402</v>
      </c>
      <c r="AQ99" s="314"/>
      <c r="AR99" s="305"/>
      <c r="AS99" s="67"/>
    </row>
    <row r="100" spans="1:45" ht="43">
      <c r="A100" s="103"/>
      <c r="B100" s="70" t="s">
        <v>492</v>
      </c>
      <c r="C100" s="284">
        <v>43483</v>
      </c>
      <c r="D100" s="74" t="s">
        <v>360</v>
      </c>
      <c r="E100" s="76">
        <v>43576</v>
      </c>
      <c r="F100" s="78" t="s">
        <v>363</v>
      </c>
      <c r="G100" s="76">
        <v>43581</v>
      </c>
      <c r="H100" s="78" t="s">
        <v>355</v>
      </c>
      <c r="I100" s="125" t="s">
        <v>1032</v>
      </c>
      <c r="J100" s="350" t="s">
        <v>130</v>
      </c>
      <c r="K100" s="126" t="s">
        <v>469</v>
      </c>
      <c r="L100" s="300" t="s">
        <v>298</v>
      </c>
      <c r="M100" s="301" t="s">
        <v>385</v>
      </c>
      <c r="N100" s="288" t="s">
        <v>456</v>
      </c>
      <c r="O100" s="293" t="s">
        <v>680</v>
      </c>
      <c r="P100" s="293" t="s">
        <v>680</v>
      </c>
      <c r="Q100" s="293" t="s">
        <v>385</v>
      </c>
      <c r="R100" s="293" t="s">
        <v>806</v>
      </c>
      <c r="S100" s="288" t="s">
        <v>473</v>
      </c>
      <c r="T100" s="293" t="s">
        <v>402</v>
      </c>
      <c r="U100" s="293" t="s">
        <v>402</v>
      </c>
      <c r="V100" s="293" t="s">
        <v>402</v>
      </c>
      <c r="W100" s="293" t="s">
        <v>402</v>
      </c>
      <c r="X100" s="293" t="s">
        <v>402</v>
      </c>
      <c r="Y100" s="293" t="s">
        <v>402</v>
      </c>
      <c r="Z100" s="293" t="s">
        <v>402</v>
      </c>
      <c r="AA100" s="293" t="s">
        <v>402</v>
      </c>
      <c r="AB100" s="330" t="s">
        <v>402</v>
      </c>
      <c r="AC100" s="293" t="s">
        <v>402</v>
      </c>
      <c r="AD100" s="293" t="s">
        <v>680</v>
      </c>
      <c r="AE100" s="293" t="s">
        <v>385</v>
      </c>
      <c r="AF100" s="293" t="s">
        <v>385</v>
      </c>
      <c r="AG100" s="293" t="s">
        <v>385</v>
      </c>
      <c r="AH100" s="288" t="s">
        <v>1034</v>
      </c>
      <c r="AI100" s="293" t="s">
        <v>1036</v>
      </c>
      <c r="AJ100" s="293" t="s">
        <v>402</v>
      </c>
      <c r="AK100" s="293" t="s">
        <v>355</v>
      </c>
      <c r="AL100" s="293" t="s">
        <v>385</v>
      </c>
      <c r="AM100" s="330" t="s">
        <v>402</v>
      </c>
      <c r="AN100" s="330" t="s">
        <v>402</v>
      </c>
      <c r="AO100" s="330" t="s">
        <v>402</v>
      </c>
      <c r="AP100" s="330" t="s">
        <v>402</v>
      </c>
      <c r="AQ100" s="331" t="s">
        <v>1037</v>
      </c>
      <c r="AR100" s="305">
        <v>20</v>
      </c>
      <c r="AS100" s="67"/>
    </row>
    <row r="101" spans="1:45" ht="15">
      <c r="A101" s="103"/>
      <c r="B101" s="70"/>
      <c r="C101" s="284"/>
      <c r="D101" s="74"/>
      <c r="E101" s="104"/>
      <c r="F101" s="104"/>
      <c r="G101" s="104"/>
      <c r="H101" s="104"/>
      <c r="I101" s="125"/>
      <c r="J101" s="350"/>
      <c r="K101" s="300"/>
      <c r="L101" s="300"/>
      <c r="M101" s="301"/>
      <c r="N101" s="288"/>
      <c r="O101" s="293"/>
      <c r="P101" s="293"/>
      <c r="Q101" s="293"/>
      <c r="R101" s="293"/>
      <c r="S101" s="288"/>
      <c r="T101" s="293"/>
      <c r="U101" s="293"/>
      <c r="V101" s="293"/>
      <c r="W101" s="293"/>
      <c r="X101" s="293"/>
      <c r="Y101" s="293"/>
      <c r="Z101" s="293"/>
      <c r="AA101" s="293"/>
      <c r="AB101" s="330"/>
      <c r="AC101" s="293"/>
      <c r="AD101" s="293"/>
      <c r="AE101" s="293"/>
      <c r="AF101" s="293"/>
      <c r="AG101" s="293"/>
      <c r="AH101" s="288"/>
      <c r="AI101" s="293"/>
      <c r="AJ101" s="293"/>
      <c r="AK101" s="293"/>
      <c r="AL101" s="293"/>
      <c r="AM101" s="330"/>
      <c r="AN101" s="330"/>
      <c r="AO101" s="330"/>
      <c r="AP101" s="330"/>
      <c r="AQ101" s="293" t="s">
        <v>1038</v>
      </c>
      <c r="AR101" s="305"/>
      <c r="AS101" s="67"/>
    </row>
    <row r="102" spans="1:45" ht="15">
      <c r="A102" s="103"/>
      <c r="B102" s="70"/>
      <c r="C102" s="284"/>
      <c r="D102" s="74"/>
      <c r="E102" s="104"/>
      <c r="F102" s="104"/>
      <c r="G102" s="104"/>
      <c r="H102" s="104"/>
      <c r="I102" s="125"/>
      <c r="J102" s="350"/>
      <c r="K102" s="300"/>
      <c r="L102" s="300" t="s">
        <v>298</v>
      </c>
      <c r="M102" s="301" t="s">
        <v>385</v>
      </c>
      <c r="N102" s="288" t="s">
        <v>456</v>
      </c>
      <c r="O102" s="293" t="s">
        <v>680</v>
      </c>
      <c r="P102" s="293" t="s">
        <v>680</v>
      </c>
      <c r="Q102" s="293" t="s">
        <v>385</v>
      </c>
      <c r="R102" s="293" t="s">
        <v>806</v>
      </c>
      <c r="S102" s="288" t="s">
        <v>473</v>
      </c>
      <c r="T102" s="293" t="s">
        <v>402</v>
      </c>
      <c r="U102" s="293" t="s">
        <v>402</v>
      </c>
      <c r="V102" s="293" t="s">
        <v>402</v>
      </c>
      <c r="W102" s="293" t="s">
        <v>402</v>
      </c>
      <c r="X102" s="293" t="s">
        <v>402</v>
      </c>
      <c r="Y102" s="293" t="s">
        <v>402</v>
      </c>
      <c r="Z102" s="293" t="s">
        <v>402</v>
      </c>
      <c r="AA102" s="293" t="s">
        <v>402</v>
      </c>
      <c r="AB102" s="330" t="s">
        <v>402</v>
      </c>
      <c r="AC102" s="293" t="s">
        <v>402</v>
      </c>
      <c r="AD102" s="293" t="s">
        <v>680</v>
      </c>
      <c r="AE102" s="293" t="s">
        <v>385</v>
      </c>
      <c r="AF102" s="293" t="s">
        <v>385</v>
      </c>
      <c r="AG102" s="293" t="s">
        <v>385</v>
      </c>
      <c r="AH102" s="288" t="s">
        <v>1034</v>
      </c>
      <c r="AI102" s="293" t="s">
        <v>1036</v>
      </c>
      <c r="AJ102" s="293" t="s">
        <v>402</v>
      </c>
      <c r="AK102" s="293" t="s">
        <v>355</v>
      </c>
      <c r="AL102" s="293" t="s">
        <v>385</v>
      </c>
      <c r="AM102" s="330" t="s">
        <v>402</v>
      </c>
      <c r="AN102" s="330" t="s">
        <v>402</v>
      </c>
      <c r="AO102" s="330" t="s">
        <v>402</v>
      </c>
      <c r="AP102" s="330" t="s">
        <v>402</v>
      </c>
      <c r="AQ102" s="293"/>
      <c r="AR102" s="305"/>
      <c r="AS102" s="67"/>
    </row>
    <row r="103" spans="1:45" ht="43">
      <c r="A103" s="103"/>
      <c r="B103" s="70" t="s">
        <v>492</v>
      </c>
      <c r="C103" s="284">
        <v>43483</v>
      </c>
      <c r="D103" s="74" t="s">
        <v>363</v>
      </c>
      <c r="E103" s="76">
        <v>43572</v>
      </c>
      <c r="F103" s="78" t="s">
        <v>360</v>
      </c>
      <c r="G103" s="76">
        <v>43580</v>
      </c>
      <c r="H103" s="78" t="s">
        <v>355</v>
      </c>
      <c r="I103" s="125" t="s">
        <v>1043</v>
      </c>
      <c r="J103" s="350" t="s">
        <v>131</v>
      </c>
      <c r="K103" s="126" t="s">
        <v>469</v>
      </c>
      <c r="L103" s="300" t="s">
        <v>297</v>
      </c>
      <c r="M103" s="301" t="s">
        <v>385</v>
      </c>
      <c r="N103" s="288" t="s">
        <v>454</v>
      </c>
      <c r="O103" s="293" t="s">
        <v>680</v>
      </c>
      <c r="P103" s="288" t="s">
        <v>703</v>
      </c>
      <c r="Q103" s="293" t="s">
        <v>792</v>
      </c>
      <c r="R103" s="293" t="s">
        <v>805</v>
      </c>
      <c r="S103" s="288" t="s">
        <v>852</v>
      </c>
      <c r="T103" s="293" t="s">
        <v>355</v>
      </c>
      <c r="U103" s="293" t="s">
        <v>402</v>
      </c>
      <c r="V103" s="293" t="s">
        <v>402</v>
      </c>
      <c r="W103" s="293" t="s">
        <v>402</v>
      </c>
      <c r="X103" s="293" t="s">
        <v>403</v>
      </c>
      <c r="Y103" s="293" t="s">
        <v>403</v>
      </c>
      <c r="Z103" s="293" t="s">
        <v>402</v>
      </c>
      <c r="AA103" s="293" t="s">
        <v>402</v>
      </c>
      <c r="AB103" s="293" t="s">
        <v>934</v>
      </c>
      <c r="AC103" s="293" t="s">
        <v>680</v>
      </c>
      <c r="AD103" s="293" t="s">
        <v>680</v>
      </c>
      <c r="AE103" s="293" t="s">
        <v>385</v>
      </c>
      <c r="AF103" s="293" t="s">
        <v>385</v>
      </c>
      <c r="AG103" s="293" t="s">
        <v>385</v>
      </c>
      <c r="AH103" s="288" t="s">
        <v>1023</v>
      </c>
      <c r="AI103" s="293" t="s">
        <v>630</v>
      </c>
      <c r="AJ103" s="293" t="s">
        <v>1026</v>
      </c>
      <c r="AK103" s="293" t="s">
        <v>412</v>
      </c>
      <c r="AL103" s="293" t="s">
        <v>385</v>
      </c>
      <c r="AM103" s="293" t="s">
        <v>385</v>
      </c>
      <c r="AN103" s="330" t="s">
        <v>402</v>
      </c>
      <c r="AO103" s="330" t="s">
        <v>402</v>
      </c>
      <c r="AP103" s="330" t="s">
        <v>402</v>
      </c>
      <c r="AQ103" s="289" t="s">
        <v>1044</v>
      </c>
      <c r="AR103" s="305">
        <v>5</v>
      </c>
      <c r="AS103" s="67"/>
    </row>
    <row r="104" spans="1:45" ht="15">
      <c r="A104" s="103"/>
      <c r="B104" s="70"/>
      <c r="C104" s="284"/>
      <c r="D104" s="74"/>
      <c r="E104" s="104"/>
      <c r="F104" s="104"/>
      <c r="G104" s="104"/>
      <c r="H104" s="104"/>
      <c r="I104" s="125"/>
      <c r="J104" s="350"/>
      <c r="K104" s="300"/>
      <c r="L104" s="300"/>
      <c r="M104" s="301"/>
      <c r="N104" s="288"/>
      <c r="O104" s="293"/>
      <c r="P104" s="288"/>
      <c r="Q104" s="293"/>
      <c r="R104" s="293"/>
      <c r="S104" s="288"/>
      <c r="T104" s="293"/>
      <c r="U104" s="293"/>
      <c r="V104" s="293"/>
      <c r="W104" s="293"/>
      <c r="X104" s="293"/>
      <c r="Y104" s="293"/>
      <c r="Z104" s="293"/>
      <c r="AA104" s="293"/>
      <c r="AB104" s="293"/>
      <c r="AC104" s="293" t="s">
        <v>953</v>
      </c>
      <c r="AD104" s="289" t="s">
        <v>997</v>
      </c>
      <c r="AE104" s="293"/>
      <c r="AF104" s="293"/>
      <c r="AG104" s="293"/>
      <c r="AH104" s="288"/>
      <c r="AI104" s="293" t="s">
        <v>460</v>
      </c>
      <c r="AJ104" s="293"/>
      <c r="AK104" s="293"/>
      <c r="AL104" s="293"/>
      <c r="AM104" s="293"/>
      <c r="AN104" s="330"/>
      <c r="AO104" s="330"/>
      <c r="AP104" s="330"/>
      <c r="AQ104" s="293"/>
      <c r="AR104" s="305"/>
      <c r="AS104" s="67"/>
    </row>
    <row r="105" spans="1:45" ht="15">
      <c r="A105" s="163"/>
      <c r="B105" s="164"/>
      <c r="C105" s="306"/>
      <c r="D105" s="166"/>
      <c r="E105" s="167"/>
      <c r="F105" s="167"/>
      <c r="G105" s="167"/>
      <c r="H105" s="167"/>
      <c r="I105" s="335"/>
      <c r="J105" s="363"/>
      <c r="K105" s="336"/>
      <c r="L105" s="336" t="s">
        <v>297</v>
      </c>
      <c r="M105" s="312" t="s">
        <v>385</v>
      </c>
      <c r="N105" s="313" t="s">
        <v>454</v>
      </c>
      <c r="O105" s="314" t="s">
        <v>680</v>
      </c>
      <c r="P105" s="313" t="s">
        <v>703</v>
      </c>
      <c r="Q105" s="314" t="s">
        <v>792</v>
      </c>
      <c r="R105" s="314" t="s">
        <v>805</v>
      </c>
      <c r="S105" s="313" t="s">
        <v>852</v>
      </c>
      <c r="T105" s="314" t="s">
        <v>355</v>
      </c>
      <c r="U105" s="314" t="s">
        <v>402</v>
      </c>
      <c r="V105" s="314" t="s">
        <v>402</v>
      </c>
      <c r="W105" s="314" t="s">
        <v>402</v>
      </c>
      <c r="X105" s="314" t="s">
        <v>402</v>
      </c>
      <c r="Y105" s="314" t="s">
        <v>403</v>
      </c>
      <c r="Z105" s="314" t="s">
        <v>402</v>
      </c>
      <c r="AA105" s="314" t="s">
        <v>402</v>
      </c>
      <c r="AB105" s="314"/>
      <c r="AC105" s="314" t="s">
        <v>953</v>
      </c>
      <c r="AD105" s="331" t="s">
        <v>997</v>
      </c>
      <c r="AE105" s="314" t="s">
        <v>385</v>
      </c>
      <c r="AF105" s="314" t="s">
        <v>385</v>
      </c>
      <c r="AG105" s="314" t="s">
        <v>385</v>
      </c>
      <c r="AH105" s="313" t="s">
        <v>1023</v>
      </c>
      <c r="AI105" s="314" t="s">
        <v>460</v>
      </c>
      <c r="AJ105" s="314" t="s">
        <v>1026</v>
      </c>
      <c r="AK105" s="314" t="s">
        <v>412</v>
      </c>
      <c r="AL105" s="314" t="s">
        <v>385</v>
      </c>
      <c r="AM105" s="314"/>
      <c r="AN105" s="341"/>
      <c r="AO105" s="341"/>
      <c r="AP105" s="341"/>
      <c r="AQ105" s="314" t="s">
        <v>1047</v>
      </c>
      <c r="AR105" s="322"/>
      <c r="AS105" s="140"/>
    </row>
    <row r="106" spans="1:45" ht="15">
      <c r="A106" s="103"/>
      <c r="B106" s="70" t="s">
        <v>492</v>
      </c>
      <c r="C106" s="284">
        <v>43483</v>
      </c>
      <c r="D106" s="74" t="s">
        <v>363</v>
      </c>
      <c r="E106" s="76">
        <v>43572</v>
      </c>
      <c r="F106" s="78" t="s">
        <v>360</v>
      </c>
      <c r="G106" s="76">
        <v>43580</v>
      </c>
      <c r="H106" s="78" t="s">
        <v>355</v>
      </c>
      <c r="I106" s="125" t="s">
        <v>1049</v>
      </c>
      <c r="J106" s="350" t="s">
        <v>132</v>
      </c>
      <c r="K106" s="300" t="s">
        <v>1050</v>
      </c>
      <c r="L106" s="300" t="s">
        <v>298</v>
      </c>
      <c r="M106" s="301" t="s">
        <v>385</v>
      </c>
      <c r="N106" s="288" t="s">
        <v>461</v>
      </c>
      <c r="O106" s="293" t="s">
        <v>680</v>
      </c>
      <c r="P106" s="293" t="s">
        <v>680</v>
      </c>
      <c r="Q106" s="293" t="s">
        <v>385</v>
      </c>
      <c r="R106" s="293" t="s">
        <v>806</v>
      </c>
      <c r="S106" s="288" t="s">
        <v>473</v>
      </c>
      <c r="T106" s="293" t="s">
        <v>402</v>
      </c>
      <c r="U106" s="293" t="s">
        <v>402</v>
      </c>
      <c r="V106" s="293" t="s">
        <v>402</v>
      </c>
      <c r="W106" s="293" t="s">
        <v>402</v>
      </c>
      <c r="X106" s="293" t="s">
        <v>402</v>
      </c>
      <c r="Y106" s="293" t="s">
        <v>402</v>
      </c>
      <c r="Z106" s="293" t="s">
        <v>402</v>
      </c>
      <c r="AA106" s="293" t="s">
        <v>402</v>
      </c>
      <c r="AB106" s="330" t="s">
        <v>402</v>
      </c>
      <c r="AC106" s="293" t="s">
        <v>402</v>
      </c>
      <c r="AD106" s="293" t="s">
        <v>680</v>
      </c>
      <c r="AE106" s="293" t="s">
        <v>385</v>
      </c>
      <c r="AF106" s="293" t="s">
        <v>385</v>
      </c>
      <c r="AG106" s="293" t="s">
        <v>385</v>
      </c>
      <c r="AH106" s="288" t="s">
        <v>1052</v>
      </c>
      <c r="AI106" s="293" t="s">
        <v>1036</v>
      </c>
      <c r="AJ106" s="293" t="s">
        <v>1053</v>
      </c>
      <c r="AK106" s="293" t="s">
        <v>385</v>
      </c>
      <c r="AL106" s="293" t="s">
        <v>385</v>
      </c>
      <c r="AM106" s="330" t="s">
        <v>402</v>
      </c>
      <c r="AN106" s="330" t="s">
        <v>402</v>
      </c>
      <c r="AO106" s="330" t="s">
        <v>402</v>
      </c>
      <c r="AP106" s="330" t="s">
        <v>402</v>
      </c>
      <c r="AQ106" s="289" t="s">
        <v>1054</v>
      </c>
      <c r="AR106" s="305">
        <v>15</v>
      </c>
      <c r="AS106" s="67"/>
    </row>
    <row r="107" spans="1:45" ht="15">
      <c r="A107" s="103"/>
      <c r="B107" s="70"/>
      <c r="C107" s="284"/>
      <c r="D107" s="74"/>
      <c r="E107" s="104"/>
      <c r="F107" s="104"/>
      <c r="G107" s="104"/>
      <c r="H107" s="104"/>
      <c r="I107" s="125"/>
      <c r="J107" s="350"/>
      <c r="K107" s="300"/>
      <c r="L107" s="300"/>
      <c r="M107" s="301"/>
      <c r="N107" s="288"/>
      <c r="O107" s="293"/>
      <c r="P107" s="293"/>
      <c r="Q107" s="293"/>
      <c r="R107" s="293"/>
      <c r="S107" s="288"/>
      <c r="T107" s="293"/>
      <c r="U107" s="293"/>
      <c r="V107" s="293"/>
      <c r="W107" s="293"/>
      <c r="X107" s="293"/>
      <c r="Y107" s="293"/>
      <c r="Z107" s="293"/>
      <c r="AA107" s="293"/>
      <c r="AB107" s="330"/>
      <c r="AC107" s="293"/>
      <c r="AD107" s="293"/>
      <c r="AE107" s="293"/>
      <c r="AF107" s="293"/>
      <c r="AG107" s="293"/>
      <c r="AH107" s="288"/>
      <c r="AI107" s="293" t="s">
        <v>460</v>
      </c>
      <c r="AJ107" s="293"/>
      <c r="AK107" s="293"/>
      <c r="AL107" s="293"/>
      <c r="AM107" s="330"/>
      <c r="AN107" s="330"/>
      <c r="AO107" s="330"/>
      <c r="AP107" s="330"/>
      <c r="AQ107" s="293"/>
      <c r="AR107" s="305"/>
      <c r="AS107" s="67"/>
    </row>
    <row r="108" spans="1:45" ht="15">
      <c r="A108" s="163"/>
      <c r="B108" s="164"/>
      <c r="C108" s="306"/>
      <c r="D108" s="166"/>
      <c r="E108" s="167"/>
      <c r="F108" s="167"/>
      <c r="G108" s="167"/>
      <c r="H108" s="167"/>
      <c r="I108" s="335"/>
      <c r="J108" s="363"/>
      <c r="K108" s="336"/>
      <c r="L108" s="336" t="s">
        <v>298</v>
      </c>
      <c r="M108" s="312" t="s">
        <v>385</v>
      </c>
      <c r="N108" s="313" t="s">
        <v>461</v>
      </c>
      <c r="O108" s="314"/>
      <c r="P108" s="314"/>
      <c r="Q108" s="314" t="s">
        <v>385</v>
      </c>
      <c r="R108" s="132" t="s">
        <v>807</v>
      </c>
      <c r="S108" s="313" t="s">
        <v>473</v>
      </c>
      <c r="T108" s="314" t="s">
        <v>402</v>
      </c>
      <c r="U108" s="314" t="s">
        <v>402</v>
      </c>
      <c r="V108" s="314" t="s">
        <v>402</v>
      </c>
      <c r="W108" s="314" t="s">
        <v>402</v>
      </c>
      <c r="X108" s="314" t="s">
        <v>402</v>
      </c>
      <c r="Y108" s="314" t="s">
        <v>402</v>
      </c>
      <c r="Z108" s="314" t="s">
        <v>402</v>
      </c>
      <c r="AA108" s="314" t="s">
        <v>402</v>
      </c>
      <c r="AB108" s="341"/>
      <c r="AC108" s="314"/>
      <c r="AD108" s="314"/>
      <c r="AE108" s="314" t="s">
        <v>385</v>
      </c>
      <c r="AF108" s="314" t="s">
        <v>385</v>
      </c>
      <c r="AG108" s="314" t="s">
        <v>385</v>
      </c>
      <c r="AH108" s="313" t="s">
        <v>1052</v>
      </c>
      <c r="AI108" s="314" t="s">
        <v>460</v>
      </c>
      <c r="AJ108" s="314" t="s">
        <v>1053</v>
      </c>
      <c r="AK108" s="314" t="s">
        <v>385</v>
      </c>
      <c r="AL108" s="314" t="s">
        <v>385</v>
      </c>
      <c r="AM108" s="341"/>
      <c r="AN108" s="341"/>
      <c r="AO108" s="341"/>
      <c r="AP108" s="341"/>
      <c r="AQ108" s="331" t="s">
        <v>1054</v>
      </c>
      <c r="AR108" s="322"/>
      <c r="AS108" s="140"/>
    </row>
    <row r="109" spans="1:45" ht="15">
      <c r="A109" s="103"/>
      <c r="B109" s="70" t="s">
        <v>492</v>
      </c>
      <c r="C109" s="284">
        <v>43483</v>
      </c>
      <c r="D109" s="74" t="s">
        <v>363</v>
      </c>
      <c r="E109" s="76">
        <v>43572</v>
      </c>
      <c r="F109" s="78" t="s">
        <v>360</v>
      </c>
      <c r="G109" s="76">
        <v>43580</v>
      </c>
      <c r="H109" s="78" t="s">
        <v>355</v>
      </c>
      <c r="I109" s="125" t="s">
        <v>1055</v>
      </c>
      <c r="J109" s="350" t="s">
        <v>133</v>
      </c>
      <c r="K109" s="300" t="s">
        <v>876</v>
      </c>
      <c r="L109" s="300" t="s">
        <v>300</v>
      </c>
      <c r="M109" s="301" t="s">
        <v>374</v>
      </c>
      <c r="N109" s="288" t="s">
        <v>465</v>
      </c>
      <c r="O109" s="293" t="s">
        <v>680</v>
      </c>
      <c r="P109" s="293" t="s">
        <v>680</v>
      </c>
      <c r="Q109" s="293" t="s">
        <v>385</v>
      </c>
      <c r="R109" s="293" t="s">
        <v>402</v>
      </c>
      <c r="S109" s="293" t="s">
        <v>680</v>
      </c>
      <c r="T109" s="293" t="s">
        <v>402</v>
      </c>
      <c r="U109" s="293" t="s">
        <v>402</v>
      </c>
      <c r="V109" s="293" t="s">
        <v>402</v>
      </c>
      <c r="W109" s="293" t="s">
        <v>402</v>
      </c>
      <c r="X109" s="293" t="s">
        <v>402</v>
      </c>
      <c r="Y109" s="293" t="s">
        <v>402</v>
      </c>
      <c r="Z109" s="293" t="s">
        <v>402</v>
      </c>
      <c r="AA109" s="293" t="s">
        <v>402</v>
      </c>
      <c r="AB109" s="293" t="s">
        <v>402</v>
      </c>
      <c r="AC109" s="293" t="s">
        <v>402</v>
      </c>
      <c r="AD109" s="293" t="s">
        <v>680</v>
      </c>
      <c r="AE109" s="293" t="s">
        <v>385</v>
      </c>
      <c r="AF109" s="293" t="s">
        <v>385</v>
      </c>
      <c r="AG109" s="293" t="s">
        <v>385</v>
      </c>
      <c r="AH109" s="288" t="s">
        <v>1056</v>
      </c>
      <c r="AI109" s="293" t="s">
        <v>460</v>
      </c>
      <c r="AJ109" s="293" t="s">
        <v>1057</v>
      </c>
      <c r="AK109" s="293" t="s">
        <v>355</v>
      </c>
      <c r="AL109" s="293" t="s">
        <v>385</v>
      </c>
      <c r="AM109" s="293" t="s">
        <v>1058</v>
      </c>
      <c r="AN109" s="330" t="s">
        <v>402</v>
      </c>
      <c r="AO109" s="330" t="s">
        <v>402</v>
      </c>
      <c r="AP109" s="330" t="s">
        <v>402</v>
      </c>
      <c r="AQ109" s="331" t="s">
        <v>1059</v>
      </c>
      <c r="AR109" s="305">
        <v>25</v>
      </c>
      <c r="AS109" s="29" t="s">
        <v>1060</v>
      </c>
    </row>
    <row r="110" spans="1:45" ht="15">
      <c r="A110" s="103"/>
      <c r="B110" s="70"/>
      <c r="C110" s="284"/>
      <c r="D110" s="74"/>
      <c r="E110" s="104"/>
      <c r="F110" s="104"/>
      <c r="G110" s="104"/>
      <c r="H110" s="104"/>
      <c r="I110" s="125"/>
      <c r="J110" s="350"/>
      <c r="K110" s="300"/>
      <c r="L110" s="300"/>
      <c r="M110" s="301"/>
      <c r="N110" s="288"/>
      <c r="O110" s="293"/>
      <c r="P110" s="293"/>
      <c r="Q110" s="293"/>
      <c r="R110" s="293"/>
      <c r="S110" s="293"/>
      <c r="T110" s="293"/>
      <c r="U110" s="293"/>
      <c r="V110" s="293"/>
      <c r="W110" s="293"/>
      <c r="X110" s="293"/>
      <c r="Y110" s="293"/>
      <c r="Z110" s="293"/>
      <c r="AA110" s="293"/>
      <c r="AB110" s="293"/>
      <c r="AC110" s="293" t="s">
        <v>1061</v>
      </c>
      <c r="AD110" s="288" t="s">
        <v>465</v>
      </c>
      <c r="AE110" s="293"/>
      <c r="AF110" s="293"/>
      <c r="AG110" s="293"/>
      <c r="AH110" s="288"/>
      <c r="AI110" s="293"/>
      <c r="AJ110" s="293"/>
      <c r="AK110" s="293"/>
      <c r="AL110" s="293"/>
      <c r="AM110" s="293"/>
      <c r="AN110" s="330"/>
      <c r="AO110" s="330"/>
      <c r="AP110" s="330"/>
      <c r="AQ110" s="314"/>
      <c r="AR110" s="305"/>
      <c r="AS110" s="67"/>
    </row>
    <row r="111" spans="1:45" ht="15">
      <c r="A111" s="163"/>
      <c r="B111" s="164"/>
      <c r="C111" s="306"/>
      <c r="D111" s="166"/>
      <c r="E111" s="167"/>
      <c r="F111" s="167"/>
      <c r="G111" s="167"/>
      <c r="H111" s="167"/>
      <c r="I111" s="335"/>
      <c r="J111" s="363"/>
      <c r="K111" s="336"/>
      <c r="L111" s="336" t="s">
        <v>300</v>
      </c>
      <c r="M111" s="312" t="s">
        <v>374</v>
      </c>
      <c r="N111" s="313" t="s">
        <v>465</v>
      </c>
      <c r="O111" s="314"/>
      <c r="P111" s="314"/>
      <c r="Q111" s="314" t="s">
        <v>385</v>
      </c>
      <c r="R111" s="314"/>
      <c r="S111" s="314"/>
      <c r="T111" s="314" t="s">
        <v>402</v>
      </c>
      <c r="U111" s="314" t="s">
        <v>402</v>
      </c>
      <c r="V111" s="314" t="s">
        <v>402</v>
      </c>
      <c r="W111" s="314" t="s">
        <v>402</v>
      </c>
      <c r="X111" s="314" t="s">
        <v>402</v>
      </c>
      <c r="Y111" s="314" t="s">
        <v>402</v>
      </c>
      <c r="Z111" s="314" t="s">
        <v>402</v>
      </c>
      <c r="AA111" s="314" t="s">
        <v>402</v>
      </c>
      <c r="AB111" s="314"/>
      <c r="AC111" s="314" t="s">
        <v>954</v>
      </c>
      <c r="AD111" s="313"/>
      <c r="AE111" s="314" t="s">
        <v>385</v>
      </c>
      <c r="AF111" s="314" t="s">
        <v>385</v>
      </c>
      <c r="AG111" s="314" t="s">
        <v>385</v>
      </c>
      <c r="AH111" s="313" t="s">
        <v>1056</v>
      </c>
      <c r="AI111" s="314" t="s">
        <v>460</v>
      </c>
      <c r="AJ111" s="314" t="s">
        <v>1057</v>
      </c>
      <c r="AK111" s="314" t="s">
        <v>355</v>
      </c>
      <c r="AL111" s="314" t="s">
        <v>385</v>
      </c>
      <c r="AM111" s="314" t="s">
        <v>1058</v>
      </c>
      <c r="AN111" s="341"/>
      <c r="AO111" s="341"/>
      <c r="AP111" s="341"/>
      <c r="AQ111" s="331" t="s">
        <v>1059</v>
      </c>
      <c r="AR111" s="322"/>
      <c r="AS111" s="140"/>
    </row>
    <row r="112" spans="1:45" ht="15">
      <c r="A112" s="103"/>
      <c r="B112" s="70" t="s">
        <v>492</v>
      </c>
      <c r="C112" s="284">
        <v>43483</v>
      </c>
      <c r="D112" s="74" t="s">
        <v>363</v>
      </c>
      <c r="E112" s="76">
        <v>43572</v>
      </c>
      <c r="F112" s="78" t="s">
        <v>360</v>
      </c>
      <c r="G112" s="76">
        <v>43580</v>
      </c>
      <c r="H112" s="78" t="s">
        <v>355</v>
      </c>
      <c r="I112" s="125" t="s">
        <v>1062</v>
      </c>
      <c r="J112" s="350" t="s">
        <v>134</v>
      </c>
      <c r="K112" s="300"/>
      <c r="L112" s="300" t="s">
        <v>301</v>
      </c>
      <c r="M112" s="301" t="s">
        <v>374</v>
      </c>
      <c r="N112" s="288" t="s">
        <v>465</v>
      </c>
      <c r="O112" s="293" t="s">
        <v>680</v>
      </c>
      <c r="P112" s="293" t="s">
        <v>680</v>
      </c>
      <c r="Q112" s="293" t="s">
        <v>385</v>
      </c>
      <c r="R112" s="293" t="s">
        <v>402</v>
      </c>
      <c r="S112" s="293" t="s">
        <v>680</v>
      </c>
      <c r="T112" s="293" t="s">
        <v>402</v>
      </c>
      <c r="U112" s="293" t="s">
        <v>402</v>
      </c>
      <c r="V112" s="293" t="s">
        <v>402</v>
      </c>
      <c r="W112" s="293" t="s">
        <v>402</v>
      </c>
      <c r="X112" s="293" t="s">
        <v>402</v>
      </c>
      <c r="Y112" s="293" t="s">
        <v>402</v>
      </c>
      <c r="Z112" s="293" t="s">
        <v>402</v>
      </c>
      <c r="AA112" s="293" t="s">
        <v>402</v>
      </c>
      <c r="AB112" s="293" t="s">
        <v>402</v>
      </c>
      <c r="AC112" s="293" t="s">
        <v>402</v>
      </c>
      <c r="AD112" s="293" t="s">
        <v>680</v>
      </c>
      <c r="AE112" s="293" t="s">
        <v>385</v>
      </c>
      <c r="AF112" s="293" t="s">
        <v>385</v>
      </c>
      <c r="AG112" s="293" t="s">
        <v>385</v>
      </c>
      <c r="AH112" s="288" t="s">
        <v>1056</v>
      </c>
      <c r="AI112" s="293" t="s">
        <v>460</v>
      </c>
      <c r="AJ112" s="293" t="s">
        <v>1057</v>
      </c>
      <c r="AK112" s="293" t="s">
        <v>355</v>
      </c>
      <c r="AL112" s="293" t="s">
        <v>385</v>
      </c>
      <c r="AM112" s="293" t="s">
        <v>1058</v>
      </c>
      <c r="AN112" s="330" t="s">
        <v>402</v>
      </c>
      <c r="AO112" s="330" t="s">
        <v>402</v>
      </c>
      <c r="AP112" s="330" t="s">
        <v>402</v>
      </c>
      <c r="AQ112" s="289" t="s">
        <v>1063</v>
      </c>
      <c r="AR112" s="305">
        <v>5</v>
      </c>
      <c r="AS112" s="67"/>
    </row>
    <row r="113" spans="1:45" ht="15">
      <c r="A113" s="103"/>
      <c r="B113" s="70"/>
      <c r="C113" s="284"/>
      <c r="D113" s="74"/>
      <c r="E113" s="104"/>
      <c r="F113" s="104"/>
      <c r="G113" s="104"/>
      <c r="H113" s="104"/>
      <c r="I113" s="125"/>
      <c r="J113" s="350"/>
      <c r="K113" s="300"/>
      <c r="L113" s="300"/>
      <c r="M113" s="301"/>
      <c r="N113" s="288"/>
      <c r="O113" s="293"/>
      <c r="P113" s="293"/>
      <c r="Q113" s="301"/>
      <c r="R113" s="293"/>
      <c r="S113" s="293"/>
      <c r="T113" s="293"/>
      <c r="U113" s="293"/>
      <c r="V113" s="293"/>
      <c r="W113" s="293"/>
      <c r="X113" s="293"/>
      <c r="Y113" s="293"/>
      <c r="Z113" s="293"/>
      <c r="AA113" s="293"/>
      <c r="AB113" s="293"/>
      <c r="AC113" s="293" t="s">
        <v>955</v>
      </c>
      <c r="AD113" s="288" t="s">
        <v>465</v>
      </c>
      <c r="AE113" s="293"/>
      <c r="AF113" s="293"/>
      <c r="AG113" s="293"/>
      <c r="AH113" s="288"/>
      <c r="AI113" s="293"/>
      <c r="AJ113" s="293"/>
      <c r="AK113" s="293"/>
      <c r="AL113" s="293"/>
      <c r="AM113" s="293"/>
      <c r="AN113" s="330"/>
      <c r="AO113" s="330"/>
      <c r="AP113" s="330"/>
      <c r="AQ113" s="293"/>
      <c r="AR113" s="305"/>
      <c r="AS113" s="67"/>
    </row>
    <row r="114" spans="1:45" ht="15">
      <c r="A114" s="163"/>
      <c r="B114" s="164"/>
      <c r="C114" s="306"/>
      <c r="D114" s="166"/>
      <c r="E114" s="167"/>
      <c r="F114" s="167"/>
      <c r="G114" s="167"/>
      <c r="H114" s="167"/>
      <c r="I114" s="335"/>
      <c r="J114" s="363"/>
      <c r="K114" s="336"/>
      <c r="L114" s="336" t="s">
        <v>301</v>
      </c>
      <c r="M114" s="312" t="s">
        <v>374</v>
      </c>
      <c r="N114" s="313" t="s">
        <v>465</v>
      </c>
      <c r="O114" s="314"/>
      <c r="P114" s="314"/>
      <c r="Q114" s="314" t="s">
        <v>385</v>
      </c>
      <c r="R114" s="314"/>
      <c r="S114" s="314"/>
      <c r="T114" s="314" t="s">
        <v>402</v>
      </c>
      <c r="U114" s="314" t="s">
        <v>402</v>
      </c>
      <c r="V114" s="314" t="s">
        <v>402</v>
      </c>
      <c r="W114" s="314" t="s">
        <v>402</v>
      </c>
      <c r="X114" s="314" t="s">
        <v>402</v>
      </c>
      <c r="Y114" s="314" t="s">
        <v>402</v>
      </c>
      <c r="Z114" s="314" t="s">
        <v>402</v>
      </c>
      <c r="AA114" s="314" t="s">
        <v>402</v>
      </c>
      <c r="AB114" s="314"/>
      <c r="AC114" s="314" t="s">
        <v>955</v>
      </c>
      <c r="AD114" s="313" t="s">
        <v>465</v>
      </c>
      <c r="AE114" s="314" t="s">
        <v>385</v>
      </c>
      <c r="AF114" s="314" t="s">
        <v>385</v>
      </c>
      <c r="AG114" s="314" t="s">
        <v>385</v>
      </c>
      <c r="AH114" s="313" t="s">
        <v>1056</v>
      </c>
      <c r="AI114" s="314" t="s">
        <v>460</v>
      </c>
      <c r="AJ114" s="314" t="s">
        <v>1057</v>
      </c>
      <c r="AK114" s="314" t="s">
        <v>355</v>
      </c>
      <c r="AL114" s="314" t="s">
        <v>385</v>
      </c>
      <c r="AM114" s="314" t="s">
        <v>1058</v>
      </c>
      <c r="AN114" s="341"/>
      <c r="AO114" s="341"/>
      <c r="AP114" s="341"/>
      <c r="AQ114" s="331" t="s">
        <v>1063</v>
      </c>
      <c r="AR114" s="322"/>
      <c r="AS114" s="140"/>
    </row>
    <row r="115" spans="1:45" ht="15">
      <c r="A115" s="103"/>
      <c r="B115" s="70" t="s">
        <v>492</v>
      </c>
      <c r="C115" s="284">
        <v>43483</v>
      </c>
      <c r="D115" s="74" t="s">
        <v>658</v>
      </c>
      <c r="E115" s="182">
        <v>43570</v>
      </c>
      <c r="F115" s="78" t="s">
        <v>360</v>
      </c>
      <c r="G115" s="76">
        <v>43580</v>
      </c>
      <c r="H115" s="78" t="s">
        <v>355</v>
      </c>
      <c r="I115" s="125" t="s">
        <v>1067</v>
      </c>
      <c r="J115" s="350" t="s">
        <v>135</v>
      </c>
      <c r="K115" s="300"/>
      <c r="L115" s="300" t="s">
        <v>296</v>
      </c>
      <c r="M115" s="301" t="s">
        <v>385</v>
      </c>
      <c r="N115" s="288" t="s">
        <v>445</v>
      </c>
      <c r="O115" s="293" t="s">
        <v>680</v>
      </c>
      <c r="P115" s="288" t="s">
        <v>701</v>
      </c>
      <c r="Q115" s="369" t="s">
        <v>385</v>
      </c>
      <c r="R115" s="293" t="s">
        <v>803</v>
      </c>
      <c r="S115" s="288" t="s">
        <v>846</v>
      </c>
      <c r="T115" s="293" t="s">
        <v>402</v>
      </c>
      <c r="U115" s="293" t="s">
        <v>402</v>
      </c>
      <c r="V115" s="293" t="s">
        <v>402</v>
      </c>
      <c r="W115" s="293" t="s">
        <v>402</v>
      </c>
      <c r="X115" s="293" t="s">
        <v>402</v>
      </c>
      <c r="Y115" s="293" t="s">
        <v>402</v>
      </c>
      <c r="Z115" s="293" t="s">
        <v>402</v>
      </c>
      <c r="AA115" s="293" t="s">
        <v>402</v>
      </c>
      <c r="AB115" s="342"/>
      <c r="AC115" s="301" t="s">
        <v>680</v>
      </c>
      <c r="AD115" s="293" t="s">
        <v>680</v>
      </c>
      <c r="AE115" s="293" t="s">
        <v>385</v>
      </c>
      <c r="AF115" s="293" t="s">
        <v>385</v>
      </c>
      <c r="AG115" s="293" t="s">
        <v>385</v>
      </c>
      <c r="AH115" s="288" t="s">
        <v>925</v>
      </c>
      <c r="AI115" s="293" t="s">
        <v>460</v>
      </c>
      <c r="AJ115" s="293" t="s">
        <v>926</v>
      </c>
      <c r="AK115" s="293" t="s">
        <v>402</v>
      </c>
      <c r="AL115" s="293" t="s">
        <v>385</v>
      </c>
      <c r="AM115" s="293" t="s">
        <v>927</v>
      </c>
      <c r="AN115" s="293" t="s">
        <v>402</v>
      </c>
      <c r="AO115" s="293" t="s">
        <v>402</v>
      </c>
      <c r="AP115" s="293" t="s">
        <v>402</v>
      </c>
      <c r="AQ115" s="331" t="s">
        <v>1072</v>
      </c>
      <c r="AR115" s="305">
        <v>20</v>
      </c>
      <c r="AS115" s="67"/>
    </row>
    <row r="116" spans="1:45" ht="15">
      <c r="A116" s="103"/>
      <c r="B116" s="70"/>
      <c r="C116" s="284"/>
      <c r="D116" s="74"/>
      <c r="E116" s="104"/>
      <c r="F116" s="104"/>
      <c r="G116" s="104"/>
      <c r="H116" s="104"/>
      <c r="I116" s="125"/>
      <c r="J116" s="350"/>
      <c r="K116" s="300"/>
      <c r="L116" s="300"/>
      <c r="M116" s="301"/>
      <c r="N116" s="288"/>
      <c r="O116" s="293"/>
      <c r="P116" s="288"/>
      <c r="Q116" s="301"/>
      <c r="R116" s="293"/>
      <c r="S116" s="288"/>
      <c r="T116" s="293"/>
      <c r="U116" s="293"/>
      <c r="V116" s="293"/>
      <c r="W116" s="293"/>
      <c r="X116" s="293"/>
      <c r="Y116" s="293"/>
      <c r="Z116" s="293"/>
      <c r="AA116" s="293"/>
      <c r="AB116" s="342"/>
      <c r="AC116" s="301" t="s">
        <v>956</v>
      </c>
      <c r="AD116" s="15" t="s">
        <v>999</v>
      </c>
      <c r="AE116" s="293" t="s">
        <v>354</v>
      </c>
      <c r="AF116" s="293"/>
      <c r="AG116" s="293"/>
      <c r="AH116" s="288"/>
      <c r="AI116" s="293"/>
      <c r="AJ116" s="293"/>
      <c r="AK116" s="293"/>
      <c r="AL116" s="293"/>
      <c r="AM116" s="293"/>
      <c r="AN116" s="293"/>
      <c r="AO116" s="293"/>
      <c r="AP116" s="293"/>
      <c r="AQ116" s="314"/>
      <c r="AR116" s="305" t="s">
        <v>1074</v>
      </c>
      <c r="AS116" s="29" t="s">
        <v>1075</v>
      </c>
    </row>
    <row r="117" spans="1:45" ht="15">
      <c r="A117" s="163"/>
      <c r="B117" s="164"/>
      <c r="C117" s="306"/>
      <c r="D117" s="166"/>
      <c r="E117" s="167"/>
      <c r="F117" s="167"/>
      <c r="G117" s="167"/>
      <c r="H117" s="167"/>
      <c r="I117" s="335"/>
      <c r="J117" s="363"/>
      <c r="K117" s="336"/>
      <c r="L117" s="336" t="s">
        <v>296</v>
      </c>
      <c r="M117" s="312" t="s">
        <v>385</v>
      </c>
      <c r="N117" s="313" t="s">
        <v>445</v>
      </c>
      <c r="O117" s="314"/>
      <c r="P117" s="313" t="s">
        <v>701</v>
      </c>
      <c r="Q117" s="370" t="s">
        <v>385</v>
      </c>
      <c r="R117" s="314" t="s">
        <v>803</v>
      </c>
      <c r="S117" s="313" t="s">
        <v>846</v>
      </c>
      <c r="T117" s="314" t="s">
        <v>402</v>
      </c>
      <c r="U117" s="314" t="s">
        <v>402</v>
      </c>
      <c r="V117" s="314" t="s">
        <v>402</v>
      </c>
      <c r="W117" s="314" t="s">
        <v>402</v>
      </c>
      <c r="X117" s="314" t="s">
        <v>402</v>
      </c>
      <c r="Y117" s="314" t="s">
        <v>402</v>
      </c>
      <c r="Z117" s="314" t="s">
        <v>402</v>
      </c>
      <c r="AA117" s="314" t="s">
        <v>402</v>
      </c>
      <c r="AB117" s="371"/>
      <c r="AC117" s="312" t="s">
        <v>956</v>
      </c>
      <c r="AD117" s="171" t="s">
        <v>999</v>
      </c>
      <c r="AE117" s="314" t="s">
        <v>354</v>
      </c>
      <c r="AF117" s="314" t="s">
        <v>385</v>
      </c>
      <c r="AG117" s="314" t="s">
        <v>385</v>
      </c>
      <c r="AH117" s="313" t="s">
        <v>925</v>
      </c>
      <c r="AI117" s="314" t="s">
        <v>460</v>
      </c>
      <c r="AJ117" s="314" t="s">
        <v>926</v>
      </c>
      <c r="AK117" s="314" t="s">
        <v>402</v>
      </c>
      <c r="AL117" s="314" t="s">
        <v>385</v>
      </c>
      <c r="AM117" s="314"/>
      <c r="AN117" s="314"/>
      <c r="AO117" s="314"/>
      <c r="AP117" s="314"/>
      <c r="AQ117" s="331" t="s">
        <v>1072</v>
      </c>
      <c r="AR117" s="322"/>
      <c r="AS117" s="172"/>
    </row>
    <row r="118" spans="1:45" ht="15">
      <c r="A118" s="103"/>
      <c r="B118" s="70" t="s">
        <v>492</v>
      </c>
      <c r="C118" s="284">
        <v>43483</v>
      </c>
      <c r="D118" s="74" t="s">
        <v>658</v>
      </c>
      <c r="E118" s="182">
        <v>43570</v>
      </c>
      <c r="F118" s="78" t="s">
        <v>360</v>
      </c>
      <c r="G118" s="76">
        <v>43580</v>
      </c>
      <c r="H118" s="78" t="s">
        <v>355</v>
      </c>
      <c r="I118" s="125" t="s">
        <v>1079</v>
      </c>
      <c r="J118" s="350" t="s">
        <v>137</v>
      </c>
      <c r="K118" s="126"/>
      <c r="L118" s="300" t="s">
        <v>291</v>
      </c>
      <c r="M118" s="301" t="s">
        <v>382</v>
      </c>
      <c r="N118" s="288" t="s">
        <v>544</v>
      </c>
      <c r="O118" s="293" t="s">
        <v>680</v>
      </c>
      <c r="P118" s="288" t="s">
        <v>694</v>
      </c>
      <c r="Q118" s="293" t="s">
        <v>385</v>
      </c>
      <c r="R118" s="289" t="s">
        <v>808</v>
      </c>
      <c r="S118" s="288" t="s">
        <v>764</v>
      </c>
      <c r="T118" s="293" t="s">
        <v>402</v>
      </c>
      <c r="U118" s="293" t="s">
        <v>402</v>
      </c>
      <c r="V118" s="293" t="s">
        <v>402</v>
      </c>
      <c r="W118" s="293" t="s">
        <v>402</v>
      </c>
      <c r="X118" s="293" t="s">
        <v>402</v>
      </c>
      <c r="Y118" s="293" t="s">
        <v>402</v>
      </c>
      <c r="Z118" s="293" t="s">
        <v>402</v>
      </c>
      <c r="AA118" s="293" t="s">
        <v>402</v>
      </c>
      <c r="AB118" s="293" t="s">
        <v>402</v>
      </c>
      <c r="AC118" s="293" t="s">
        <v>402</v>
      </c>
      <c r="AD118" s="293" t="s">
        <v>680</v>
      </c>
      <c r="AE118" s="293" t="s">
        <v>385</v>
      </c>
      <c r="AF118" s="293" t="s">
        <v>385</v>
      </c>
      <c r="AG118" s="293" t="s">
        <v>385</v>
      </c>
      <c r="AH118" s="288" t="s">
        <v>774</v>
      </c>
      <c r="AI118" s="293" t="s">
        <v>652</v>
      </c>
      <c r="AJ118" s="293" t="s">
        <v>1083</v>
      </c>
      <c r="AK118" s="293" t="s">
        <v>727</v>
      </c>
      <c r="AL118" s="293" t="s">
        <v>385</v>
      </c>
      <c r="AM118" s="293" t="s">
        <v>402</v>
      </c>
      <c r="AN118" s="293" t="s">
        <v>1084</v>
      </c>
      <c r="AO118" s="293" t="s">
        <v>402</v>
      </c>
      <c r="AP118" s="293" t="s">
        <v>402</v>
      </c>
      <c r="AQ118" s="288" t="s">
        <v>1085</v>
      </c>
      <c r="AR118" s="305">
        <v>25</v>
      </c>
      <c r="AS118" s="67"/>
    </row>
    <row r="119" spans="1:45" ht="15">
      <c r="A119" s="103"/>
      <c r="B119" s="70"/>
      <c r="C119" s="284"/>
      <c r="D119" s="74"/>
      <c r="E119" s="104"/>
      <c r="F119" s="104"/>
      <c r="G119" s="104"/>
      <c r="H119" s="104"/>
      <c r="I119" s="125"/>
      <c r="J119" s="350"/>
      <c r="K119" s="300"/>
      <c r="L119" s="300"/>
      <c r="M119" s="301"/>
      <c r="N119" s="15" t="s">
        <v>467</v>
      </c>
      <c r="O119" s="293"/>
      <c r="P119" s="288"/>
      <c r="Q119" s="293"/>
      <c r="R119" s="293" t="s">
        <v>1088</v>
      </c>
      <c r="S119" s="288"/>
      <c r="T119" s="293"/>
      <c r="U119" s="293"/>
      <c r="V119" s="293"/>
      <c r="W119" s="293"/>
      <c r="X119" s="293"/>
      <c r="Y119" s="293"/>
      <c r="Z119" s="293"/>
      <c r="AA119" s="293"/>
      <c r="AB119" s="293"/>
      <c r="AC119" s="293"/>
      <c r="AD119" s="293"/>
      <c r="AE119" s="293"/>
      <c r="AF119" s="293"/>
      <c r="AG119" s="293"/>
      <c r="AH119" s="288" t="s">
        <v>467</v>
      </c>
      <c r="AI119" s="293"/>
      <c r="AJ119" s="293"/>
      <c r="AK119" s="293"/>
      <c r="AL119" s="293"/>
      <c r="AM119" s="293"/>
      <c r="AN119" s="293"/>
      <c r="AO119" s="293"/>
      <c r="AP119" s="293"/>
      <c r="AQ119" s="288"/>
      <c r="AR119" s="305" t="s">
        <v>1074</v>
      </c>
      <c r="AS119" s="29" t="s">
        <v>1091</v>
      </c>
    </row>
    <row r="120" spans="1:45" ht="15">
      <c r="A120" s="163"/>
      <c r="B120" s="164"/>
      <c r="C120" s="306"/>
      <c r="D120" s="166"/>
      <c r="E120" s="167"/>
      <c r="F120" s="167"/>
      <c r="G120" s="167"/>
      <c r="H120" s="167"/>
      <c r="I120" s="335"/>
      <c r="J120" s="363"/>
      <c r="K120" s="336"/>
      <c r="L120" s="336" t="s">
        <v>291</v>
      </c>
      <c r="M120" s="312" t="s">
        <v>382</v>
      </c>
      <c r="N120" s="171" t="s">
        <v>467</v>
      </c>
      <c r="O120" s="314"/>
      <c r="P120" s="313" t="s">
        <v>694</v>
      </c>
      <c r="Q120" s="314" t="s">
        <v>385</v>
      </c>
      <c r="R120" s="331" t="s">
        <v>808</v>
      </c>
      <c r="S120" s="313" t="s">
        <v>764</v>
      </c>
      <c r="T120" s="314" t="s">
        <v>402</v>
      </c>
      <c r="U120" s="314" t="s">
        <v>402</v>
      </c>
      <c r="V120" s="314" t="s">
        <v>402</v>
      </c>
      <c r="W120" s="314" t="s">
        <v>402</v>
      </c>
      <c r="X120" s="314" t="s">
        <v>402</v>
      </c>
      <c r="Y120" s="314" t="s">
        <v>402</v>
      </c>
      <c r="Z120" s="314" t="s">
        <v>402</v>
      </c>
      <c r="AA120" s="314" t="s">
        <v>402</v>
      </c>
      <c r="AB120" s="314"/>
      <c r="AC120" s="314"/>
      <c r="AD120" s="314"/>
      <c r="AE120" s="314" t="s">
        <v>385</v>
      </c>
      <c r="AF120" s="314" t="s">
        <v>385</v>
      </c>
      <c r="AG120" s="314" t="s">
        <v>385</v>
      </c>
      <c r="AH120" s="313" t="s">
        <v>467</v>
      </c>
      <c r="AI120" s="314" t="s">
        <v>652</v>
      </c>
      <c r="AJ120" s="314" t="s">
        <v>1096</v>
      </c>
      <c r="AK120" s="314" t="s">
        <v>727</v>
      </c>
      <c r="AL120" s="314" t="s">
        <v>385</v>
      </c>
      <c r="AM120" s="314"/>
      <c r="AN120" s="314"/>
      <c r="AO120" s="314"/>
      <c r="AP120" s="314"/>
      <c r="AQ120" s="313" t="s">
        <v>1085</v>
      </c>
      <c r="AR120" s="322"/>
      <c r="AS120" s="172"/>
    </row>
    <row r="121" spans="1:45" ht="15">
      <c r="A121" s="103"/>
      <c r="B121" s="70" t="s">
        <v>492</v>
      </c>
      <c r="C121" s="284">
        <v>43483</v>
      </c>
      <c r="D121" s="74" t="s">
        <v>658</v>
      </c>
      <c r="E121" s="182">
        <v>43570</v>
      </c>
      <c r="F121" s="78" t="s">
        <v>360</v>
      </c>
      <c r="G121" s="76">
        <v>43580</v>
      </c>
      <c r="H121" s="78" t="s">
        <v>355</v>
      </c>
      <c r="I121" s="125" t="s">
        <v>1099</v>
      </c>
      <c r="J121" s="350" t="s">
        <v>138</v>
      </c>
      <c r="K121" s="300"/>
      <c r="L121" s="300" t="s">
        <v>302</v>
      </c>
      <c r="M121" s="301" t="s">
        <v>374</v>
      </c>
      <c r="N121" s="288" t="s">
        <v>470</v>
      </c>
      <c r="O121" s="293" t="s">
        <v>680</v>
      </c>
      <c r="P121" s="288" t="s">
        <v>711</v>
      </c>
      <c r="Q121" s="293" t="s">
        <v>385</v>
      </c>
      <c r="R121" s="293" t="s">
        <v>402</v>
      </c>
      <c r="S121" s="293" t="s">
        <v>680</v>
      </c>
      <c r="T121" s="293" t="s">
        <v>402</v>
      </c>
      <c r="U121" s="293" t="s">
        <v>402</v>
      </c>
      <c r="V121" s="293" t="s">
        <v>402</v>
      </c>
      <c r="W121" s="293" t="s">
        <v>402</v>
      </c>
      <c r="X121" s="293" t="s">
        <v>402</v>
      </c>
      <c r="Y121" s="293" t="s">
        <v>402</v>
      </c>
      <c r="Z121" s="293" t="s">
        <v>402</v>
      </c>
      <c r="AA121" s="293" t="s">
        <v>402</v>
      </c>
      <c r="AB121" s="293" t="s">
        <v>402</v>
      </c>
      <c r="AC121" s="293" t="s">
        <v>402</v>
      </c>
      <c r="AD121" s="293" t="s">
        <v>680</v>
      </c>
      <c r="AE121" s="293" t="s">
        <v>385</v>
      </c>
      <c r="AF121" s="293" t="s">
        <v>385</v>
      </c>
      <c r="AG121" s="293" t="s">
        <v>385</v>
      </c>
      <c r="AH121" s="288" t="s">
        <v>1064</v>
      </c>
      <c r="AI121" s="293" t="s">
        <v>630</v>
      </c>
      <c r="AJ121" s="293" t="s">
        <v>1103</v>
      </c>
      <c r="AK121" s="293" t="s">
        <v>402</v>
      </c>
      <c r="AL121" s="293" t="s">
        <v>385</v>
      </c>
      <c r="AM121" s="289" t="s">
        <v>1104</v>
      </c>
      <c r="AN121" s="293" t="s">
        <v>402</v>
      </c>
      <c r="AO121" s="293" t="s">
        <v>402</v>
      </c>
      <c r="AP121" s="293" t="s">
        <v>402</v>
      </c>
      <c r="AQ121" s="342"/>
      <c r="AR121" s="305">
        <v>15</v>
      </c>
      <c r="AS121" s="67"/>
    </row>
    <row r="122" spans="1:45" ht="15">
      <c r="A122" s="103"/>
      <c r="B122" s="70"/>
      <c r="C122" s="284"/>
      <c r="D122" s="74"/>
      <c r="E122" s="104"/>
      <c r="F122" s="104"/>
      <c r="G122" s="104"/>
      <c r="H122" s="104"/>
      <c r="I122" s="125"/>
      <c r="J122" s="350"/>
      <c r="K122" s="300"/>
      <c r="L122" s="300"/>
      <c r="M122" s="301"/>
      <c r="N122" s="288"/>
      <c r="O122" s="293"/>
      <c r="P122" s="288"/>
      <c r="Q122" s="293"/>
      <c r="R122" s="293"/>
      <c r="S122" s="293"/>
      <c r="T122" s="293"/>
      <c r="U122" s="293"/>
      <c r="V122" s="293"/>
      <c r="W122" s="293"/>
      <c r="X122" s="293"/>
      <c r="Y122" s="293"/>
      <c r="Z122" s="293"/>
      <c r="AA122" s="293"/>
      <c r="AB122" s="293"/>
      <c r="AC122" s="293" t="s">
        <v>957</v>
      </c>
      <c r="AD122" s="15" t="s">
        <v>711</v>
      </c>
      <c r="AE122" s="293" t="s">
        <v>1105</v>
      </c>
      <c r="AF122" s="293"/>
      <c r="AG122" s="293"/>
      <c r="AH122" s="288"/>
      <c r="AI122" s="293"/>
      <c r="AJ122" s="293"/>
      <c r="AK122" s="293"/>
      <c r="AL122" s="293"/>
      <c r="AM122" s="293"/>
      <c r="AN122" s="293"/>
      <c r="AO122" s="293"/>
      <c r="AP122" s="293"/>
      <c r="AQ122" s="342"/>
      <c r="AR122" s="305" t="s">
        <v>1106</v>
      </c>
      <c r="AS122" s="29" t="s">
        <v>1075</v>
      </c>
    </row>
    <row r="123" spans="1:45" ht="15">
      <c r="A123" s="163"/>
      <c r="B123" s="164"/>
      <c r="C123" s="306"/>
      <c r="D123" s="166"/>
      <c r="E123" s="167"/>
      <c r="F123" s="167"/>
      <c r="G123" s="167"/>
      <c r="H123" s="167"/>
      <c r="I123" s="335"/>
      <c r="J123" s="363"/>
      <c r="K123" s="336"/>
      <c r="L123" s="336" t="s">
        <v>302</v>
      </c>
      <c r="M123" s="312" t="s">
        <v>374</v>
      </c>
      <c r="N123" s="313" t="s">
        <v>470</v>
      </c>
      <c r="O123" s="314"/>
      <c r="P123" s="313" t="s">
        <v>711</v>
      </c>
      <c r="Q123" s="314" t="s">
        <v>385</v>
      </c>
      <c r="R123" s="314"/>
      <c r="S123" s="314"/>
      <c r="T123" s="314" t="s">
        <v>402</v>
      </c>
      <c r="U123" s="314" t="s">
        <v>402</v>
      </c>
      <c r="V123" s="314" t="s">
        <v>402</v>
      </c>
      <c r="W123" s="314" t="s">
        <v>402</v>
      </c>
      <c r="X123" s="314" t="s">
        <v>402</v>
      </c>
      <c r="Y123" s="314" t="s">
        <v>402</v>
      </c>
      <c r="Z123" s="314" t="s">
        <v>402</v>
      </c>
      <c r="AA123" s="314" t="s">
        <v>402</v>
      </c>
      <c r="AB123" s="314"/>
      <c r="AC123" s="314" t="s">
        <v>957</v>
      </c>
      <c r="AD123" s="171" t="s">
        <v>711</v>
      </c>
      <c r="AE123" s="314" t="s">
        <v>385</v>
      </c>
      <c r="AF123" s="314" t="s">
        <v>385</v>
      </c>
      <c r="AG123" s="314" t="s">
        <v>385</v>
      </c>
      <c r="AH123" s="313" t="s">
        <v>1064</v>
      </c>
      <c r="AI123" s="314" t="s">
        <v>630</v>
      </c>
      <c r="AJ123" s="314" t="s">
        <v>1103</v>
      </c>
      <c r="AK123" s="314" t="s">
        <v>402</v>
      </c>
      <c r="AL123" s="314" t="s">
        <v>385</v>
      </c>
      <c r="AM123" s="331" t="s">
        <v>1104</v>
      </c>
      <c r="AN123" s="314"/>
      <c r="AO123" s="314"/>
      <c r="AP123" s="314"/>
      <c r="AQ123" s="371"/>
      <c r="AR123" s="322"/>
      <c r="AS123" s="172"/>
    </row>
    <row r="124" spans="1:45" ht="43">
      <c r="A124" s="103"/>
      <c r="B124" s="70" t="s">
        <v>492</v>
      </c>
      <c r="C124" s="284">
        <v>43483</v>
      </c>
      <c r="D124" s="74" t="s">
        <v>658</v>
      </c>
      <c r="E124" s="182">
        <v>43570</v>
      </c>
      <c r="F124" s="78" t="s">
        <v>360</v>
      </c>
      <c r="G124" s="76">
        <v>43580</v>
      </c>
      <c r="H124" s="78" t="s">
        <v>355</v>
      </c>
      <c r="I124" s="125" t="s">
        <v>1107</v>
      </c>
      <c r="J124" s="350" t="s">
        <v>139</v>
      </c>
      <c r="K124" s="126" t="s">
        <v>786</v>
      </c>
      <c r="L124" s="300" t="s">
        <v>303</v>
      </c>
      <c r="M124" s="301" t="s">
        <v>382</v>
      </c>
      <c r="N124" s="288" t="s">
        <v>1108</v>
      </c>
      <c r="O124" s="293" t="s">
        <v>680</v>
      </c>
      <c r="P124" s="293" t="s">
        <v>680</v>
      </c>
      <c r="Q124" s="293" t="s">
        <v>385</v>
      </c>
      <c r="R124" s="293" t="s">
        <v>402</v>
      </c>
      <c r="S124" s="293" t="s">
        <v>680</v>
      </c>
      <c r="T124" s="293" t="s">
        <v>402</v>
      </c>
      <c r="U124" s="293" t="s">
        <v>402</v>
      </c>
      <c r="V124" s="293" t="s">
        <v>402</v>
      </c>
      <c r="W124" s="293" t="s">
        <v>402</v>
      </c>
      <c r="X124" s="293" t="s">
        <v>402</v>
      </c>
      <c r="Y124" s="293" t="s">
        <v>402</v>
      </c>
      <c r="Z124" s="293" t="s">
        <v>402</v>
      </c>
      <c r="AA124" s="293" t="s">
        <v>402</v>
      </c>
      <c r="AB124" s="293" t="s">
        <v>402</v>
      </c>
      <c r="AC124" s="293" t="s">
        <v>402</v>
      </c>
      <c r="AD124" s="293" t="s">
        <v>680</v>
      </c>
      <c r="AE124" s="293" t="s">
        <v>385</v>
      </c>
      <c r="AF124" s="293" t="s">
        <v>385</v>
      </c>
      <c r="AG124" s="293" t="s">
        <v>385</v>
      </c>
      <c r="AH124" s="293" t="s">
        <v>680</v>
      </c>
      <c r="AI124" s="293" t="s">
        <v>402</v>
      </c>
      <c r="AJ124" s="293" t="s">
        <v>402</v>
      </c>
      <c r="AK124" s="646" t="s">
        <v>402</v>
      </c>
      <c r="AL124" s="293" t="s">
        <v>402</v>
      </c>
      <c r="AM124" s="293" t="s">
        <v>402</v>
      </c>
      <c r="AN124" s="293" t="s">
        <v>402</v>
      </c>
      <c r="AO124" s="293" t="s">
        <v>402</v>
      </c>
      <c r="AP124" s="293" t="s">
        <v>402</v>
      </c>
      <c r="AQ124" s="289" t="s">
        <v>1109</v>
      </c>
      <c r="AR124" s="305">
        <v>10</v>
      </c>
      <c r="AS124" s="67"/>
    </row>
    <row r="125" spans="1:45" ht="117.75" customHeight="1">
      <c r="A125" s="103"/>
      <c r="B125" s="70"/>
      <c r="C125" s="284"/>
      <c r="D125" s="74"/>
      <c r="E125" s="104"/>
      <c r="F125" s="104"/>
      <c r="G125" s="104"/>
      <c r="H125" s="104"/>
      <c r="I125" s="125"/>
      <c r="J125" s="350"/>
      <c r="K125" s="300"/>
      <c r="L125" s="300"/>
      <c r="M125" s="301"/>
      <c r="N125" s="15" t="s">
        <v>1110</v>
      </c>
      <c r="O125" s="293"/>
      <c r="P125" s="293"/>
      <c r="Q125" s="293"/>
      <c r="R125" s="293"/>
      <c r="S125" s="293"/>
      <c r="T125" s="293"/>
      <c r="U125" s="293"/>
      <c r="V125" s="293"/>
      <c r="W125" s="293"/>
      <c r="X125" s="293"/>
      <c r="Y125" s="293" t="s">
        <v>1111</v>
      </c>
      <c r="Z125" s="293"/>
      <c r="AA125" s="293"/>
      <c r="AB125" s="293"/>
      <c r="AC125" s="293"/>
      <c r="AD125" s="293"/>
      <c r="AE125" s="293"/>
      <c r="AF125" s="293"/>
      <c r="AG125" s="293"/>
      <c r="AH125" s="293"/>
      <c r="AI125" s="293"/>
      <c r="AJ125" s="293"/>
      <c r="AK125" s="646"/>
      <c r="AL125" s="293"/>
      <c r="AM125" s="293"/>
      <c r="AN125" s="293"/>
      <c r="AO125" s="293"/>
      <c r="AP125" s="293"/>
      <c r="AQ125" s="293"/>
      <c r="AR125" s="305" t="s">
        <v>1106</v>
      </c>
      <c r="AS125" s="29" t="s">
        <v>1112</v>
      </c>
    </row>
    <row r="126" spans="1:45" ht="15">
      <c r="A126" s="163"/>
      <c r="B126" s="164"/>
      <c r="C126" s="306"/>
      <c r="D126" s="166"/>
      <c r="E126" s="167"/>
      <c r="F126" s="167"/>
      <c r="G126" s="167"/>
      <c r="H126" s="167"/>
      <c r="I126" s="335"/>
      <c r="J126" s="363"/>
      <c r="K126" s="336"/>
      <c r="L126" s="336" t="s">
        <v>303</v>
      </c>
      <c r="M126" s="312" t="s">
        <v>382</v>
      </c>
      <c r="N126" s="171" t="s">
        <v>471</v>
      </c>
      <c r="O126" s="314"/>
      <c r="P126" s="314"/>
      <c r="Q126" s="314" t="s">
        <v>385</v>
      </c>
      <c r="R126" s="314"/>
      <c r="S126" s="314"/>
      <c r="T126" s="314" t="s">
        <v>402</v>
      </c>
      <c r="U126" s="314" t="s">
        <v>402</v>
      </c>
      <c r="V126" s="314" t="s">
        <v>402</v>
      </c>
      <c r="W126" s="314" t="s">
        <v>402</v>
      </c>
      <c r="X126" s="314" t="s">
        <v>402</v>
      </c>
      <c r="Y126" s="314" t="s">
        <v>402</v>
      </c>
      <c r="Z126" s="314" t="s">
        <v>402</v>
      </c>
      <c r="AA126" s="314" t="s">
        <v>402</v>
      </c>
      <c r="AB126" s="314"/>
      <c r="AC126" s="314"/>
      <c r="AD126" s="314"/>
      <c r="AE126" s="314" t="s">
        <v>385</v>
      </c>
      <c r="AF126" s="314" t="s">
        <v>385</v>
      </c>
      <c r="AG126" s="314" t="s">
        <v>385</v>
      </c>
      <c r="AH126" s="314"/>
      <c r="AI126" s="314" t="s">
        <v>530</v>
      </c>
      <c r="AJ126" s="314"/>
      <c r="AK126" s="647"/>
      <c r="AL126" s="314" t="s">
        <v>385</v>
      </c>
      <c r="AM126" s="314"/>
      <c r="AN126" s="314"/>
      <c r="AO126" s="314"/>
      <c r="AP126" s="314"/>
      <c r="AQ126" s="331" t="s">
        <v>1109</v>
      </c>
      <c r="AR126" s="322"/>
      <c r="AS126" s="172"/>
    </row>
    <row r="127" spans="1:45" ht="71">
      <c r="A127" s="103"/>
      <c r="B127" s="70" t="s">
        <v>492</v>
      </c>
      <c r="C127" s="284">
        <v>43483</v>
      </c>
      <c r="D127" s="74" t="s">
        <v>782</v>
      </c>
      <c r="E127" s="76">
        <v>43579</v>
      </c>
      <c r="F127" s="78" t="s">
        <v>363</v>
      </c>
      <c r="G127" s="76">
        <v>43583</v>
      </c>
      <c r="H127" s="78" t="s">
        <v>355</v>
      </c>
      <c r="I127" s="125" t="s">
        <v>1115</v>
      </c>
      <c r="J127" s="350" t="s">
        <v>140</v>
      </c>
      <c r="K127" s="126" t="s">
        <v>524</v>
      </c>
      <c r="L127" s="372" t="s">
        <v>304</v>
      </c>
      <c r="M127" s="373" t="s">
        <v>385</v>
      </c>
      <c r="N127" s="374" t="s">
        <v>1118</v>
      </c>
      <c r="O127" s="373" t="s">
        <v>680</v>
      </c>
      <c r="P127" s="373" t="s">
        <v>680</v>
      </c>
      <c r="Q127" s="373" t="s">
        <v>385</v>
      </c>
      <c r="R127" s="373" t="s">
        <v>809</v>
      </c>
      <c r="S127" s="374" t="s">
        <v>859</v>
      </c>
      <c r="T127" s="373" t="s">
        <v>402</v>
      </c>
      <c r="U127" s="373" t="s">
        <v>402</v>
      </c>
      <c r="V127" s="373" t="s">
        <v>402</v>
      </c>
      <c r="W127" s="373" t="s">
        <v>402</v>
      </c>
      <c r="X127" s="373" t="s">
        <v>402</v>
      </c>
      <c r="Y127" s="373" t="s">
        <v>402</v>
      </c>
      <c r="Z127" s="373" t="s">
        <v>402</v>
      </c>
      <c r="AA127" s="373" t="s">
        <v>402</v>
      </c>
      <c r="AB127" s="373" t="s">
        <v>402</v>
      </c>
      <c r="AC127" s="373" t="s">
        <v>402</v>
      </c>
      <c r="AD127" s="373" t="s">
        <v>680</v>
      </c>
      <c r="AE127" s="373" t="s">
        <v>385</v>
      </c>
      <c r="AF127" s="373" t="s">
        <v>385</v>
      </c>
      <c r="AG127" s="373" t="s">
        <v>385</v>
      </c>
      <c r="AH127" s="374" t="s">
        <v>1065</v>
      </c>
      <c r="AI127" s="373" t="s">
        <v>1036</v>
      </c>
      <c r="AJ127" s="373" t="s">
        <v>402</v>
      </c>
      <c r="AK127" s="373" t="s">
        <v>402</v>
      </c>
      <c r="AL127" s="373" t="s">
        <v>385</v>
      </c>
      <c r="AM127" s="373" t="s">
        <v>402</v>
      </c>
      <c r="AN127" s="373" t="s">
        <v>402</v>
      </c>
      <c r="AO127" s="373" t="s">
        <v>402</v>
      </c>
      <c r="AP127" s="373" t="s">
        <v>402</v>
      </c>
      <c r="AQ127" s="375" t="s">
        <v>1125</v>
      </c>
      <c r="AR127" s="376">
        <v>15</v>
      </c>
      <c r="AS127" s="251" t="s">
        <v>1130</v>
      </c>
    </row>
    <row r="128" spans="1:45" ht="15">
      <c r="A128" s="103"/>
      <c r="B128" s="70"/>
      <c r="C128" s="284"/>
      <c r="D128" s="74"/>
      <c r="E128" s="104"/>
      <c r="F128" s="104"/>
      <c r="G128" s="104"/>
      <c r="H128" s="104"/>
      <c r="I128" s="125"/>
      <c r="J128" s="82"/>
      <c r="K128" s="82"/>
      <c r="L128" s="377"/>
      <c r="M128" s="263"/>
      <c r="N128" s="254" t="s">
        <v>1130</v>
      </c>
      <c r="O128" s="263"/>
      <c r="P128" s="263"/>
      <c r="Q128" s="263"/>
      <c r="R128" s="263"/>
      <c r="S128" s="263"/>
      <c r="T128" s="263"/>
      <c r="U128" s="263"/>
      <c r="V128" s="263"/>
      <c r="W128" s="263"/>
      <c r="X128" s="263"/>
      <c r="Y128" s="263"/>
      <c r="Z128" s="263"/>
      <c r="AA128" s="263"/>
      <c r="AB128" s="263"/>
      <c r="AC128" s="263"/>
      <c r="AD128" s="263"/>
      <c r="AE128" s="263"/>
      <c r="AF128" s="263"/>
      <c r="AG128" s="263"/>
      <c r="AH128" s="263"/>
      <c r="AI128" s="263"/>
      <c r="AJ128" s="263"/>
      <c r="AK128" s="263"/>
      <c r="AL128" s="263"/>
      <c r="AM128" s="263"/>
      <c r="AN128" s="263"/>
      <c r="AO128" s="263"/>
      <c r="AP128" s="263"/>
      <c r="AQ128" s="263"/>
      <c r="AR128" s="232"/>
      <c r="AS128" s="225"/>
    </row>
    <row r="129" spans="1:45" ht="15">
      <c r="A129" s="103"/>
      <c r="B129" s="70"/>
      <c r="C129" s="284"/>
      <c r="D129" s="74"/>
      <c r="E129" s="104"/>
      <c r="F129" s="104"/>
      <c r="G129" s="104"/>
      <c r="H129" s="78" t="s">
        <v>1132</v>
      </c>
      <c r="I129" s="125"/>
      <c r="J129" s="82"/>
      <c r="K129" s="82"/>
      <c r="L129" s="372" t="s">
        <v>304</v>
      </c>
      <c r="M129" s="373" t="s">
        <v>385</v>
      </c>
      <c r="N129" s="196" t="s">
        <v>474</v>
      </c>
      <c r="O129" s="85"/>
      <c r="P129" s="85"/>
      <c r="Q129" s="373" t="s">
        <v>385</v>
      </c>
      <c r="R129" s="373" t="s">
        <v>809</v>
      </c>
      <c r="S129" s="374" t="s">
        <v>859</v>
      </c>
      <c r="T129" s="373" t="s">
        <v>402</v>
      </c>
      <c r="U129" s="373" t="s">
        <v>402</v>
      </c>
      <c r="V129" s="373" t="s">
        <v>402</v>
      </c>
      <c r="W129" s="373" t="s">
        <v>402</v>
      </c>
      <c r="X129" s="373" t="s">
        <v>402</v>
      </c>
      <c r="Y129" s="373" t="s">
        <v>402</v>
      </c>
      <c r="Z129" s="373" t="s">
        <v>402</v>
      </c>
      <c r="AA129" s="373" t="s">
        <v>402</v>
      </c>
      <c r="AB129" s="373" t="s">
        <v>402</v>
      </c>
      <c r="AC129" s="373" t="s">
        <v>402</v>
      </c>
      <c r="AD129" s="85"/>
      <c r="AE129" s="373" t="s">
        <v>385</v>
      </c>
      <c r="AF129" s="373" t="s">
        <v>385</v>
      </c>
      <c r="AG129" s="373" t="s">
        <v>385</v>
      </c>
      <c r="AH129" s="374" t="s">
        <v>1065</v>
      </c>
      <c r="AI129" s="85" t="s">
        <v>1138</v>
      </c>
      <c r="AJ129" s="373"/>
      <c r="AK129" s="373" t="s">
        <v>402</v>
      </c>
      <c r="AL129" s="85" t="s">
        <v>385</v>
      </c>
      <c r="AM129" s="85"/>
      <c r="AN129" s="85"/>
      <c r="AO129" s="85"/>
      <c r="AP129" s="85"/>
      <c r="AQ129" s="85"/>
      <c r="AR129" s="128"/>
      <c r="AS129" s="67"/>
    </row>
    <row r="130" spans="1:45" ht="15">
      <c r="A130" s="238"/>
      <c r="B130" s="70" t="s">
        <v>356</v>
      </c>
      <c r="C130" s="72">
        <v>43441</v>
      </c>
      <c r="D130" s="74" t="s">
        <v>782</v>
      </c>
      <c r="E130" s="76">
        <v>43579</v>
      </c>
      <c r="F130" s="78" t="s">
        <v>363</v>
      </c>
      <c r="G130" s="76">
        <v>43583</v>
      </c>
      <c r="H130" s="78" t="s">
        <v>355</v>
      </c>
      <c r="I130" s="125" t="s">
        <v>1139</v>
      </c>
      <c r="J130" s="82" t="s">
        <v>141</v>
      </c>
      <c r="K130" s="82" t="s">
        <v>433</v>
      </c>
      <c r="L130" s="197" t="s">
        <v>297</v>
      </c>
      <c r="M130" s="198" t="s">
        <v>546</v>
      </c>
      <c r="N130" s="624" t="s">
        <v>475</v>
      </c>
      <c r="O130" s="613"/>
      <c r="P130" s="200"/>
      <c r="Q130" s="198" t="s">
        <v>355</v>
      </c>
      <c r="R130" s="198" t="s">
        <v>810</v>
      </c>
      <c r="S130" s="199" t="s">
        <v>1140</v>
      </c>
      <c r="T130" s="198" t="s">
        <v>404</v>
      </c>
      <c r="U130" s="198" t="s">
        <v>403</v>
      </c>
      <c r="V130" s="198" t="s">
        <v>402</v>
      </c>
      <c r="W130" s="198" t="s">
        <v>402</v>
      </c>
      <c r="X130" s="198" t="s">
        <v>402</v>
      </c>
      <c r="Y130" s="198" t="s">
        <v>403</v>
      </c>
      <c r="Z130" s="198" t="s">
        <v>402</v>
      </c>
      <c r="AA130" s="198" t="s">
        <v>354</v>
      </c>
      <c r="AB130" s="198" t="s">
        <v>936</v>
      </c>
      <c r="AC130" s="198" t="s">
        <v>402</v>
      </c>
      <c r="AD130" s="200"/>
      <c r="AE130" s="198" t="s">
        <v>385</v>
      </c>
      <c r="AF130" s="198" t="s">
        <v>385</v>
      </c>
      <c r="AG130" s="198" t="s">
        <v>385</v>
      </c>
      <c r="AH130" s="199" t="s">
        <v>1142</v>
      </c>
      <c r="AI130" s="198" t="s">
        <v>1143</v>
      </c>
      <c r="AJ130" s="198" t="s">
        <v>1144</v>
      </c>
      <c r="AK130" s="198" t="s">
        <v>402</v>
      </c>
      <c r="AL130" s="198" t="s">
        <v>385</v>
      </c>
      <c r="AM130" s="198" t="s">
        <v>402</v>
      </c>
      <c r="AN130" s="198" t="s">
        <v>402</v>
      </c>
      <c r="AO130" s="198" t="s">
        <v>402</v>
      </c>
      <c r="AP130" s="198" t="s">
        <v>402</v>
      </c>
      <c r="AQ130" s="198" t="s">
        <v>1146</v>
      </c>
      <c r="AR130" s="203" t="s">
        <v>1147</v>
      </c>
      <c r="AS130" s="239" t="s">
        <v>1148</v>
      </c>
    </row>
    <row r="131" spans="1:45" ht="15">
      <c r="A131" s="379"/>
      <c r="B131" s="70"/>
      <c r="C131" s="72"/>
      <c r="D131" s="74"/>
      <c r="E131" s="104"/>
      <c r="F131" s="104"/>
      <c r="G131" s="104"/>
      <c r="H131" s="104"/>
      <c r="I131" s="129"/>
      <c r="J131" s="380"/>
      <c r="K131" s="380"/>
      <c r="L131" s="197"/>
      <c r="M131" s="29" t="s">
        <v>1154</v>
      </c>
      <c r="N131" s="198"/>
      <c r="O131" s="198"/>
      <c r="P131" s="204"/>
      <c r="Q131" s="198"/>
      <c r="R131" s="268"/>
      <c r="S131" s="29" t="s">
        <v>1148</v>
      </c>
      <c r="T131" s="198"/>
      <c r="U131" s="198"/>
      <c r="V131" s="198"/>
      <c r="W131" s="198"/>
      <c r="X131" s="198"/>
      <c r="Y131" s="198"/>
      <c r="Z131" s="198"/>
      <c r="AA131" s="198"/>
      <c r="AB131" s="268"/>
      <c r="AC131" s="268"/>
      <c r="AD131" s="204"/>
      <c r="AE131" s="198"/>
      <c r="AF131" s="198"/>
      <c r="AG131" s="198"/>
      <c r="AH131" s="198"/>
      <c r="AI131" s="268"/>
      <c r="AJ131" s="198"/>
      <c r="AK131" s="198"/>
      <c r="AL131" s="198"/>
      <c r="AM131" s="198"/>
      <c r="AN131" s="198"/>
      <c r="AO131" s="198"/>
      <c r="AP131" s="198"/>
      <c r="AQ131" s="198"/>
      <c r="AR131" s="203"/>
      <c r="AS131" s="239" t="s">
        <v>1154</v>
      </c>
    </row>
    <row r="132" spans="1:45" ht="15">
      <c r="A132" s="379"/>
      <c r="B132" s="70"/>
      <c r="C132" s="72"/>
      <c r="D132" s="74"/>
      <c r="E132" s="104"/>
      <c r="F132" s="104"/>
      <c r="G132" s="104"/>
      <c r="H132" s="78" t="s">
        <v>1158</v>
      </c>
      <c r="I132" s="129"/>
      <c r="J132" s="380"/>
      <c r="K132" s="380"/>
      <c r="L132" s="197" t="s">
        <v>297</v>
      </c>
      <c r="M132" s="85" t="s">
        <v>374</v>
      </c>
      <c r="N132" s="624" t="s">
        <v>475</v>
      </c>
      <c r="O132" s="613"/>
      <c r="P132" s="96"/>
      <c r="Q132" s="198" t="s">
        <v>355</v>
      </c>
      <c r="R132" s="268" t="s">
        <v>810</v>
      </c>
      <c r="S132" s="196" t="s">
        <v>860</v>
      </c>
      <c r="T132" s="198" t="s">
        <v>404</v>
      </c>
      <c r="U132" s="198" t="s">
        <v>403</v>
      </c>
      <c r="V132" s="198" t="s">
        <v>402</v>
      </c>
      <c r="W132" s="198" t="s">
        <v>402</v>
      </c>
      <c r="X132" s="198" t="s">
        <v>402</v>
      </c>
      <c r="Y132" s="198" t="s">
        <v>403</v>
      </c>
      <c r="Z132" s="198" t="s">
        <v>402</v>
      </c>
      <c r="AA132" s="198" t="s">
        <v>354</v>
      </c>
      <c r="AB132" s="268" t="s">
        <v>936</v>
      </c>
      <c r="AC132" s="268" t="s">
        <v>402</v>
      </c>
      <c r="AD132" s="96"/>
      <c r="AE132" s="198" t="s">
        <v>385</v>
      </c>
      <c r="AF132" s="198" t="s">
        <v>385</v>
      </c>
      <c r="AG132" s="198" t="s">
        <v>385</v>
      </c>
      <c r="AH132" s="15" t="s">
        <v>1066</v>
      </c>
      <c r="AI132" s="177" t="s">
        <v>460</v>
      </c>
      <c r="AJ132" s="85" t="s">
        <v>1165</v>
      </c>
      <c r="AK132" s="85" t="s">
        <v>402</v>
      </c>
      <c r="AL132" s="85" t="s">
        <v>385</v>
      </c>
      <c r="AM132" s="85"/>
      <c r="AN132" s="85"/>
      <c r="AO132" s="85"/>
      <c r="AP132" s="85"/>
      <c r="AQ132" s="85"/>
      <c r="AR132" s="128"/>
      <c r="AS132" s="67"/>
    </row>
    <row r="133" spans="1:45" ht="13">
      <c r="A133" s="379"/>
      <c r="B133" s="70" t="s">
        <v>356</v>
      </c>
      <c r="C133" s="72">
        <v>43441</v>
      </c>
      <c r="D133" s="74" t="s">
        <v>782</v>
      </c>
      <c r="E133" s="76">
        <v>43579</v>
      </c>
      <c r="F133" s="78" t="s">
        <v>363</v>
      </c>
      <c r="G133" s="76">
        <v>43583</v>
      </c>
      <c r="H133" s="78" t="s">
        <v>355</v>
      </c>
      <c r="I133" s="129" t="s">
        <v>1167</v>
      </c>
      <c r="J133" s="380" t="s">
        <v>142</v>
      </c>
      <c r="K133" s="380" t="s">
        <v>994</v>
      </c>
      <c r="L133" s="219" t="s">
        <v>305</v>
      </c>
      <c r="M133" s="220" t="s">
        <v>385</v>
      </c>
      <c r="N133" s="615" t="s">
        <v>861</v>
      </c>
      <c r="O133" s="613"/>
      <c r="P133" s="613"/>
      <c r="Q133" s="220" t="s">
        <v>385</v>
      </c>
      <c r="R133" s="220" t="s">
        <v>811</v>
      </c>
      <c r="S133" s="221" t="s">
        <v>861</v>
      </c>
      <c r="T133" s="220" t="s">
        <v>402</v>
      </c>
      <c r="U133" s="220" t="s">
        <v>402</v>
      </c>
      <c r="V133" s="220" t="s">
        <v>402</v>
      </c>
      <c r="W133" s="220" t="s">
        <v>402</v>
      </c>
      <c r="X133" s="220" t="s">
        <v>402</v>
      </c>
      <c r="Y133" s="220" t="s">
        <v>402</v>
      </c>
      <c r="Z133" s="220" t="s">
        <v>402</v>
      </c>
      <c r="AA133" s="220" t="s">
        <v>402</v>
      </c>
      <c r="AB133" s="222"/>
      <c r="AC133" s="253" t="s">
        <v>402</v>
      </c>
      <c r="AD133" s="222"/>
      <c r="AE133" s="220" t="s">
        <v>385</v>
      </c>
      <c r="AF133" s="220" t="s">
        <v>385</v>
      </c>
      <c r="AG133" s="220" t="s">
        <v>385</v>
      </c>
      <c r="AH133" s="221" t="s">
        <v>1068</v>
      </c>
      <c r="AI133" s="253" t="s">
        <v>1218</v>
      </c>
      <c r="AJ133" s="220" t="s">
        <v>1219</v>
      </c>
      <c r="AK133" s="220" t="s">
        <v>1220</v>
      </c>
      <c r="AL133" s="220" t="s">
        <v>385</v>
      </c>
      <c r="AM133" s="220" t="s">
        <v>402</v>
      </c>
      <c r="AN133" s="220" t="s">
        <v>402</v>
      </c>
      <c r="AO133" s="220" t="s">
        <v>402</v>
      </c>
      <c r="AP133" s="220" t="s">
        <v>402</v>
      </c>
      <c r="AQ133" s="220" t="s">
        <v>1221</v>
      </c>
      <c r="AR133" s="224" t="s">
        <v>725</v>
      </c>
      <c r="AS133" s="225"/>
    </row>
    <row r="134" spans="1:45" ht="15">
      <c r="A134" s="379"/>
      <c r="B134" s="70"/>
      <c r="C134" s="72"/>
      <c r="D134" s="74"/>
      <c r="E134" s="104"/>
      <c r="F134" s="104"/>
      <c r="G134" s="104"/>
      <c r="H134" s="104"/>
      <c r="I134" s="129"/>
      <c r="J134" s="380"/>
      <c r="K134" s="380"/>
      <c r="L134" s="219"/>
      <c r="M134" s="220"/>
      <c r="N134" s="220"/>
      <c r="O134" s="220"/>
      <c r="P134" s="220"/>
      <c r="Q134" s="220"/>
      <c r="R134" s="220"/>
      <c r="S134" s="220"/>
      <c r="T134" s="220"/>
      <c r="U134" s="220"/>
      <c r="V134" s="220"/>
      <c r="W134" s="220"/>
      <c r="X134" s="220"/>
      <c r="Y134" s="220"/>
      <c r="Z134" s="220"/>
      <c r="AA134" s="220"/>
      <c r="AB134" s="222"/>
      <c r="AC134" s="253"/>
      <c r="AD134" s="222"/>
      <c r="AE134" s="220"/>
      <c r="AF134" s="220"/>
      <c r="AG134" s="220"/>
      <c r="AH134" s="254" t="s">
        <v>1223</v>
      </c>
      <c r="AI134" s="253"/>
      <c r="AJ134" s="220"/>
      <c r="AK134" s="220"/>
      <c r="AL134" s="220"/>
      <c r="AM134" s="220"/>
      <c r="AN134" s="220"/>
      <c r="AO134" s="220"/>
      <c r="AP134" s="220"/>
      <c r="AQ134" s="220"/>
      <c r="AR134" s="224"/>
      <c r="AS134" s="225"/>
    </row>
    <row r="135" spans="1:45" ht="15">
      <c r="A135" s="379"/>
      <c r="B135" s="70"/>
      <c r="C135" s="72"/>
      <c r="D135" s="74"/>
      <c r="E135" s="104"/>
      <c r="F135" s="104"/>
      <c r="G135" s="104"/>
      <c r="H135" s="78" t="s">
        <v>1224</v>
      </c>
      <c r="I135" s="129"/>
      <c r="J135" s="380"/>
      <c r="K135" s="380"/>
      <c r="L135" s="219" t="s">
        <v>305</v>
      </c>
      <c r="M135" s="220" t="s">
        <v>385</v>
      </c>
      <c r="N135" s="91" t="s">
        <v>476</v>
      </c>
      <c r="O135" s="85"/>
      <c r="P135" s="85"/>
      <c r="Q135" s="220" t="s">
        <v>385</v>
      </c>
      <c r="R135" s="220" t="s">
        <v>811</v>
      </c>
      <c r="S135" s="221" t="s">
        <v>861</v>
      </c>
      <c r="T135" s="220" t="s">
        <v>402</v>
      </c>
      <c r="U135" s="220" t="s">
        <v>402</v>
      </c>
      <c r="V135" s="220" t="s">
        <v>402</v>
      </c>
      <c r="W135" s="220" t="s">
        <v>402</v>
      </c>
      <c r="X135" s="220" t="s">
        <v>402</v>
      </c>
      <c r="Y135" s="220" t="s">
        <v>402</v>
      </c>
      <c r="Z135" s="220" t="s">
        <v>402</v>
      </c>
      <c r="AA135" s="220" t="s">
        <v>402</v>
      </c>
      <c r="AB135" s="96"/>
      <c r="AC135" s="177"/>
      <c r="AD135" s="96"/>
      <c r="AE135" s="220" t="s">
        <v>385</v>
      </c>
      <c r="AF135" s="220" t="s">
        <v>385</v>
      </c>
      <c r="AG135" s="220" t="s">
        <v>385</v>
      </c>
      <c r="AH135" s="221" t="s">
        <v>1068</v>
      </c>
      <c r="AI135" s="177" t="s">
        <v>630</v>
      </c>
      <c r="AJ135" s="177" t="s">
        <v>1166</v>
      </c>
      <c r="AK135" s="384" t="s">
        <v>1225</v>
      </c>
      <c r="AL135" s="220" t="s">
        <v>385</v>
      </c>
      <c r="AM135" s="85"/>
      <c r="AN135" s="85"/>
      <c r="AO135" s="85"/>
      <c r="AP135" s="85"/>
      <c r="AQ135" s="85"/>
      <c r="AR135" s="128"/>
      <c r="AS135" s="67"/>
    </row>
    <row r="136" spans="1:45" ht="13">
      <c r="A136" s="238"/>
      <c r="B136" s="70" t="s">
        <v>356</v>
      </c>
      <c r="C136" s="72">
        <v>43441</v>
      </c>
      <c r="D136" s="74" t="s">
        <v>782</v>
      </c>
      <c r="E136" s="76">
        <v>43579</v>
      </c>
      <c r="F136" s="78" t="s">
        <v>363</v>
      </c>
      <c r="G136" s="76">
        <v>43583</v>
      </c>
      <c r="H136" s="78" t="s">
        <v>355</v>
      </c>
      <c r="I136" s="125" t="s">
        <v>1239</v>
      </c>
      <c r="J136" s="82" t="s">
        <v>143</v>
      </c>
      <c r="K136" s="82" t="s">
        <v>876</v>
      </c>
      <c r="L136" s="197" t="s">
        <v>306</v>
      </c>
      <c r="M136" s="198" t="s">
        <v>385</v>
      </c>
      <c r="N136" s="624" t="s">
        <v>480</v>
      </c>
      <c r="O136" s="613"/>
      <c r="P136" s="613"/>
      <c r="Q136" s="198" t="s">
        <v>385</v>
      </c>
      <c r="R136" s="198" t="s">
        <v>812</v>
      </c>
      <c r="S136" s="199" t="s">
        <v>862</v>
      </c>
      <c r="T136" s="198" t="s">
        <v>402</v>
      </c>
      <c r="U136" s="198" t="s">
        <v>402</v>
      </c>
      <c r="V136" s="198" t="s">
        <v>402</v>
      </c>
      <c r="W136" s="198" t="s">
        <v>402</v>
      </c>
      <c r="X136" s="198" t="s">
        <v>402</v>
      </c>
      <c r="Y136" s="198" t="s">
        <v>402</v>
      </c>
      <c r="Z136" s="198" t="s">
        <v>402</v>
      </c>
      <c r="AA136" s="198" t="s">
        <v>402</v>
      </c>
      <c r="AB136" s="200"/>
      <c r="AC136" s="198" t="s">
        <v>402</v>
      </c>
      <c r="AD136" s="200"/>
      <c r="AE136" s="198" t="s">
        <v>385</v>
      </c>
      <c r="AF136" s="198" t="s">
        <v>385</v>
      </c>
      <c r="AG136" s="198" t="s">
        <v>385</v>
      </c>
      <c r="AH136" s="199" t="s">
        <v>1069</v>
      </c>
      <c r="AI136" s="198" t="s">
        <v>1241</v>
      </c>
      <c r="AJ136" s="385" t="s">
        <v>1242</v>
      </c>
      <c r="AK136" s="198" t="s">
        <v>733</v>
      </c>
      <c r="AL136" s="198" t="s">
        <v>385</v>
      </c>
      <c r="AM136" s="198" t="s">
        <v>402</v>
      </c>
      <c r="AN136" s="198" t="s">
        <v>402</v>
      </c>
      <c r="AO136" s="198" t="s">
        <v>402</v>
      </c>
      <c r="AP136" s="198" t="s">
        <v>402</v>
      </c>
      <c r="AQ136" s="198" t="s">
        <v>1243</v>
      </c>
      <c r="AR136" s="203" t="s">
        <v>674</v>
      </c>
      <c r="AS136" s="200"/>
    </row>
    <row r="137" spans="1:45" ht="15">
      <c r="A137" s="379"/>
      <c r="B137" s="70"/>
      <c r="C137" s="72"/>
      <c r="D137" s="74"/>
      <c r="E137" s="104"/>
      <c r="F137" s="104"/>
      <c r="G137" s="104"/>
      <c r="H137" s="104"/>
      <c r="I137" s="129"/>
      <c r="J137" s="380"/>
      <c r="K137" s="380"/>
      <c r="L137" s="197"/>
      <c r="M137" s="198"/>
      <c r="N137" s="198"/>
      <c r="O137" s="198"/>
      <c r="P137" s="198"/>
      <c r="Q137" s="198"/>
      <c r="R137" s="205"/>
      <c r="S137" s="29" t="s">
        <v>1250</v>
      </c>
      <c r="T137" s="198"/>
      <c r="U137" s="198"/>
      <c r="V137" s="198"/>
      <c r="W137" s="198"/>
      <c r="X137" s="198"/>
      <c r="Y137" s="198"/>
      <c r="Z137" s="198"/>
      <c r="AA137" s="198"/>
      <c r="AB137" s="204"/>
      <c r="AC137" s="268"/>
      <c r="AD137" s="204"/>
      <c r="AE137" s="198"/>
      <c r="AF137" s="198"/>
      <c r="AG137" s="198"/>
      <c r="AH137" s="198"/>
      <c r="AI137" s="268"/>
      <c r="AJ137" s="198"/>
      <c r="AK137" s="198"/>
      <c r="AL137" s="198"/>
      <c r="AM137" s="198"/>
      <c r="AN137" s="198"/>
      <c r="AO137" s="198"/>
      <c r="AP137" s="198"/>
      <c r="AQ137" s="198"/>
      <c r="AR137" s="203"/>
      <c r="AS137" s="204"/>
    </row>
    <row r="138" spans="1:45" ht="15">
      <c r="A138" s="379"/>
      <c r="B138" s="70"/>
      <c r="C138" s="72"/>
      <c r="D138" s="74"/>
      <c r="E138" s="104"/>
      <c r="F138" s="104"/>
      <c r="G138" s="104"/>
      <c r="H138" s="78" t="s">
        <v>1254</v>
      </c>
      <c r="I138" s="129"/>
      <c r="J138" s="380"/>
      <c r="K138" s="380"/>
      <c r="L138" s="197" t="s">
        <v>306</v>
      </c>
      <c r="M138" s="198" t="s">
        <v>385</v>
      </c>
      <c r="N138" s="624" t="s">
        <v>480</v>
      </c>
      <c r="O138" s="613"/>
      <c r="P138" s="613"/>
      <c r="Q138" s="198" t="s">
        <v>385</v>
      </c>
      <c r="R138" s="205" t="s">
        <v>812</v>
      </c>
      <c r="S138" s="196" t="s">
        <v>862</v>
      </c>
      <c r="T138" s="198" t="s">
        <v>402</v>
      </c>
      <c r="U138" s="198" t="s">
        <v>402</v>
      </c>
      <c r="V138" s="198" t="s">
        <v>402</v>
      </c>
      <c r="W138" s="198" t="s">
        <v>402</v>
      </c>
      <c r="X138" s="198" t="s">
        <v>402</v>
      </c>
      <c r="Y138" s="198" t="s">
        <v>402</v>
      </c>
      <c r="Z138" s="198" t="s">
        <v>402</v>
      </c>
      <c r="AA138" s="198" t="s">
        <v>402</v>
      </c>
      <c r="AB138" s="96"/>
      <c r="AC138" s="177"/>
      <c r="AD138" s="96"/>
      <c r="AE138" s="198" t="s">
        <v>385</v>
      </c>
      <c r="AF138" s="198" t="s">
        <v>385</v>
      </c>
      <c r="AG138" s="198" t="s">
        <v>385</v>
      </c>
      <c r="AH138" s="199" t="s">
        <v>1069</v>
      </c>
      <c r="AI138" s="177" t="s">
        <v>460</v>
      </c>
      <c r="AJ138" s="85" t="s">
        <v>1168</v>
      </c>
      <c r="AK138" s="85" t="s">
        <v>1226</v>
      </c>
      <c r="AL138" s="85" t="s">
        <v>385</v>
      </c>
      <c r="AM138" s="85"/>
      <c r="AN138" s="85"/>
      <c r="AO138" s="85"/>
      <c r="AP138" s="85"/>
      <c r="AQ138" s="85"/>
      <c r="AR138" s="128"/>
      <c r="AS138" s="67"/>
    </row>
    <row r="139" spans="1:45" ht="15">
      <c r="A139" s="379"/>
      <c r="B139" s="70" t="s">
        <v>356</v>
      </c>
      <c r="C139" s="72">
        <v>43441</v>
      </c>
      <c r="D139" s="74" t="s">
        <v>363</v>
      </c>
      <c r="E139" s="76">
        <v>43566</v>
      </c>
      <c r="F139" s="78" t="s">
        <v>360</v>
      </c>
      <c r="G139" s="76">
        <v>43580</v>
      </c>
      <c r="H139" s="78" t="s">
        <v>355</v>
      </c>
      <c r="I139" s="129" t="s">
        <v>1273</v>
      </c>
      <c r="J139" s="380" t="s">
        <v>144</v>
      </c>
      <c r="K139" s="386"/>
      <c r="L139" s="84" t="s">
        <v>291</v>
      </c>
      <c r="M139" s="85" t="s">
        <v>374</v>
      </c>
      <c r="N139" s="91" t="s">
        <v>484</v>
      </c>
      <c r="O139" s="85"/>
      <c r="P139" s="91" t="s">
        <v>717</v>
      </c>
      <c r="Q139" s="85" t="s">
        <v>385</v>
      </c>
      <c r="R139" s="85" t="s">
        <v>763</v>
      </c>
      <c r="S139" s="91" t="s">
        <v>764</v>
      </c>
      <c r="T139" s="85" t="s">
        <v>402</v>
      </c>
      <c r="U139" s="85" t="s">
        <v>402</v>
      </c>
      <c r="V139" s="85" t="s">
        <v>402</v>
      </c>
      <c r="W139" s="85" t="s">
        <v>402</v>
      </c>
      <c r="X139" s="85" t="s">
        <v>402</v>
      </c>
      <c r="Y139" s="85" t="s">
        <v>402</v>
      </c>
      <c r="Z139" s="85" t="s">
        <v>402</v>
      </c>
      <c r="AA139" s="85" t="s">
        <v>402</v>
      </c>
      <c r="AB139" s="85" t="s">
        <v>937</v>
      </c>
      <c r="AC139" s="177" t="s">
        <v>402</v>
      </c>
      <c r="AD139" s="96"/>
      <c r="AE139" s="85" t="s">
        <v>385</v>
      </c>
      <c r="AF139" s="85" t="s">
        <v>385</v>
      </c>
      <c r="AG139" s="85" t="s">
        <v>385</v>
      </c>
      <c r="AH139" s="96"/>
      <c r="AI139" s="177" t="s">
        <v>530</v>
      </c>
      <c r="AJ139" s="85" t="s">
        <v>402</v>
      </c>
      <c r="AK139" s="85" t="s">
        <v>402</v>
      </c>
      <c r="AL139" s="85" t="s">
        <v>385</v>
      </c>
      <c r="AM139" s="85" t="s">
        <v>402</v>
      </c>
      <c r="AN139" s="85" t="s">
        <v>402</v>
      </c>
      <c r="AO139" s="85" t="s">
        <v>402</v>
      </c>
      <c r="AP139" s="85" t="s">
        <v>402</v>
      </c>
      <c r="AQ139" s="85" t="s">
        <v>1280</v>
      </c>
      <c r="AR139" s="128" t="s">
        <v>674</v>
      </c>
      <c r="AS139" s="67"/>
    </row>
    <row r="140" spans="1:45" ht="15">
      <c r="A140" s="379"/>
      <c r="B140" s="70"/>
      <c r="C140" s="72"/>
      <c r="D140" s="74"/>
      <c r="E140" s="76"/>
      <c r="F140" s="76"/>
      <c r="G140" s="76"/>
      <c r="H140" s="76"/>
      <c r="I140" s="129"/>
      <c r="J140" s="380"/>
      <c r="K140" s="386"/>
      <c r="L140" s="84"/>
      <c r="M140" s="85"/>
      <c r="N140" s="85"/>
      <c r="O140" s="85"/>
      <c r="P140" s="85"/>
      <c r="Q140" s="85"/>
      <c r="R140" s="85"/>
      <c r="S140" s="85"/>
      <c r="T140" s="85"/>
      <c r="U140" s="85"/>
      <c r="V140" s="85"/>
      <c r="W140" s="85"/>
      <c r="X140" s="85"/>
      <c r="Y140" s="85"/>
      <c r="Z140" s="85"/>
      <c r="AA140" s="85"/>
      <c r="AB140" s="85"/>
      <c r="AC140" s="177"/>
      <c r="AD140" s="96"/>
      <c r="AE140" s="85"/>
      <c r="AF140" s="85"/>
      <c r="AG140" s="85"/>
      <c r="AH140" s="96"/>
      <c r="AI140" s="177"/>
      <c r="AJ140" s="85"/>
      <c r="AK140" s="85"/>
      <c r="AL140" s="85"/>
      <c r="AM140" s="85"/>
      <c r="AN140" s="85"/>
      <c r="AO140" s="85"/>
      <c r="AP140" s="85"/>
      <c r="AQ140" s="85"/>
      <c r="AR140" s="128"/>
      <c r="AS140" s="67"/>
    </row>
    <row r="141" spans="1:45" ht="15">
      <c r="A141" s="388"/>
      <c r="B141" s="164"/>
      <c r="C141" s="165"/>
      <c r="D141" s="166"/>
      <c r="E141" s="193"/>
      <c r="F141" s="193"/>
      <c r="G141" s="193"/>
      <c r="H141" s="193"/>
      <c r="I141" s="168"/>
      <c r="J141" s="390"/>
      <c r="K141" s="391"/>
      <c r="L141" s="124" t="s">
        <v>291</v>
      </c>
      <c r="M141" s="112" t="s">
        <v>374</v>
      </c>
      <c r="N141" s="120" t="s">
        <v>484</v>
      </c>
      <c r="O141" s="112"/>
      <c r="P141" s="120" t="s">
        <v>717</v>
      </c>
      <c r="Q141" s="112" t="s">
        <v>385</v>
      </c>
      <c r="R141" s="112" t="s">
        <v>763</v>
      </c>
      <c r="S141" s="120" t="s">
        <v>764</v>
      </c>
      <c r="T141" s="112" t="s">
        <v>402</v>
      </c>
      <c r="U141" s="112" t="s">
        <v>402</v>
      </c>
      <c r="V141" s="112" t="s">
        <v>402</v>
      </c>
      <c r="W141" s="112" t="s">
        <v>402</v>
      </c>
      <c r="X141" s="112" t="s">
        <v>402</v>
      </c>
      <c r="Y141" s="112" t="s">
        <v>402</v>
      </c>
      <c r="Z141" s="112" t="s">
        <v>402</v>
      </c>
      <c r="AA141" s="112" t="s">
        <v>402</v>
      </c>
      <c r="AB141" s="112" t="s">
        <v>937</v>
      </c>
      <c r="AC141" s="178"/>
      <c r="AD141" s="116"/>
      <c r="AE141" s="112" t="s">
        <v>385</v>
      </c>
      <c r="AF141" s="112" t="s">
        <v>385</v>
      </c>
      <c r="AG141" s="112" t="s">
        <v>385</v>
      </c>
      <c r="AH141" s="116"/>
      <c r="AI141" s="178" t="s">
        <v>530</v>
      </c>
      <c r="AJ141" s="112"/>
      <c r="AK141" s="112" t="s">
        <v>402</v>
      </c>
      <c r="AL141" s="112" t="s">
        <v>385</v>
      </c>
      <c r="AM141" s="112"/>
      <c r="AN141" s="112"/>
      <c r="AO141" s="112"/>
      <c r="AP141" s="112"/>
      <c r="AQ141" s="112" t="s">
        <v>1280</v>
      </c>
      <c r="AR141" s="139"/>
      <c r="AS141" s="140"/>
    </row>
    <row r="142" spans="1:45" ht="15">
      <c r="A142" s="238"/>
      <c r="B142" s="70" t="s">
        <v>356</v>
      </c>
      <c r="C142" s="72">
        <v>43438</v>
      </c>
      <c r="D142" s="74" t="s">
        <v>363</v>
      </c>
      <c r="E142" s="76">
        <v>43566</v>
      </c>
      <c r="F142" s="78" t="s">
        <v>360</v>
      </c>
      <c r="G142" s="76">
        <v>43580</v>
      </c>
      <c r="H142" s="78" t="s">
        <v>355</v>
      </c>
      <c r="I142" s="129" t="s">
        <v>1291</v>
      </c>
      <c r="J142" s="105" t="s">
        <v>145</v>
      </c>
      <c r="K142" s="106" t="s">
        <v>876</v>
      </c>
      <c r="L142" s="84" t="s">
        <v>307</v>
      </c>
      <c r="M142" s="85" t="s">
        <v>374</v>
      </c>
      <c r="N142" s="614" t="s">
        <v>486</v>
      </c>
      <c r="O142" s="613"/>
      <c r="P142" s="91" t="s">
        <v>486</v>
      </c>
      <c r="Q142" s="85" t="s">
        <v>355</v>
      </c>
      <c r="R142" s="85" t="s">
        <v>763</v>
      </c>
      <c r="S142" s="91" t="s">
        <v>764</v>
      </c>
      <c r="T142" s="85" t="s">
        <v>355</v>
      </c>
      <c r="U142" s="85" t="s">
        <v>402</v>
      </c>
      <c r="V142" s="85" t="s">
        <v>355</v>
      </c>
      <c r="W142" s="85" t="s">
        <v>402</v>
      </c>
      <c r="X142" s="85" t="s">
        <v>355</v>
      </c>
      <c r="Y142" s="85" t="s">
        <v>355</v>
      </c>
      <c r="Z142" s="85" t="s">
        <v>402</v>
      </c>
      <c r="AA142" s="85" t="s">
        <v>402</v>
      </c>
      <c r="AB142" s="96"/>
      <c r="AC142" s="177" t="s">
        <v>958</v>
      </c>
      <c r="AD142" s="91" t="s">
        <v>486</v>
      </c>
      <c r="AE142" s="85" t="s">
        <v>385</v>
      </c>
      <c r="AF142" s="85" t="s">
        <v>385</v>
      </c>
      <c r="AG142" s="85" t="s">
        <v>355</v>
      </c>
      <c r="AH142" s="91" t="s">
        <v>486</v>
      </c>
      <c r="AI142" s="85" t="s">
        <v>1292</v>
      </c>
      <c r="AJ142" s="85" t="s">
        <v>402</v>
      </c>
      <c r="AK142" s="85" t="s">
        <v>402</v>
      </c>
      <c r="AL142" s="85" t="s">
        <v>385</v>
      </c>
      <c r="AM142" s="177" t="s">
        <v>1293</v>
      </c>
      <c r="AN142" s="85" t="s">
        <v>402</v>
      </c>
      <c r="AO142" s="85" t="s">
        <v>402</v>
      </c>
      <c r="AP142" s="85" t="s">
        <v>402</v>
      </c>
      <c r="AQ142" s="85" t="s">
        <v>1294</v>
      </c>
      <c r="AR142" s="128" t="s">
        <v>674</v>
      </c>
      <c r="AS142" s="29"/>
    </row>
    <row r="143" spans="1:45" ht="15">
      <c r="A143" s="238"/>
      <c r="B143" s="70"/>
      <c r="C143" s="72"/>
      <c r="D143" s="74"/>
      <c r="E143" s="76"/>
      <c r="F143" s="76"/>
      <c r="G143" s="76"/>
      <c r="H143" s="76"/>
      <c r="I143" s="129"/>
      <c r="J143" s="105"/>
      <c r="K143" s="106"/>
      <c r="L143" s="84"/>
      <c r="M143" s="85"/>
      <c r="N143" s="85"/>
      <c r="O143" s="85"/>
      <c r="P143" s="85"/>
      <c r="Q143" s="85"/>
      <c r="R143" s="85"/>
      <c r="S143" s="85"/>
      <c r="T143" s="85"/>
      <c r="U143" s="85"/>
      <c r="V143" s="85"/>
      <c r="W143" s="85"/>
      <c r="X143" s="85"/>
      <c r="Y143" s="85"/>
      <c r="Z143" s="85"/>
      <c r="AA143" s="85"/>
      <c r="AB143" s="96"/>
      <c r="AC143" s="177"/>
      <c r="AD143" s="85"/>
      <c r="AE143" s="85"/>
      <c r="AF143" s="85"/>
      <c r="AG143" s="85"/>
      <c r="AH143" s="85"/>
      <c r="AI143" s="85" t="s">
        <v>1295</v>
      </c>
      <c r="AJ143" s="85"/>
      <c r="AK143" s="85"/>
      <c r="AL143" s="85"/>
      <c r="AM143" s="177"/>
      <c r="AN143" s="85"/>
      <c r="AO143" s="85"/>
      <c r="AP143" s="85"/>
      <c r="AQ143" s="85"/>
      <c r="AR143" s="128"/>
      <c r="AS143" s="29"/>
    </row>
    <row r="144" spans="1:45" ht="15">
      <c r="A144" s="394"/>
      <c r="B144" s="164"/>
      <c r="C144" s="165"/>
      <c r="D144" s="166"/>
      <c r="E144" s="193"/>
      <c r="F144" s="193"/>
      <c r="G144" s="193"/>
      <c r="H144" s="193"/>
      <c r="I144" s="168"/>
      <c r="J144" s="169"/>
      <c r="K144" s="170"/>
      <c r="L144" s="124" t="s">
        <v>307</v>
      </c>
      <c r="M144" s="112" t="s">
        <v>374</v>
      </c>
      <c r="N144" s="120" t="s">
        <v>486</v>
      </c>
      <c r="O144" s="112"/>
      <c r="P144" s="120" t="s">
        <v>486</v>
      </c>
      <c r="Q144" s="112" t="s">
        <v>355</v>
      </c>
      <c r="R144" s="112" t="s">
        <v>763</v>
      </c>
      <c r="S144" s="120" t="s">
        <v>764</v>
      </c>
      <c r="T144" s="112" t="s">
        <v>355</v>
      </c>
      <c r="U144" s="112" t="s">
        <v>402</v>
      </c>
      <c r="V144" s="112" t="s">
        <v>355</v>
      </c>
      <c r="W144" s="112" t="s">
        <v>402</v>
      </c>
      <c r="X144" s="112" t="s">
        <v>355</v>
      </c>
      <c r="Y144" s="112" t="s">
        <v>355</v>
      </c>
      <c r="Z144" s="112" t="s">
        <v>402</v>
      </c>
      <c r="AA144" s="112" t="s">
        <v>402</v>
      </c>
      <c r="AB144" s="116"/>
      <c r="AC144" s="178" t="s">
        <v>958</v>
      </c>
      <c r="AD144" s="120" t="s">
        <v>486</v>
      </c>
      <c r="AE144" s="112" t="s">
        <v>385</v>
      </c>
      <c r="AF144" s="112" t="s">
        <v>385</v>
      </c>
      <c r="AG144" s="112" t="s">
        <v>355</v>
      </c>
      <c r="AH144" s="120" t="s">
        <v>486</v>
      </c>
      <c r="AI144" s="112" t="s">
        <v>530</v>
      </c>
      <c r="AJ144" s="112"/>
      <c r="AK144" s="112" t="s">
        <v>402</v>
      </c>
      <c r="AL144" s="112" t="s">
        <v>385</v>
      </c>
      <c r="AM144" s="178"/>
      <c r="AN144" s="112"/>
      <c r="AO144" s="112"/>
      <c r="AP144" s="112"/>
      <c r="AQ144" s="112" t="s">
        <v>1296</v>
      </c>
      <c r="AR144" s="139"/>
      <c r="AS144" s="172"/>
    </row>
    <row r="145" spans="1:45" ht="15">
      <c r="A145" s="238"/>
      <c r="B145" s="70" t="s">
        <v>356</v>
      </c>
      <c r="C145" s="72">
        <v>43438</v>
      </c>
      <c r="D145" s="74" t="s">
        <v>363</v>
      </c>
      <c r="E145" s="76">
        <v>43566</v>
      </c>
      <c r="F145" s="78" t="s">
        <v>360</v>
      </c>
      <c r="G145" s="76">
        <v>43580</v>
      </c>
      <c r="H145" s="78" t="s">
        <v>355</v>
      </c>
      <c r="I145" s="129" t="s">
        <v>1297</v>
      </c>
      <c r="J145" s="105" t="s">
        <v>146</v>
      </c>
      <c r="K145" s="106" t="s">
        <v>786</v>
      </c>
      <c r="L145" s="84" t="s">
        <v>309</v>
      </c>
      <c r="M145" s="85" t="s">
        <v>382</v>
      </c>
      <c r="N145" s="614" t="s">
        <v>488</v>
      </c>
      <c r="O145" s="613"/>
      <c r="P145" s="91" t="s">
        <v>718</v>
      </c>
      <c r="Q145" s="85" t="s">
        <v>354</v>
      </c>
      <c r="R145" s="85" t="s">
        <v>402</v>
      </c>
      <c r="S145" s="96"/>
      <c r="T145" s="85" t="s">
        <v>402</v>
      </c>
      <c r="U145" s="85" t="s">
        <v>402</v>
      </c>
      <c r="V145" s="85" t="s">
        <v>402</v>
      </c>
      <c r="W145" s="85" t="s">
        <v>402</v>
      </c>
      <c r="X145" s="85" t="s">
        <v>402</v>
      </c>
      <c r="Y145" s="85" t="s">
        <v>402</v>
      </c>
      <c r="Z145" s="85" t="s">
        <v>402</v>
      </c>
      <c r="AA145" s="85" t="s">
        <v>402</v>
      </c>
      <c r="AB145" s="96"/>
      <c r="AC145" s="85" t="s">
        <v>1298</v>
      </c>
      <c r="AD145" s="96"/>
      <c r="AE145" s="85" t="s">
        <v>402</v>
      </c>
      <c r="AF145" s="85" t="s">
        <v>385</v>
      </c>
      <c r="AG145" s="85" t="s">
        <v>355</v>
      </c>
      <c r="AH145" s="91" t="s">
        <v>1070</v>
      </c>
      <c r="AI145" s="85" t="s">
        <v>642</v>
      </c>
      <c r="AJ145" s="85" t="s">
        <v>1169</v>
      </c>
      <c r="AK145" s="85" t="s">
        <v>402</v>
      </c>
      <c r="AL145" s="85" t="s">
        <v>385</v>
      </c>
      <c r="AM145" s="85" t="s">
        <v>1244</v>
      </c>
      <c r="AN145" s="85" t="s">
        <v>1299</v>
      </c>
      <c r="AO145" s="85" t="s">
        <v>402</v>
      </c>
      <c r="AP145" s="85" t="s">
        <v>402</v>
      </c>
      <c r="AQ145" s="85" t="s">
        <v>1300</v>
      </c>
      <c r="AR145" s="128" t="s">
        <v>692</v>
      </c>
      <c r="AS145" s="29"/>
    </row>
    <row r="146" spans="1:45" ht="15">
      <c r="A146" s="238"/>
      <c r="B146" s="70"/>
      <c r="C146" s="72"/>
      <c r="D146" s="74"/>
      <c r="E146" s="76"/>
      <c r="F146" s="76"/>
      <c r="G146" s="76"/>
      <c r="H146" s="76"/>
      <c r="I146" s="129"/>
      <c r="J146" s="105"/>
      <c r="K146" s="106"/>
      <c r="L146" s="84"/>
      <c r="M146" s="85"/>
      <c r="N146" s="85"/>
      <c r="O146" s="85"/>
      <c r="P146" s="85"/>
      <c r="Q146" s="85"/>
      <c r="R146" s="85"/>
      <c r="S146" s="96"/>
      <c r="T146" s="85"/>
      <c r="U146" s="85"/>
      <c r="V146" s="85"/>
      <c r="W146" s="85"/>
      <c r="X146" s="85"/>
      <c r="Y146" s="85"/>
      <c r="Z146" s="85"/>
      <c r="AA146" s="85"/>
      <c r="AB146" s="96"/>
      <c r="AC146" s="85"/>
      <c r="AD146" s="96"/>
      <c r="AE146" s="85"/>
      <c r="AF146" s="85"/>
      <c r="AG146" s="85"/>
      <c r="AH146" s="85"/>
      <c r="AI146" s="85"/>
      <c r="AJ146" s="85"/>
      <c r="AK146" s="85"/>
      <c r="AL146" s="85"/>
      <c r="AM146" s="85"/>
      <c r="AN146" s="85" t="s">
        <v>1301</v>
      </c>
      <c r="AO146" s="85"/>
      <c r="AP146" s="85"/>
      <c r="AQ146" s="85"/>
      <c r="AR146" s="128"/>
      <c r="AS146" s="29"/>
    </row>
    <row r="147" spans="1:45" ht="15">
      <c r="A147" s="394"/>
      <c r="B147" s="164"/>
      <c r="C147" s="165"/>
      <c r="D147" s="166"/>
      <c r="E147" s="193"/>
      <c r="F147" s="193"/>
      <c r="G147" s="193"/>
      <c r="H147" s="193"/>
      <c r="I147" s="168"/>
      <c r="J147" s="169"/>
      <c r="K147" s="170"/>
      <c r="L147" s="124" t="s">
        <v>309</v>
      </c>
      <c r="M147" s="112" t="s">
        <v>382</v>
      </c>
      <c r="N147" s="120" t="s">
        <v>488</v>
      </c>
      <c r="O147" s="112"/>
      <c r="P147" s="120" t="s">
        <v>718</v>
      </c>
      <c r="Q147" s="112" t="s">
        <v>354</v>
      </c>
      <c r="R147" s="112"/>
      <c r="S147" s="116"/>
      <c r="T147" s="112" t="s">
        <v>402</v>
      </c>
      <c r="U147" s="112" t="s">
        <v>402</v>
      </c>
      <c r="V147" s="112" t="s">
        <v>402</v>
      </c>
      <c r="W147" s="112" t="s">
        <v>402</v>
      </c>
      <c r="X147" s="112" t="s">
        <v>402</v>
      </c>
      <c r="Y147" s="112" t="s">
        <v>402</v>
      </c>
      <c r="Z147" s="112" t="s">
        <v>402</v>
      </c>
      <c r="AA147" s="112" t="s">
        <v>402</v>
      </c>
      <c r="AB147" s="116"/>
      <c r="AC147" s="112"/>
      <c r="AD147" s="116"/>
      <c r="AE147" s="112" t="s">
        <v>385</v>
      </c>
      <c r="AF147" s="112" t="s">
        <v>385</v>
      </c>
      <c r="AG147" s="112" t="s">
        <v>385</v>
      </c>
      <c r="AH147" s="120" t="s">
        <v>1070</v>
      </c>
      <c r="AI147" s="112" t="s">
        <v>642</v>
      </c>
      <c r="AJ147" s="112" t="s">
        <v>1169</v>
      </c>
      <c r="AK147" s="112" t="s">
        <v>402</v>
      </c>
      <c r="AL147" s="112" t="s">
        <v>385</v>
      </c>
      <c r="AM147" s="112" t="s">
        <v>1244</v>
      </c>
      <c r="AN147" s="112"/>
      <c r="AO147" s="112"/>
      <c r="AP147" s="112"/>
      <c r="AQ147" s="112" t="s">
        <v>1300</v>
      </c>
      <c r="AR147" s="139"/>
      <c r="AS147" s="172"/>
    </row>
    <row r="148" spans="1:45" ht="15">
      <c r="A148" s="238"/>
      <c r="B148" s="70" t="s">
        <v>356</v>
      </c>
      <c r="C148" s="72">
        <v>43438</v>
      </c>
      <c r="D148" s="74" t="s">
        <v>363</v>
      </c>
      <c r="E148" s="76">
        <v>43566</v>
      </c>
      <c r="F148" s="78" t="s">
        <v>360</v>
      </c>
      <c r="G148" s="76">
        <v>43580</v>
      </c>
      <c r="H148" s="78" t="s">
        <v>355</v>
      </c>
      <c r="I148" s="129" t="s">
        <v>1302</v>
      </c>
      <c r="J148" s="105" t="s">
        <v>147</v>
      </c>
      <c r="K148" s="106" t="s">
        <v>851</v>
      </c>
      <c r="L148" s="84" t="s">
        <v>310</v>
      </c>
      <c r="M148" s="85" t="s">
        <v>385</v>
      </c>
      <c r="N148" s="107" t="s">
        <v>489</v>
      </c>
      <c r="O148" s="107"/>
      <c r="P148" s="91" t="s">
        <v>548</v>
      </c>
      <c r="Q148" s="85" t="s">
        <v>355</v>
      </c>
      <c r="R148" s="85" t="s">
        <v>402</v>
      </c>
      <c r="S148" s="96"/>
      <c r="T148" s="85" t="s">
        <v>402</v>
      </c>
      <c r="U148" s="85" t="s">
        <v>402</v>
      </c>
      <c r="V148" s="85" t="s">
        <v>402</v>
      </c>
      <c r="W148" s="85" t="s">
        <v>402</v>
      </c>
      <c r="X148" s="85" t="s">
        <v>402</v>
      </c>
      <c r="Y148" s="85" t="s">
        <v>402</v>
      </c>
      <c r="Z148" s="85" t="s">
        <v>402</v>
      </c>
      <c r="AA148" s="85" t="s">
        <v>402</v>
      </c>
      <c r="AB148" s="96"/>
      <c r="AC148" s="85" t="s">
        <v>959</v>
      </c>
      <c r="AD148" s="91" t="s">
        <v>548</v>
      </c>
      <c r="AE148" s="85" t="s">
        <v>402</v>
      </c>
      <c r="AF148" s="85" t="s">
        <v>385</v>
      </c>
      <c r="AG148" s="85" t="s">
        <v>385</v>
      </c>
      <c r="AH148" s="91" t="s">
        <v>1071</v>
      </c>
      <c r="AI148" s="85" t="s">
        <v>1303</v>
      </c>
      <c r="AJ148" s="177" t="s">
        <v>1170</v>
      </c>
      <c r="AK148" s="85" t="s">
        <v>402</v>
      </c>
      <c r="AL148" s="85" t="s">
        <v>385</v>
      </c>
      <c r="AM148" s="177" t="s">
        <v>1245</v>
      </c>
      <c r="AN148" s="85" t="s">
        <v>402</v>
      </c>
      <c r="AO148" s="85" t="s">
        <v>402</v>
      </c>
      <c r="AP148" s="85" t="s">
        <v>402</v>
      </c>
      <c r="AQ148" s="85" t="s">
        <v>1304</v>
      </c>
      <c r="AR148" s="128" t="s">
        <v>725</v>
      </c>
      <c r="AS148" s="67"/>
    </row>
    <row r="149" spans="1:45" ht="15">
      <c r="A149" s="238"/>
      <c r="B149" s="70"/>
      <c r="C149" s="72"/>
      <c r="D149" s="74"/>
      <c r="E149" s="76"/>
      <c r="F149" s="76"/>
      <c r="G149" s="76"/>
      <c r="H149" s="76"/>
      <c r="I149" s="129"/>
      <c r="J149" s="105"/>
      <c r="K149" s="106"/>
      <c r="L149" s="84"/>
      <c r="M149" s="85"/>
      <c r="N149" s="107"/>
      <c r="O149" s="107"/>
      <c r="P149" s="85"/>
      <c r="Q149" s="85"/>
      <c r="R149" s="85"/>
      <c r="S149" s="96"/>
      <c r="T149" s="85"/>
      <c r="U149" s="85"/>
      <c r="V149" s="85"/>
      <c r="W149" s="85"/>
      <c r="X149" s="85"/>
      <c r="Y149" s="85"/>
      <c r="Z149" s="85"/>
      <c r="AA149" s="85"/>
      <c r="AB149" s="96"/>
      <c r="AC149" s="85"/>
      <c r="AD149" s="85"/>
      <c r="AE149" s="85"/>
      <c r="AF149" s="85"/>
      <c r="AG149" s="85"/>
      <c r="AH149" s="85"/>
      <c r="AI149" s="85"/>
      <c r="AJ149" s="177"/>
      <c r="AK149" s="85"/>
      <c r="AL149" s="85"/>
      <c r="AM149" s="177"/>
      <c r="AN149" s="85"/>
      <c r="AO149" s="85"/>
      <c r="AP149" s="85"/>
      <c r="AQ149" s="85"/>
      <c r="AR149" s="128"/>
      <c r="AS149" s="67"/>
    </row>
    <row r="150" spans="1:45" ht="15">
      <c r="A150" s="394"/>
      <c r="B150" s="164"/>
      <c r="C150" s="165"/>
      <c r="D150" s="166"/>
      <c r="E150" s="193"/>
      <c r="F150" s="193"/>
      <c r="G150" s="193"/>
      <c r="H150" s="193"/>
      <c r="I150" s="168"/>
      <c r="J150" s="169"/>
      <c r="K150" s="170"/>
      <c r="L150" s="124" t="s">
        <v>310</v>
      </c>
      <c r="M150" s="112" t="s">
        <v>385</v>
      </c>
      <c r="N150" s="113" t="s">
        <v>489</v>
      </c>
      <c r="O150" s="113"/>
      <c r="P150" s="120" t="s">
        <v>548</v>
      </c>
      <c r="Q150" s="112" t="s">
        <v>355</v>
      </c>
      <c r="R150" s="112" t="s">
        <v>402</v>
      </c>
      <c r="S150" s="116"/>
      <c r="T150" s="112" t="s">
        <v>402</v>
      </c>
      <c r="U150" s="112" t="s">
        <v>402</v>
      </c>
      <c r="V150" s="112" t="s">
        <v>402</v>
      </c>
      <c r="W150" s="112" t="s">
        <v>402</v>
      </c>
      <c r="X150" s="112" t="s">
        <v>402</v>
      </c>
      <c r="Y150" s="112" t="s">
        <v>402</v>
      </c>
      <c r="Z150" s="112" t="s">
        <v>402</v>
      </c>
      <c r="AA150" s="112" t="s">
        <v>402</v>
      </c>
      <c r="AB150" s="116"/>
      <c r="AC150" s="112" t="s">
        <v>959</v>
      </c>
      <c r="AD150" s="120" t="s">
        <v>548</v>
      </c>
      <c r="AE150" s="112" t="s">
        <v>385</v>
      </c>
      <c r="AF150" s="112" t="s">
        <v>385</v>
      </c>
      <c r="AG150" s="112" t="s">
        <v>385</v>
      </c>
      <c r="AH150" s="120" t="s">
        <v>1071</v>
      </c>
      <c r="AI150" s="132" t="s">
        <v>642</v>
      </c>
      <c r="AJ150" s="178" t="s">
        <v>1170</v>
      </c>
      <c r="AK150" s="112" t="s">
        <v>402</v>
      </c>
      <c r="AL150" s="112" t="s">
        <v>385</v>
      </c>
      <c r="AM150" s="178" t="s">
        <v>1245</v>
      </c>
      <c r="AN150" s="112"/>
      <c r="AO150" s="112"/>
      <c r="AP150" s="112"/>
      <c r="AQ150" s="112" t="s">
        <v>1304</v>
      </c>
      <c r="AR150" s="139"/>
      <c r="AS150" s="140"/>
    </row>
    <row r="151" spans="1:45" ht="13">
      <c r="A151" s="238"/>
      <c r="B151" s="70" t="s">
        <v>356</v>
      </c>
      <c r="C151" s="72">
        <v>43438</v>
      </c>
      <c r="D151" s="74" t="s">
        <v>782</v>
      </c>
      <c r="E151" s="76">
        <v>43579</v>
      </c>
      <c r="F151" s="78" t="s">
        <v>363</v>
      </c>
      <c r="G151" s="76">
        <v>43581</v>
      </c>
      <c r="H151" s="78" t="s">
        <v>355</v>
      </c>
      <c r="I151" s="125" t="s">
        <v>1305</v>
      </c>
      <c r="J151" s="82" t="s">
        <v>148</v>
      </c>
      <c r="K151" s="82" t="s">
        <v>368</v>
      </c>
      <c r="L151" s="219" t="s">
        <v>291</v>
      </c>
      <c r="M151" s="220" t="s">
        <v>382</v>
      </c>
      <c r="N151" s="615" t="s">
        <v>490</v>
      </c>
      <c r="O151" s="613"/>
      <c r="P151" s="221" t="s">
        <v>694</v>
      </c>
      <c r="Q151" s="220" t="s">
        <v>355</v>
      </c>
      <c r="R151" s="220" t="s">
        <v>763</v>
      </c>
      <c r="S151" s="221" t="s">
        <v>764</v>
      </c>
      <c r="T151" s="220" t="s">
        <v>355</v>
      </c>
      <c r="U151" s="220" t="s">
        <v>355</v>
      </c>
      <c r="V151" s="220" t="s">
        <v>355</v>
      </c>
      <c r="W151" s="220" t="s">
        <v>355</v>
      </c>
      <c r="X151" s="220" t="s">
        <v>355</v>
      </c>
      <c r="Y151" s="220" t="s">
        <v>355</v>
      </c>
      <c r="Z151" s="220" t="s">
        <v>355</v>
      </c>
      <c r="AA151" s="220" t="s">
        <v>355</v>
      </c>
      <c r="AB151" s="250"/>
      <c r="AC151" s="220" t="s">
        <v>863</v>
      </c>
      <c r="AD151" s="221" t="s">
        <v>544</v>
      </c>
      <c r="AE151" s="220" t="s">
        <v>385</v>
      </c>
      <c r="AF151" s="220" t="s">
        <v>385</v>
      </c>
      <c r="AG151" s="220" t="s">
        <v>385</v>
      </c>
      <c r="AH151" s="221" t="s">
        <v>766</v>
      </c>
      <c r="AI151" s="220" t="s">
        <v>1306</v>
      </c>
      <c r="AJ151" s="220" t="s">
        <v>402</v>
      </c>
      <c r="AK151" s="220" t="s">
        <v>402</v>
      </c>
      <c r="AL151" s="220" t="s">
        <v>385</v>
      </c>
      <c r="AM151" s="220" t="s">
        <v>402</v>
      </c>
      <c r="AN151" s="220" t="s">
        <v>768</v>
      </c>
      <c r="AO151" s="220" t="s">
        <v>402</v>
      </c>
      <c r="AP151" s="220" t="s">
        <v>402</v>
      </c>
      <c r="AQ151" s="220" t="s">
        <v>1307</v>
      </c>
      <c r="AR151" s="224" t="s">
        <v>692</v>
      </c>
      <c r="AS151" s="395"/>
    </row>
    <row r="152" spans="1:45" ht="13">
      <c r="A152" s="238"/>
      <c r="B152" s="70"/>
      <c r="C152" s="72"/>
      <c r="D152" s="74"/>
      <c r="E152" s="104"/>
      <c r="F152" s="104"/>
      <c r="G152" s="104"/>
      <c r="H152" s="104"/>
      <c r="I152" s="129"/>
      <c r="J152" s="396"/>
      <c r="K152" s="397"/>
      <c r="L152" s="398"/>
      <c r="M152" s="220"/>
      <c r="N152" s="399"/>
      <c r="O152" s="399"/>
      <c r="P152" s="220"/>
      <c r="Q152" s="384" t="s">
        <v>864</v>
      </c>
      <c r="R152" s="220"/>
      <c r="S152" s="220"/>
      <c r="T152" s="220"/>
      <c r="U152" s="220"/>
      <c r="V152" s="220"/>
      <c r="W152" s="220"/>
      <c r="X152" s="220"/>
      <c r="Y152" s="220"/>
      <c r="Z152" s="220"/>
      <c r="AA152" s="220"/>
      <c r="AB152" s="222"/>
      <c r="AC152" s="253"/>
      <c r="AD152" s="384" t="s">
        <v>864</v>
      </c>
      <c r="AE152" s="220"/>
      <c r="AF152" s="220"/>
      <c r="AG152" s="220"/>
      <c r="AH152" s="220"/>
      <c r="AI152" s="253"/>
      <c r="AJ152" s="220"/>
      <c r="AK152" s="220"/>
      <c r="AL152" s="220"/>
      <c r="AM152" s="220"/>
      <c r="AN152" s="220"/>
      <c r="AO152" s="220"/>
      <c r="AP152" s="220"/>
      <c r="AQ152" s="220"/>
      <c r="AR152" s="224"/>
      <c r="AS152" s="225"/>
    </row>
    <row r="153" spans="1:45" ht="15">
      <c r="A153" s="238"/>
      <c r="B153" s="70"/>
      <c r="C153" s="72"/>
      <c r="D153" s="74"/>
      <c r="E153" s="104"/>
      <c r="F153" s="104"/>
      <c r="G153" s="104"/>
      <c r="H153" s="78" t="s">
        <v>1308</v>
      </c>
      <c r="I153" s="129"/>
      <c r="J153" s="396"/>
      <c r="K153" s="396"/>
      <c r="L153" s="219" t="s">
        <v>291</v>
      </c>
      <c r="M153" s="220" t="s">
        <v>382</v>
      </c>
      <c r="N153" s="399" t="s">
        <v>490</v>
      </c>
      <c r="O153" s="399"/>
      <c r="P153" s="221" t="s">
        <v>694</v>
      </c>
      <c r="Q153" s="384" t="s">
        <v>793</v>
      </c>
      <c r="R153" s="220" t="s">
        <v>763</v>
      </c>
      <c r="S153" s="221" t="s">
        <v>764</v>
      </c>
      <c r="T153" s="85" t="s">
        <v>402</v>
      </c>
      <c r="U153" s="85" t="s">
        <v>402</v>
      </c>
      <c r="V153" s="85" t="s">
        <v>402</v>
      </c>
      <c r="W153" s="85" t="s">
        <v>402</v>
      </c>
      <c r="X153" s="85" t="s">
        <v>402</v>
      </c>
      <c r="Y153" s="85" t="s">
        <v>402</v>
      </c>
      <c r="Z153" s="85" t="s">
        <v>402</v>
      </c>
      <c r="AA153" s="85" t="s">
        <v>402</v>
      </c>
      <c r="AB153" s="96"/>
      <c r="AC153" s="253" t="s">
        <v>863</v>
      </c>
      <c r="AD153" s="221" t="s">
        <v>544</v>
      </c>
      <c r="AE153" s="220" t="s">
        <v>385</v>
      </c>
      <c r="AF153" s="220" t="s">
        <v>385</v>
      </c>
      <c r="AG153" s="220" t="s">
        <v>385</v>
      </c>
      <c r="AH153" s="15" t="s">
        <v>774</v>
      </c>
      <c r="AI153" s="177" t="s">
        <v>1150</v>
      </c>
      <c r="AJ153" s="85" t="s">
        <v>1171</v>
      </c>
      <c r="AK153" s="85" t="s">
        <v>402</v>
      </c>
      <c r="AL153" s="85" t="s">
        <v>385</v>
      </c>
      <c r="AM153" s="85"/>
      <c r="AN153" s="85"/>
      <c r="AO153" s="85"/>
      <c r="AP153" s="85"/>
      <c r="AQ153" s="85"/>
      <c r="AR153" s="128"/>
      <c r="AS153" s="67"/>
    </row>
    <row r="154" spans="1:45" ht="15">
      <c r="A154" s="238"/>
      <c r="B154" s="70" t="s">
        <v>360</v>
      </c>
      <c r="C154" s="72">
        <v>43511</v>
      </c>
      <c r="D154" s="74" t="s">
        <v>782</v>
      </c>
      <c r="E154" s="76">
        <v>43579</v>
      </c>
      <c r="F154" s="78" t="s">
        <v>363</v>
      </c>
      <c r="G154" s="76">
        <v>43583</v>
      </c>
      <c r="H154" s="78" t="s">
        <v>355</v>
      </c>
      <c r="I154" s="125" t="s">
        <v>1309</v>
      </c>
      <c r="J154" s="400" t="s">
        <v>149</v>
      </c>
      <c r="K154" s="401" t="s">
        <v>368</v>
      </c>
      <c r="L154" s="197" t="s">
        <v>291</v>
      </c>
      <c r="M154" s="198" t="s">
        <v>382</v>
      </c>
      <c r="N154" s="619" t="s">
        <v>1310</v>
      </c>
      <c r="O154" s="613"/>
      <c r="P154" s="613"/>
      <c r="Q154" s="198" t="s">
        <v>385</v>
      </c>
      <c r="R154" s="198" t="s">
        <v>813</v>
      </c>
      <c r="S154" s="403" t="s">
        <v>868</v>
      </c>
      <c r="T154" s="198" t="s">
        <v>355</v>
      </c>
      <c r="U154" s="198" t="s">
        <v>355</v>
      </c>
      <c r="V154" s="198" t="s">
        <v>355</v>
      </c>
      <c r="W154" s="198" t="s">
        <v>355</v>
      </c>
      <c r="X154" s="198" t="s">
        <v>355</v>
      </c>
      <c r="Y154" s="198" t="s">
        <v>355</v>
      </c>
      <c r="Z154" s="198" t="s">
        <v>355</v>
      </c>
      <c r="AA154" s="198" t="s">
        <v>385</v>
      </c>
      <c r="AB154" s="200"/>
      <c r="AC154" s="200"/>
      <c r="AD154" s="200"/>
      <c r="AE154" s="198" t="s">
        <v>355</v>
      </c>
      <c r="AF154" s="198" t="s">
        <v>385</v>
      </c>
      <c r="AG154" s="198" t="s">
        <v>385</v>
      </c>
      <c r="AH154" s="403" t="s">
        <v>774</v>
      </c>
      <c r="AI154" s="198" t="s">
        <v>642</v>
      </c>
      <c r="AJ154" s="198" t="s">
        <v>1311</v>
      </c>
      <c r="AK154" s="198" t="s">
        <v>385</v>
      </c>
      <c r="AL154" s="198" t="s">
        <v>385</v>
      </c>
      <c r="AM154" s="200"/>
      <c r="AN154" s="404" t="s">
        <v>1312</v>
      </c>
      <c r="AO154" s="405"/>
      <c r="AP154" s="200"/>
      <c r="AQ154" s="198" t="s">
        <v>1313</v>
      </c>
      <c r="AR154" s="203" t="s">
        <v>1314</v>
      </c>
      <c r="AS154" s="200"/>
    </row>
    <row r="155" spans="1:45" ht="15">
      <c r="A155" s="238"/>
      <c r="B155" s="70"/>
      <c r="C155" s="72"/>
      <c r="D155" s="74"/>
      <c r="E155" s="104"/>
      <c r="F155" s="104"/>
      <c r="G155" s="104"/>
      <c r="H155" s="104"/>
      <c r="I155" s="129"/>
      <c r="J155" s="400"/>
      <c r="K155" s="401"/>
      <c r="L155" s="197"/>
      <c r="M155" s="29" t="s">
        <v>1315</v>
      </c>
      <c r="N155" s="406"/>
      <c r="O155" s="406"/>
      <c r="P155" s="406"/>
      <c r="Q155" s="198"/>
      <c r="R155" s="198"/>
      <c r="S155" s="407"/>
      <c r="T155" s="198"/>
      <c r="U155" s="198"/>
      <c r="V155" s="198"/>
      <c r="W155" s="198"/>
      <c r="X155" s="198"/>
      <c r="Y155" s="198"/>
      <c r="Z155" s="198"/>
      <c r="AA155" s="198"/>
      <c r="AB155" s="204"/>
      <c r="AC155" s="204"/>
      <c r="AD155" s="408" t="s">
        <v>864</v>
      </c>
      <c r="AE155" s="198"/>
      <c r="AF155" s="198"/>
      <c r="AG155" s="198"/>
      <c r="AH155" s="407"/>
      <c r="AI155" s="198"/>
      <c r="AJ155" s="409"/>
      <c r="AK155" s="198"/>
      <c r="AL155" s="198"/>
      <c r="AM155" s="204"/>
      <c r="AN155" s="410"/>
      <c r="AO155" s="204"/>
      <c r="AP155" s="204"/>
      <c r="AQ155" s="198"/>
      <c r="AR155" s="203"/>
      <c r="AS155" s="204"/>
    </row>
    <row r="156" spans="1:45" ht="15">
      <c r="A156" s="238"/>
      <c r="B156" s="70"/>
      <c r="C156" s="72"/>
      <c r="D156" s="74"/>
      <c r="E156" s="104"/>
      <c r="F156" s="104"/>
      <c r="G156" s="104"/>
      <c r="H156" s="78" t="s">
        <v>1316</v>
      </c>
      <c r="I156" s="129"/>
      <c r="J156" s="400"/>
      <c r="K156" s="401"/>
      <c r="L156" s="82"/>
      <c r="M156" s="85" t="s">
        <v>388</v>
      </c>
      <c r="N156" s="15" t="s">
        <v>491</v>
      </c>
      <c r="O156" s="411"/>
      <c r="P156" s="411"/>
      <c r="Q156" s="198" t="s">
        <v>385</v>
      </c>
      <c r="R156" s="198" t="s">
        <v>813</v>
      </c>
      <c r="S156" s="407" t="s">
        <v>868</v>
      </c>
      <c r="T156" s="85" t="s">
        <v>402</v>
      </c>
      <c r="U156" s="85" t="s">
        <v>402</v>
      </c>
      <c r="V156" s="85" t="s">
        <v>402</v>
      </c>
      <c r="W156" s="85" t="s">
        <v>402</v>
      </c>
      <c r="X156" s="85" t="s">
        <v>402</v>
      </c>
      <c r="Y156" s="85" t="s">
        <v>402</v>
      </c>
      <c r="Z156" s="85" t="s">
        <v>402</v>
      </c>
      <c r="AA156" s="85" t="s">
        <v>402</v>
      </c>
      <c r="AB156" s="96"/>
      <c r="AC156" s="253" t="s">
        <v>863</v>
      </c>
      <c r="AD156" s="221" t="s">
        <v>544</v>
      </c>
      <c r="AE156" s="220" t="s">
        <v>385</v>
      </c>
      <c r="AF156" s="198" t="s">
        <v>385</v>
      </c>
      <c r="AG156" s="198" t="s">
        <v>385</v>
      </c>
      <c r="AH156" s="15" t="s">
        <v>774</v>
      </c>
      <c r="AI156" s="177" t="s">
        <v>1150</v>
      </c>
      <c r="AJ156" s="85" t="s">
        <v>1171</v>
      </c>
      <c r="AK156" s="198" t="s">
        <v>385</v>
      </c>
      <c r="AL156" s="85" t="s">
        <v>385</v>
      </c>
      <c r="AM156" s="96"/>
      <c r="AN156" s="110"/>
      <c r="AO156" s="96"/>
      <c r="AP156" s="96"/>
      <c r="AQ156" s="85"/>
      <c r="AR156" s="128"/>
      <c r="AS156" s="67"/>
    </row>
    <row r="157" spans="1:45" ht="15">
      <c r="A157" s="238"/>
      <c r="B157" s="70" t="s">
        <v>356</v>
      </c>
      <c r="C157" s="412"/>
      <c r="D157" s="74" t="s">
        <v>782</v>
      </c>
      <c r="E157" s="76">
        <v>43579</v>
      </c>
      <c r="F157" s="78" t="s">
        <v>363</v>
      </c>
      <c r="G157" s="76">
        <v>43583</v>
      </c>
      <c r="H157" s="78" t="s">
        <v>355</v>
      </c>
      <c r="I157" s="125" t="s">
        <v>1317</v>
      </c>
      <c r="J157" s="400" t="s">
        <v>150</v>
      </c>
      <c r="K157" s="401"/>
      <c r="L157" s="219" t="s">
        <v>312</v>
      </c>
      <c r="M157" s="220" t="s">
        <v>381</v>
      </c>
      <c r="N157" s="413" t="s">
        <v>494</v>
      </c>
      <c r="O157" s="220" t="s">
        <v>680</v>
      </c>
      <c r="P157" s="220" t="s">
        <v>402</v>
      </c>
      <c r="Q157" s="220" t="s">
        <v>385</v>
      </c>
      <c r="R157" s="220" t="s">
        <v>814</v>
      </c>
      <c r="S157" s="413" t="s">
        <v>869</v>
      </c>
      <c r="T157" s="220" t="s">
        <v>355</v>
      </c>
      <c r="U157" s="220" t="s">
        <v>355</v>
      </c>
      <c r="V157" s="220" t="s">
        <v>402</v>
      </c>
      <c r="W157" s="220" t="s">
        <v>402</v>
      </c>
      <c r="X157" s="220" t="s">
        <v>355</v>
      </c>
      <c r="Y157" s="220" t="s">
        <v>355</v>
      </c>
      <c r="Z157" s="220" t="s">
        <v>355</v>
      </c>
      <c r="AA157" s="220" t="s">
        <v>355</v>
      </c>
      <c r="AB157" s="220" t="s">
        <v>1318</v>
      </c>
      <c r="AC157" s="220" t="s">
        <v>402</v>
      </c>
      <c r="AD157" s="250"/>
      <c r="AE157" s="220" t="s">
        <v>385</v>
      </c>
      <c r="AF157" s="220" t="s">
        <v>385</v>
      </c>
      <c r="AG157" s="220" t="s">
        <v>385</v>
      </c>
      <c r="AH157" s="413" t="s">
        <v>758</v>
      </c>
      <c r="AI157" s="220" t="s">
        <v>1319</v>
      </c>
      <c r="AJ157" s="220" t="s">
        <v>1172</v>
      </c>
      <c r="AK157" s="220" t="s">
        <v>402</v>
      </c>
      <c r="AL157" s="220" t="s">
        <v>402</v>
      </c>
      <c r="AM157" s="220" t="s">
        <v>1246</v>
      </c>
      <c r="AN157" s="220" t="s">
        <v>1320</v>
      </c>
      <c r="AO157" s="220" t="s">
        <v>402</v>
      </c>
      <c r="AP157" s="220" t="s">
        <v>402</v>
      </c>
      <c r="AQ157" s="220" t="s">
        <v>1321</v>
      </c>
      <c r="AR157" s="224" t="s">
        <v>1322</v>
      </c>
      <c r="AS157" s="395"/>
    </row>
    <row r="158" spans="1:45" ht="15">
      <c r="A158" s="238"/>
      <c r="B158" s="70"/>
      <c r="C158" s="412"/>
      <c r="D158" s="74"/>
      <c r="E158" s="104"/>
      <c r="F158" s="104"/>
      <c r="G158" s="104"/>
      <c r="H158" s="104"/>
      <c r="I158" s="129"/>
      <c r="J158" s="414"/>
      <c r="K158" s="401"/>
      <c r="L158" s="219"/>
      <c r="M158" s="220"/>
      <c r="N158" s="415"/>
      <c r="O158" s="220"/>
      <c r="P158" s="220"/>
      <c r="Q158" s="220"/>
      <c r="R158" s="220"/>
      <c r="S158" s="415"/>
      <c r="T158" s="220"/>
      <c r="U158" s="220"/>
      <c r="V158" s="220"/>
      <c r="W158" s="220"/>
      <c r="X158" s="220"/>
      <c r="Y158" s="220"/>
      <c r="Z158" s="220"/>
      <c r="AA158" s="220"/>
      <c r="AB158" s="220"/>
      <c r="AC158" s="254" t="s">
        <v>1323</v>
      </c>
      <c r="AD158" s="222"/>
      <c r="AE158" s="220"/>
      <c r="AF158" s="220"/>
      <c r="AG158" s="220"/>
      <c r="AH158" s="415"/>
      <c r="AI158" s="253"/>
      <c r="AJ158" s="220"/>
      <c r="AK158" s="220"/>
      <c r="AL158" s="220"/>
      <c r="AM158" s="220"/>
      <c r="AN158" s="220"/>
      <c r="AO158" s="220"/>
      <c r="AP158" s="220"/>
      <c r="AQ158" s="220"/>
      <c r="AR158" s="224"/>
      <c r="AS158" s="225"/>
    </row>
    <row r="159" spans="1:45" ht="15">
      <c r="A159" s="238"/>
      <c r="B159" s="70"/>
      <c r="C159" s="412"/>
      <c r="D159" s="74"/>
      <c r="E159" s="104"/>
      <c r="F159" s="104"/>
      <c r="G159" s="104"/>
      <c r="H159" s="78" t="s">
        <v>1324</v>
      </c>
      <c r="I159" s="129"/>
      <c r="J159" s="414"/>
      <c r="K159" s="401"/>
      <c r="L159" s="219" t="s">
        <v>312</v>
      </c>
      <c r="M159" s="220" t="s">
        <v>381</v>
      </c>
      <c r="N159" s="415" t="s">
        <v>494</v>
      </c>
      <c r="O159" s="85"/>
      <c r="P159" s="85"/>
      <c r="Q159" s="220" t="s">
        <v>385</v>
      </c>
      <c r="R159" s="220" t="s">
        <v>814</v>
      </c>
      <c r="S159" s="415" t="s">
        <v>869</v>
      </c>
      <c r="T159" s="220" t="s">
        <v>355</v>
      </c>
      <c r="U159" s="220" t="s">
        <v>355</v>
      </c>
      <c r="V159" s="220" t="s">
        <v>402</v>
      </c>
      <c r="W159" s="220" t="s">
        <v>402</v>
      </c>
      <c r="X159" s="220" t="s">
        <v>355</v>
      </c>
      <c r="Y159" s="220" t="s">
        <v>355</v>
      </c>
      <c r="Z159" s="220" t="s">
        <v>355</v>
      </c>
      <c r="AA159" s="220" t="s">
        <v>355</v>
      </c>
      <c r="AB159" s="102"/>
      <c r="AC159" s="254" t="s">
        <v>960</v>
      </c>
      <c r="AD159" s="196" t="s">
        <v>494</v>
      </c>
      <c r="AE159" s="85" t="s">
        <v>354</v>
      </c>
      <c r="AF159" s="85" t="s">
        <v>385</v>
      </c>
      <c r="AG159" s="85" t="s">
        <v>385</v>
      </c>
      <c r="AH159" s="15" t="s">
        <v>758</v>
      </c>
      <c r="AI159" s="177" t="s">
        <v>1151</v>
      </c>
      <c r="AJ159" s="85" t="s">
        <v>1172</v>
      </c>
      <c r="AK159" s="85" t="s">
        <v>402</v>
      </c>
      <c r="AL159" s="85" t="s">
        <v>385</v>
      </c>
      <c r="AM159" s="220" t="s">
        <v>1246</v>
      </c>
      <c r="AN159" s="85" t="s">
        <v>1267</v>
      </c>
      <c r="AO159" s="85"/>
      <c r="AP159" s="85"/>
      <c r="AQ159" s="85"/>
      <c r="AR159" s="128"/>
      <c r="AS159" s="67"/>
    </row>
    <row r="160" spans="1:45" ht="15">
      <c r="A160" s="238"/>
      <c r="B160" s="70" t="s">
        <v>356</v>
      </c>
      <c r="C160" s="412"/>
      <c r="D160" s="74" t="s">
        <v>782</v>
      </c>
      <c r="E160" s="76">
        <v>43579</v>
      </c>
      <c r="F160" s="78" t="s">
        <v>363</v>
      </c>
      <c r="G160" s="76">
        <v>43583</v>
      </c>
      <c r="H160" s="78" t="s">
        <v>355</v>
      </c>
      <c r="I160" s="125" t="s">
        <v>1325</v>
      </c>
      <c r="J160" s="414" t="s">
        <v>151</v>
      </c>
      <c r="K160" s="401" t="s">
        <v>368</v>
      </c>
      <c r="L160" s="197" t="s">
        <v>313</v>
      </c>
      <c r="M160" s="198" t="s">
        <v>435</v>
      </c>
      <c r="N160" s="402" t="s">
        <v>496</v>
      </c>
      <c r="O160" s="198" t="s">
        <v>680</v>
      </c>
      <c r="P160" s="402" t="s">
        <v>721</v>
      </c>
      <c r="Q160" s="198" t="s">
        <v>385</v>
      </c>
      <c r="R160" s="198" t="s">
        <v>402</v>
      </c>
      <c r="S160" s="402" t="s">
        <v>721</v>
      </c>
      <c r="T160" s="198" t="s">
        <v>355</v>
      </c>
      <c r="U160" s="198" t="s">
        <v>402</v>
      </c>
      <c r="V160" s="198" t="s">
        <v>402</v>
      </c>
      <c r="W160" s="198" t="s">
        <v>355</v>
      </c>
      <c r="X160" s="198" t="s">
        <v>402</v>
      </c>
      <c r="Y160" s="198" t="s">
        <v>402</v>
      </c>
      <c r="Z160" s="198" t="s">
        <v>355</v>
      </c>
      <c r="AA160" s="198" t="s">
        <v>404</v>
      </c>
      <c r="AB160" s="200"/>
      <c r="AC160" s="198" t="s">
        <v>1326</v>
      </c>
      <c r="AD160" s="199" t="s">
        <v>721</v>
      </c>
      <c r="AE160" s="198" t="s">
        <v>354</v>
      </c>
      <c r="AF160" s="198" t="s">
        <v>385</v>
      </c>
      <c r="AG160" s="198" t="s">
        <v>385</v>
      </c>
      <c r="AH160" s="402" t="s">
        <v>1327</v>
      </c>
      <c r="AI160" s="198" t="s">
        <v>529</v>
      </c>
      <c r="AJ160" s="198" t="s">
        <v>1328</v>
      </c>
      <c r="AK160" s="198" t="s">
        <v>402</v>
      </c>
      <c r="AL160" s="198" t="s">
        <v>355</v>
      </c>
      <c r="AM160" s="198" t="s">
        <v>1329</v>
      </c>
      <c r="AN160" s="198" t="s">
        <v>402</v>
      </c>
      <c r="AO160" s="198" t="s">
        <v>1330</v>
      </c>
      <c r="AP160" s="198" t="s">
        <v>402</v>
      </c>
      <c r="AQ160" s="198" t="s">
        <v>1331</v>
      </c>
      <c r="AR160" s="203" t="s">
        <v>1332</v>
      </c>
      <c r="AS160" s="239" t="s">
        <v>1333</v>
      </c>
    </row>
    <row r="161" spans="1:45" ht="15">
      <c r="A161" s="238"/>
      <c r="B161" s="70"/>
      <c r="C161" s="412"/>
      <c r="D161" s="74"/>
      <c r="E161" s="104"/>
      <c r="F161" s="104"/>
      <c r="G161" s="104"/>
      <c r="H161" s="104"/>
      <c r="I161" s="129"/>
      <c r="J161" s="414"/>
      <c r="K161" s="401"/>
      <c r="L161" s="197"/>
      <c r="M161" s="29" t="s">
        <v>1333</v>
      </c>
      <c r="N161" s="241"/>
      <c r="O161" s="198"/>
      <c r="P161" s="406"/>
      <c r="Q161" s="198"/>
      <c r="R161" s="198"/>
      <c r="S161" s="406"/>
      <c r="T161" s="198"/>
      <c r="U161" s="198"/>
      <c r="V161" s="198"/>
      <c r="W161" s="198"/>
      <c r="X161" s="198"/>
      <c r="Y161" s="198"/>
      <c r="Z161" s="198"/>
      <c r="AA161" s="198"/>
      <c r="AB161" s="204"/>
      <c r="AC161" s="268"/>
      <c r="AD161" s="198"/>
      <c r="AE161" s="198"/>
      <c r="AF161" s="198"/>
      <c r="AG161" s="198"/>
      <c r="AH161" s="406"/>
      <c r="AI161" s="268"/>
      <c r="AJ161" s="198"/>
      <c r="AK161" s="198"/>
      <c r="AL161" s="198"/>
      <c r="AM161" s="198"/>
      <c r="AN161" s="198"/>
      <c r="AO161" s="198"/>
      <c r="AP161" s="198"/>
      <c r="AQ161" s="198"/>
      <c r="AR161" s="203"/>
      <c r="AS161" s="204"/>
    </row>
    <row r="162" spans="1:45" ht="15">
      <c r="A162" s="238"/>
      <c r="B162" s="70"/>
      <c r="C162" s="412"/>
      <c r="D162" s="74"/>
      <c r="E162" s="104"/>
      <c r="F162" s="104"/>
      <c r="G162" s="104"/>
      <c r="H162" s="78" t="s">
        <v>1334</v>
      </c>
      <c r="I162" s="129"/>
      <c r="J162" s="414"/>
      <c r="K162" s="401"/>
      <c r="L162" s="197" t="s">
        <v>313</v>
      </c>
      <c r="M162" s="85" t="s">
        <v>382</v>
      </c>
      <c r="N162" s="402" t="s">
        <v>496</v>
      </c>
      <c r="O162" s="85"/>
      <c r="P162" s="406" t="s">
        <v>721</v>
      </c>
      <c r="Q162" s="198" t="s">
        <v>385</v>
      </c>
      <c r="R162" s="102"/>
      <c r="S162" s="411"/>
      <c r="T162" s="198" t="s">
        <v>355</v>
      </c>
      <c r="U162" s="198" t="s">
        <v>402</v>
      </c>
      <c r="V162" s="198" t="s">
        <v>402</v>
      </c>
      <c r="W162" s="198" t="s">
        <v>355</v>
      </c>
      <c r="X162" s="198" t="s">
        <v>402</v>
      </c>
      <c r="Y162" s="198" t="s">
        <v>402</v>
      </c>
      <c r="Z162" s="198" t="s">
        <v>355</v>
      </c>
      <c r="AA162" s="416" t="s">
        <v>355</v>
      </c>
      <c r="AB162" s="96"/>
      <c r="AC162" s="177" t="s">
        <v>961</v>
      </c>
      <c r="AD162" s="199" t="s">
        <v>721</v>
      </c>
      <c r="AE162" s="85" t="s">
        <v>354</v>
      </c>
      <c r="AF162" s="198" t="s">
        <v>385</v>
      </c>
      <c r="AG162" s="198" t="s">
        <v>385</v>
      </c>
      <c r="AH162" s="15" t="s">
        <v>496</v>
      </c>
      <c r="AI162" s="177" t="s">
        <v>1152</v>
      </c>
      <c r="AJ162" s="102" t="s">
        <v>1173</v>
      </c>
      <c r="AK162" s="85" t="s">
        <v>402</v>
      </c>
      <c r="AL162" s="85" t="s">
        <v>385</v>
      </c>
      <c r="AM162" s="85" t="s">
        <v>1247</v>
      </c>
      <c r="AN162" s="85"/>
      <c r="AO162" s="85"/>
      <c r="AP162" s="85"/>
      <c r="AQ162" s="85"/>
      <c r="AR162" s="128"/>
      <c r="AS162" s="67"/>
    </row>
    <row r="163" spans="1:45" ht="15">
      <c r="A163" s="238"/>
      <c r="B163" s="70" t="s">
        <v>356</v>
      </c>
      <c r="C163" s="412"/>
      <c r="D163" s="74" t="s">
        <v>360</v>
      </c>
      <c r="E163" s="76">
        <v>43575</v>
      </c>
      <c r="F163" s="78" t="s">
        <v>363</v>
      </c>
      <c r="G163" s="76">
        <v>43581</v>
      </c>
      <c r="H163" s="78" t="s">
        <v>355</v>
      </c>
      <c r="I163" s="129" t="s">
        <v>1335</v>
      </c>
      <c r="J163" s="414" t="s">
        <v>152</v>
      </c>
      <c r="K163" s="401"/>
      <c r="L163" s="82" t="s">
        <v>314</v>
      </c>
      <c r="M163" s="85" t="s">
        <v>1336</v>
      </c>
      <c r="N163" s="411" t="s">
        <v>497</v>
      </c>
      <c r="O163" s="85" t="s">
        <v>680</v>
      </c>
      <c r="P163" s="85" t="s">
        <v>402</v>
      </c>
      <c r="Q163" s="85" t="s">
        <v>385</v>
      </c>
      <c r="R163" s="85" t="s">
        <v>402</v>
      </c>
      <c r="S163" s="96"/>
      <c r="T163" s="633" t="s">
        <v>402</v>
      </c>
      <c r="U163" s="85" t="s">
        <v>402</v>
      </c>
      <c r="V163" s="85" t="s">
        <v>402</v>
      </c>
      <c r="W163" s="85" t="s">
        <v>404</v>
      </c>
      <c r="X163" s="85" t="s">
        <v>355</v>
      </c>
      <c r="Y163" s="85" t="s">
        <v>355</v>
      </c>
      <c r="Z163" s="85" t="s">
        <v>402</v>
      </c>
      <c r="AA163" s="85" t="s">
        <v>402</v>
      </c>
      <c r="AB163" s="96"/>
      <c r="AC163" s="177" t="s">
        <v>402</v>
      </c>
      <c r="AD163" s="96"/>
      <c r="AE163" s="85" t="s">
        <v>385</v>
      </c>
      <c r="AF163" s="85" t="s">
        <v>385</v>
      </c>
      <c r="AG163" s="85" t="s">
        <v>385</v>
      </c>
      <c r="AH163" s="411" t="s">
        <v>497</v>
      </c>
      <c r="AI163" s="177" t="s">
        <v>1337</v>
      </c>
      <c r="AJ163" s="85" t="s">
        <v>1338</v>
      </c>
      <c r="AK163" s="85" t="s">
        <v>402</v>
      </c>
      <c r="AL163" s="85" t="s">
        <v>402</v>
      </c>
      <c r="AM163" s="85" t="s">
        <v>402</v>
      </c>
      <c r="AN163" s="85" t="s">
        <v>402</v>
      </c>
      <c r="AO163" s="85" t="s">
        <v>402</v>
      </c>
      <c r="AP163" s="85" t="s">
        <v>402</v>
      </c>
      <c r="AQ163" s="85" t="s">
        <v>1339</v>
      </c>
      <c r="AR163" s="128" t="s">
        <v>1340</v>
      </c>
      <c r="AS163" s="67"/>
    </row>
    <row r="164" spans="1:45" ht="15">
      <c r="A164" s="238"/>
      <c r="B164" s="70"/>
      <c r="C164" s="412"/>
      <c r="D164" s="74"/>
      <c r="E164" s="104"/>
      <c r="F164" s="104"/>
      <c r="G164" s="104"/>
      <c r="H164" s="104"/>
      <c r="I164" s="129"/>
      <c r="J164" s="414"/>
      <c r="K164" s="401"/>
      <c r="L164" s="82"/>
      <c r="M164" s="85" t="s">
        <v>1341</v>
      </c>
      <c r="N164" s="411"/>
      <c r="O164" s="85"/>
      <c r="P164" s="85"/>
      <c r="Q164" s="85" t="s">
        <v>1342</v>
      </c>
      <c r="R164" s="85"/>
      <c r="S164" s="96"/>
      <c r="T164" s="633"/>
      <c r="U164" s="85"/>
      <c r="V164" s="85"/>
      <c r="W164" s="85" t="s">
        <v>402</v>
      </c>
      <c r="X164" s="85"/>
      <c r="Y164" s="85"/>
      <c r="Z164" s="85"/>
      <c r="AA164" s="85"/>
      <c r="AB164" s="96"/>
      <c r="AC164" s="177"/>
      <c r="AD164" s="96"/>
      <c r="AE164" s="85"/>
      <c r="AF164" s="85"/>
      <c r="AG164" s="85"/>
      <c r="AH164" s="411"/>
      <c r="AI164" s="177" t="s">
        <v>460</v>
      </c>
      <c r="AJ164" s="417" t="s">
        <v>1174</v>
      </c>
      <c r="AK164" s="85"/>
      <c r="AL164" s="85"/>
      <c r="AM164" s="85"/>
      <c r="AN164" s="85"/>
      <c r="AO164" s="85"/>
      <c r="AP164" s="85"/>
      <c r="AQ164" s="85"/>
      <c r="AR164" s="128"/>
      <c r="AS164" s="67"/>
    </row>
    <row r="165" spans="1:45" ht="15">
      <c r="A165" s="238"/>
      <c r="B165" s="70"/>
      <c r="C165" s="412"/>
      <c r="D165" s="74"/>
      <c r="E165" s="104"/>
      <c r="F165" s="104"/>
      <c r="G165" s="104"/>
      <c r="H165" s="104"/>
      <c r="I165" s="129"/>
      <c r="J165" s="414"/>
      <c r="K165" s="401"/>
      <c r="L165" s="82" t="s">
        <v>314</v>
      </c>
      <c r="M165" s="85" t="s">
        <v>385</v>
      </c>
      <c r="N165" s="411" t="s">
        <v>497</v>
      </c>
      <c r="O165" s="85"/>
      <c r="P165" s="85"/>
      <c r="Q165" s="85" t="s">
        <v>385</v>
      </c>
      <c r="R165" s="85"/>
      <c r="S165" s="96"/>
      <c r="T165" s="633"/>
      <c r="U165" s="85" t="s">
        <v>402</v>
      </c>
      <c r="V165" s="85" t="s">
        <v>402</v>
      </c>
      <c r="W165" s="85" t="s">
        <v>402</v>
      </c>
      <c r="X165" s="85" t="s">
        <v>355</v>
      </c>
      <c r="Y165" s="85" t="s">
        <v>355</v>
      </c>
      <c r="Z165" s="85" t="s">
        <v>402</v>
      </c>
      <c r="AA165" s="85" t="s">
        <v>402</v>
      </c>
      <c r="AB165" s="96"/>
      <c r="AC165" s="177"/>
      <c r="AD165" s="96"/>
      <c r="AE165" s="85" t="s">
        <v>385</v>
      </c>
      <c r="AF165" s="85" t="s">
        <v>385</v>
      </c>
      <c r="AG165" s="85" t="s">
        <v>385</v>
      </c>
      <c r="AH165" s="411" t="s">
        <v>497</v>
      </c>
      <c r="AI165" s="177" t="s">
        <v>460</v>
      </c>
      <c r="AJ165" s="417" t="s">
        <v>1174</v>
      </c>
      <c r="AK165" s="85" t="s">
        <v>402</v>
      </c>
      <c r="AL165" s="85" t="s">
        <v>385</v>
      </c>
      <c r="AM165" s="85"/>
      <c r="AN165" s="85"/>
      <c r="AO165" s="85"/>
      <c r="AP165" s="85"/>
      <c r="AQ165" s="85"/>
      <c r="AR165" s="128"/>
      <c r="AS165" s="67"/>
    </row>
    <row r="166" spans="1:45" ht="15">
      <c r="A166" s="238"/>
      <c r="B166" s="70" t="s">
        <v>356</v>
      </c>
      <c r="C166" s="412"/>
      <c r="D166" s="74" t="s">
        <v>360</v>
      </c>
      <c r="E166" s="76">
        <v>43575</v>
      </c>
      <c r="F166" s="78" t="s">
        <v>363</v>
      </c>
      <c r="G166" s="76">
        <v>43581</v>
      </c>
      <c r="H166" s="78" t="s">
        <v>355</v>
      </c>
      <c r="I166" s="129" t="s">
        <v>1343</v>
      </c>
      <c r="J166" s="414" t="s">
        <v>153</v>
      </c>
      <c r="K166" s="401"/>
      <c r="L166" s="82" t="s">
        <v>315</v>
      </c>
      <c r="M166" s="85" t="s">
        <v>385</v>
      </c>
      <c r="N166" s="411" t="s">
        <v>498</v>
      </c>
      <c r="O166" s="85" t="s">
        <v>680</v>
      </c>
      <c r="P166" s="85" t="s">
        <v>402</v>
      </c>
      <c r="Q166" s="85" t="s">
        <v>385</v>
      </c>
      <c r="R166" s="85" t="s">
        <v>402</v>
      </c>
      <c r="S166" s="96"/>
      <c r="T166" s="85" t="s">
        <v>402</v>
      </c>
      <c r="U166" s="85" t="s">
        <v>402</v>
      </c>
      <c r="V166" s="85" t="s">
        <v>402</v>
      </c>
      <c r="W166" s="85" t="s">
        <v>402</v>
      </c>
      <c r="X166" s="85" t="s">
        <v>402</v>
      </c>
      <c r="Y166" s="85" t="s">
        <v>402</v>
      </c>
      <c r="Z166" s="85" t="s">
        <v>402</v>
      </c>
      <c r="AA166" s="85" t="s">
        <v>402</v>
      </c>
      <c r="AB166" s="96"/>
      <c r="AC166" s="177" t="s">
        <v>402</v>
      </c>
      <c r="AD166" s="96"/>
      <c r="AE166" s="85" t="s">
        <v>385</v>
      </c>
      <c r="AF166" s="85" t="s">
        <v>385</v>
      </c>
      <c r="AG166" s="85" t="s">
        <v>385</v>
      </c>
      <c r="AH166" s="411" t="s">
        <v>1344</v>
      </c>
      <c r="AI166" s="177" t="s">
        <v>385</v>
      </c>
      <c r="AJ166" s="85" t="s">
        <v>402</v>
      </c>
      <c r="AK166" s="85" t="s">
        <v>402</v>
      </c>
      <c r="AL166" s="85" t="s">
        <v>402</v>
      </c>
      <c r="AM166" s="85" t="s">
        <v>402</v>
      </c>
      <c r="AN166" s="85" t="s">
        <v>402</v>
      </c>
      <c r="AO166" s="85" t="s">
        <v>402</v>
      </c>
      <c r="AP166" s="85" t="s">
        <v>402</v>
      </c>
      <c r="AQ166" s="85" t="s">
        <v>1345</v>
      </c>
      <c r="AR166" s="128" t="s">
        <v>1346</v>
      </c>
      <c r="AS166" s="67"/>
    </row>
    <row r="167" spans="1:45" ht="15">
      <c r="A167" s="238"/>
      <c r="B167" s="70"/>
      <c r="C167" s="412"/>
      <c r="D167" s="74"/>
      <c r="E167" s="104"/>
      <c r="F167" s="104"/>
      <c r="G167" s="104"/>
      <c r="H167" s="104"/>
      <c r="I167" s="129"/>
      <c r="J167" s="418"/>
      <c r="K167" s="401"/>
      <c r="L167" s="82"/>
      <c r="M167" s="85"/>
      <c r="N167" s="411"/>
      <c r="O167" s="85"/>
      <c r="P167" s="85"/>
      <c r="Q167" s="85"/>
      <c r="R167" s="85"/>
      <c r="S167" s="96"/>
      <c r="T167" s="85"/>
      <c r="U167" s="85"/>
      <c r="V167" s="85"/>
      <c r="W167" s="85"/>
      <c r="X167" s="85"/>
      <c r="Y167" s="85"/>
      <c r="Z167" s="85"/>
      <c r="AA167" s="85"/>
      <c r="AB167" s="96"/>
      <c r="AC167" s="177"/>
      <c r="AD167" s="96"/>
      <c r="AE167" s="85"/>
      <c r="AF167" s="85"/>
      <c r="AG167" s="85"/>
      <c r="AH167" s="15" t="s">
        <v>1073</v>
      </c>
      <c r="AI167" s="130" t="s">
        <v>460</v>
      </c>
      <c r="AJ167" s="85"/>
      <c r="AK167" s="419" t="s">
        <v>1175</v>
      </c>
      <c r="AL167" s="85" t="s">
        <v>385</v>
      </c>
      <c r="AM167" s="85"/>
      <c r="AN167" s="85"/>
      <c r="AO167" s="85"/>
      <c r="AP167" s="85"/>
      <c r="AQ167" s="85" t="s">
        <v>1347</v>
      </c>
      <c r="AR167" s="128"/>
      <c r="AS167" s="67"/>
    </row>
    <row r="168" spans="1:45" ht="15">
      <c r="A168" s="238"/>
      <c r="B168" s="70"/>
      <c r="C168" s="412"/>
      <c r="D168" s="74"/>
      <c r="E168" s="104"/>
      <c r="F168" s="104"/>
      <c r="G168" s="104"/>
      <c r="H168" s="78" t="s">
        <v>1348</v>
      </c>
      <c r="I168" s="129"/>
      <c r="J168" s="418"/>
      <c r="K168" s="401"/>
      <c r="L168" s="82"/>
      <c r="M168" s="85" t="s">
        <v>385</v>
      </c>
      <c r="N168" s="411" t="s">
        <v>498</v>
      </c>
      <c r="O168" s="85"/>
      <c r="P168" s="85"/>
      <c r="Q168" s="85" t="s">
        <v>385</v>
      </c>
      <c r="R168" s="85"/>
      <c r="S168" s="96"/>
      <c r="T168" s="85" t="s">
        <v>402</v>
      </c>
      <c r="U168" s="85" t="s">
        <v>402</v>
      </c>
      <c r="V168" s="85" t="s">
        <v>402</v>
      </c>
      <c r="W168" s="85" t="s">
        <v>402</v>
      </c>
      <c r="X168" s="85" t="s">
        <v>402</v>
      </c>
      <c r="Y168" s="85" t="s">
        <v>402</v>
      </c>
      <c r="Z168" s="85" t="s">
        <v>402</v>
      </c>
      <c r="AA168" s="85" t="s">
        <v>402</v>
      </c>
      <c r="AB168" s="96"/>
      <c r="AC168" s="177"/>
      <c r="AD168" s="96"/>
      <c r="AE168" s="85" t="s">
        <v>385</v>
      </c>
      <c r="AF168" s="85" t="s">
        <v>385</v>
      </c>
      <c r="AG168" s="85" t="s">
        <v>385</v>
      </c>
      <c r="AH168" s="15" t="s">
        <v>1073</v>
      </c>
      <c r="AI168" s="130" t="s">
        <v>460</v>
      </c>
      <c r="AJ168" s="419" t="s">
        <v>1175</v>
      </c>
      <c r="AK168" s="85" t="s">
        <v>402</v>
      </c>
      <c r="AL168" s="85" t="s">
        <v>385</v>
      </c>
      <c r="AM168" s="85"/>
      <c r="AN168" s="85"/>
      <c r="AO168" s="85"/>
      <c r="AP168" s="85"/>
      <c r="AQ168" s="85"/>
      <c r="AR168" s="128"/>
      <c r="AS168" s="67"/>
    </row>
    <row r="169" spans="1:45" ht="15">
      <c r="A169" s="238"/>
      <c r="B169" s="70" t="s">
        <v>356</v>
      </c>
      <c r="C169" s="412"/>
      <c r="D169" s="74" t="s">
        <v>360</v>
      </c>
      <c r="E169" s="76">
        <v>43575</v>
      </c>
      <c r="F169" s="78" t="s">
        <v>363</v>
      </c>
      <c r="G169" s="76">
        <v>43581</v>
      </c>
      <c r="H169" s="78" t="s">
        <v>355</v>
      </c>
      <c r="I169" s="129" t="s">
        <v>1349</v>
      </c>
      <c r="J169" s="418" t="s">
        <v>154</v>
      </c>
      <c r="K169" s="401" t="s">
        <v>1350</v>
      </c>
      <c r="L169" s="82" t="s">
        <v>315</v>
      </c>
      <c r="M169" s="85" t="s">
        <v>385</v>
      </c>
      <c r="N169" s="15" t="s">
        <v>499</v>
      </c>
      <c r="O169" s="85" t="s">
        <v>680</v>
      </c>
      <c r="P169" s="85" t="s">
        <v>402</v>
      </c>
      <c r="Q169" s="85" t="s">
        <v>385</v>
      </c>
      <c r="R169" s="85" t="s">
        <v>402</v>
      </c>
      <c r="S169" s="96"/>
      <c r="T169" s="85" t="s">
        <v>402</v>
      </c>
      <c r="U169" s="85" t="s">
        <v>402</v>
      </c>
      <c r="V169" s="85" t="s">
        <v>402</v>
      </c>
      <c r="W169" s="85" t="s">
        <v>402</v>
      </c>
      <c r="X169" s="85" t="s">
        <v>402</v>
      </c>
      <c r="Y169" s="85" t="s">
        <v>402</v>
      </c>
      <c r="Z169" s="85" t="s">
        <v>402</v>
      </c>
      <c r="AA169" s="85" t="s">
        <v>402</v>
      </c>
      <c r="AB169" s="96"/>
      <c r="AC169" s="177" t="s">
        <v>402</v>
      </c>
      <c r="AD169" s="96"/>
      <c r="AE169" s="85" t="s">
        <v>385</v>
      </c>
      <c r="AF169" s="85" t="s">
        <v>385</v>
      </c>
      <c r="AG169" s="85" t="s">
        <v>385</v>
      </c>
      <c r="AH169" s="411" t="s">
        <v>1344</v>
      </c>
      <c r="AI169" s="177" t="s">
        <v>385</v>
      </c>
      <c r="AJ169" s="85" t="s">
        <v>402</v>
      </c>
      <c r="AK169" s="85" t="s">
        <v>402</v>
      </c>
      <c r="AL169" s="85" t="s">
        <v>402</v>
      </c>
      <c r="AM169" s="85" t="s">
        <v>402</v>
      </c>
      <c r="AN169" s="85" t="s">
        <v>402</v>
      </c>
      <c r="AO169" s="85" t="s">
        <v>402</v>
      </c>
      <c r="AP169" s="85" t="s">
        <v>402</v>
      </c>
      <c r="AQ169" s="85" t="s">
        <v>1345</v>
      </c>
      <c r="AR169" s="128" t="s">
        <v>1346</v>
      </c>
      <c r="AS169" s="67"/>
    </row>
    <row r="170" spans="1:45" ht="15">
      <c r="A170" s="238"/>
      <c r="B170" s="70"/>
      <c r="C170" s="412"/>
      <c r="D170" s="74"/>
      <c r="E170" s="104"/>
      <c r="F170" s="104"/>
      <c r="G170" s="104"/>
      <c r="H170" s="104"/>
      <c r="I170" s="129"/>
      <c r="J170" s="418"/>
      <c r="K170" s="401"/>
      <c r="L170" s="82"/>
      <c r="M170" s="85"/>
      <c r="N170" s="420"/>
      <c r="O170" s="85"/>
      <c r="P170" s="85"/>
      <c r="Q170" s="85"/>
      <c r="R170" s="85"/>
      <c r="S170" s="96"/>
      <c r="T170" s="85"/>
      <c r="U170" s="85"/>
      <c r="V170" s="85"/>
      <c r="W170" s="85"/>
      <c r="X170" s="85"/>
      <c r="Y170" s="85"/>
      <c r="Z170" s="85"/>
      <c r="AA170" s="85"/>
      <c r="AB170" s="96"/>
      <c r="AC170" s="177"/>
      <c r="AD170" s="96"/>
      <c r="AE170" s="85"/>
      <c r="AF170" s="85"/>
      <c r="AG170" s="85"/>
      <c r="AH170" s="15" t="s">
        <v>1073</v>
      </c>
      <c r="AI170" s="130" t="s">
        <v>460</v>
      </c>
      <c r="AJ170" s="85"/>
      <c r="AK170" s="419" t="s">
        <v>1175</v>
      </c>
      <c r="AL170" s="85" t="s">
        <v>385</v>
      </c>
      <c r="AM170" s="85"/>
      <c r="AN170" s="85"/>
      <c r="AO170" s="85"/>
      <c r="AP170" s="85"/>
      <c r="AQ170" s="85" t="s">
        <v>1347</v>
      </c>
      <c r="AR170" s="128"/>
      <c r="AS170" s="67"/>
    </row>
    <row r="171" spans="1:45" ht="15">
      <c r="A171" s="238"/>
      <c r="B171" s="70"/>
      <c r="C171" s="412"/>
      <c r="D171" s="74"/>
      <c r="E171" s="104"/>
      <c r="F171" s="104"/>
      <c r="G171" s="104"/>
      <c r="H171" s="78" t="s">
        <v>1348</v>
      </c>
      <c r="I171" s="129"/>
      <c r="J171" s="418"/>
      <c r="K171" s="401"/>
      <c r="L171" s="82"/>
      <c r="M171" s="85" t="s">
        <v>385</v>
      </c>
      <c r="N171" s="15" t="s">
        <v>499</v>
      </c>
      <c r="O171" s="85"/>
      <c r="P171" s="85"/>
      <c r="Q171" s="85" t="s">
        <v>385</v>
      </c>
      <c r="R171" s="85"/>
      <c r="S171" s="96"/>
      <c r="T171" s="85" t="s">
        <v>402</v>
      </c>
      <c r="U171" s="85" t="s">
        <v>402</v>
      </c>
      <c r="V171" s="85" t="s">
        <v>402</v>
      </c>
      <c r="W171" s="85" t="s">
        <v>402</v>
      </c>
      <c r="X171" s="85" t="s">
        <v>402</v>
      </c>
      <c r="Y171" s="85" t="s">
        <v>402</v>
      </c>
      <c r="Z171" s="85" t="s">
        <v>402</v>
      </c>
      <c r="AA171" s="85" t="s">
        <v>402</v>
      </c>
      <c r="AB171" s="96"/>
      <c r="AC171" s="177" t="s">
        <v>402</v>
      </c>
      <c r="AD171" s="96"/>
      <c r="AE171" s="85" t="s">
        <v>385</v>
      </c>
      <c r="AF171" s="85" t="s">
        <v>385</v>
      </c>
      <c r="AG171" s="85" t="s">
        <v>385</v>
      </c>
      <c r="AH171" s="15" t="s">
        <v>1073</v>
      </c>
      <c r="AI171" s="130" t="s">
        <v>460</v>
      </c>
      <c r="AJ171" s="419" t="s">
        <v>1175</v>
      </c>
      <c r="AK171" s="85" t="s">
        <v>402</v>
      </c>
      <c r="AL171" s="85" t="s">
        <v>385</v>
      </c>
      <c r="AM171" s="85"/>
      <c r="AN171" s="85"/>
      <c r="AO171" s="85"/>
      <c r="AP171" s="85"/>
      <c r="AQ171" s="85"/>
      <c r="AR171" s="128"/>
      <c r="AS171" s="67"/>
    </row>
    <row r="172" spans="1:45" ht="57">
      <c r="A172" s="238"/>
      <c r="B172" s="70" t="s">
        <v>356</v>
      </c>
      <c r="C172" s="412"/>
      <c r="D172" s="74" t="s">
        <v>360</v>
      </c>
      <c r="E172" s="76">
        <v>43575</v>
      </c>
      <c r="F172" s="78" t="s">
        <v>363</v>
      </c>
      <c r="G172" s="76">
        <v>43581</v>
      </c>
      <c r="H172" s="78" t="s">
        <v>355</v>
      </c>
      <c r="I172" s="125" t="s">
        <v>1351</v>
      </c>
      <c r="J172" s="418" t="s">
        <v>155</v>
      </c>
      <c r="K172" s="126" t="s">
        <v>1350</v>
      </c>
      <c r="L172" s="82" t="s">
        <v>315</v>
      </c>
      <c r="M172" s="96"/>
      <c r="N172" s="421"/>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85" t="s">
        <v>1352</v>
      </c>
      <c r="AR172" s="128" t="s">
        <v>1353</v>
      </c>
      <c r="AS172" s="67"/>
    </row>
    <row r="173" spans="1:45" ht="15">
      <c r="A173" s="238"/>
      <c r="B173" s="70"/>
      <c r="C173" s="412"/>
      <c r="D173" s="74"/>
      <c r="E173" s="104"/>
      <c r="F173" s="104"/>
      <c r="G173" s="104"/>
      <c r="H173" s="104"/>
      <c r="I173" s="129"/>
      <c r="J173" s="418"/>
      <c r="K173" s="401"/>
      <c r="L173" s="82"/>
      <c r="M173" s="85" t="s">
        <v>382</v>
      </c>
      <c r="N173" s="15" t="s">
        <v>501</v>
      </c>
      <c r="O173" s="96"/>
      <c r="P173" s="96"/>
      <c r="Q173" s="85" t="s">
        <v>385</v>
      </c>
      <c r="R173" s="96"/>
      <c r="S173" s="96"/>
      <c r="T173" s="85" t="s">
        <v>355</v>
      </c>
      <c r="U173" s="85" t="s">
        <v>355</v>
      </c>
      <c r="V173" s="85" t="s">
        <v>355</v>
      </c>
      <c r="W173" s="85" t="s">
        <v>355</v>
      </c>
      <c r="X173" s="85" t="s">
        <v>355</v>
      </c>
      <c r="Y173" s="85" t="s">
        <v>355</v>
      </c>
      <c r="Z173" s="85" t="s">
        <v>355</v>
      </c>
      <c r="AA173" s="85" t="s">
        <v>355</v>
      </c>
      <c r="AB173" s="96"/>
      <c r="AC173" s="422"/>
      <c r="AD173" s="96"/>
      <c r="AE173" s="96"/>
      <c r="AF173" s="96"/>
      <c r="AG173" s="96"/>
      <c r="AH173" s="15" t="s">
        <v>1076</v>
      </c>
      <c r="AI173" s="130" t="s">
        <v>630</v>
      </c>
      <c r="AJ173" s="85" t="s">
        <v>1176</v>
      </c>
      <c r="AK173" s="419" t="s">
        <v>355</v>
      </c>
      <c r="AL173" s="85" t="s">
        <v>385</v>
      </c>
      <c r="AM173" s="96"/>
      <c r="AN173" s="96"/>
      <c r="AO173" s="96"/>
      <c r="AP173" s="96"/>
      <c r="AQ173" s="85" t="s">
        <v>1354</v>
      </c>
      <c r="AR173" s="128" t="s">
        <v>1322</v>
      </c>
      <c r="AS173" s="67"/>
    </row>
    <row r="174" spans="1:45" ht="15">
      <c r="A174" s="394"/>
      <c r="B174" s="164"/>
      <c r="C174" s="423"/>
      <c r="D174" s="166"/>
      <c r="E174" s="167"/>
      <c r="F174" s="167"/>
      <c r="G174" s="167"/>
      <c r="H174" s="176" t="s">
        <v>1355</v>
      </c>
      <c r="I174" s="168"/>
      <c r="J174" s="424"/>
      <c r="K174" s="425"/>
      <c r="L174" s="426"/>
      <c r="M174" s="112" t="s">
        <v>382</v>
      </c>
      <c r="N174" s="171" t="s">
        <v>501</v>
      </c>
      <c r="O174" s="116"/>
      <c r="P174" s="116"/>
      <c r="Q174" s="112" t="s">
        <v>385</v>
      </c>
      <c r="R174" s="116"/>
      <c r="S174" s="116"/>
      <c r="T174" s="112" t="s">
        <v>355</v>
      </c>
      <c r="U174" s="112" t="s">
        <v>355</v>
      </c>
      <c r="V174" s="112" t="s">
        <v>355</v>
      </c>
      <c r="W174" s="112" t="s">
        <v>355</v>
      </c>
      <c r="X174" s="112" t="s">
        <v>355</v>
      </c>
      <c r="Y174" s="112" t="s">
        <v>355</v>
      </c>
      <c r="Z174" s="112" t="s">
        <v>355</v>
      </c>
      <c r="AA174" s="112" t="s">
        <v>355</v>
      </c>
      <c r="AB174" s="116"/>
      <c r="AC174" s="178" t="s">
        <v>962</v>
      </c>
      <c r="AD174" s="171" t="s">
        <v>1001</v>
      </c>
      <c r="AE174" s="112" t="s">
        <v>354</v>
      </c>
      <c r="AF174" s="112" t="s">
        <v>385</v>
      </c>
      <c r="AG174" s="112" t="s">
        <v>385</v>
      </c>
      <c r="AH174" s="171" t="s">
        <v>1076</v>
      </c>
      <c r="AI174" s="132" t="s">
        <v>630</v>
      </c>
      <c r="AJ174" s="112" t="s">
        <v>1176</v>
      </c>
      <c r="AK174" s="427" t="s">
        <v>385</v>
      </c>
      <c r="AL174" s="112" t="s">
        <v>385</v>
      </c>
      <c r="AM174" s="116"/>
      <c r="AN174" s="116"/>
      <c r="AO174" s="116"/>
      <c r="AP174" s="116"/>
      <c r="AQ174" s="112"/>
      <c r="AR174" s="139"/>
      <c r="AS174" s="140"/>
    </row>
    <row r="175" spans="1:45" ht="57">
      <c r="A175" s="238"/>
      <c r="B175" s="70" t="s">
        <v>356</v>
      </c>
      <c r="C175" s="412"/>
      <c r="D175" s="74" t="s">
        <v>363</v>
      </c>
      <c r="E175" s="76">
        <v>43571</v>
      </c>
      <c r="F175" s="78" t="s">
        <v>360</v>
      </c>
      <c r="G175" s="76">
        <v>43581</v>
      </c>
      <c r="H175" s="78" t="s">
        <v>355</v>
      </c>
      <c r="I175" s="129" t="s">
        <v>1356</v>
      </c>
      <c r="J175" s="418" t="s">
        <v>156</v>
      </c>
      <c r="K175" s="126" t="s">
        <v>1350</v>
      </c>
      <c r="L175" s="82" t="s">
        <v>315</v>
      </c>
      <c r="M175" s="96"/>
      <c r="N175" s="420"/>
      <c r="O175" s="96"/>
      <c r="P175" s="96"/>
      <c r="Q175" s="96"/>
      <c r="R175" s="96"/>
      <c r="S175" s="96"/>
      <c r="T175" s="96"/>
      <c r="U175" s="96"/>
      <c r="V175" s="96"/>
      <c r="W175" s="96"/>
      <c r="X175" s="96"/>
      <c r="Y175" s="96"/>
      <c r="Z175" s="96"/>
      <c r="AA175" s="96"/>
      <c r="AB175" s="96"/>
      <c r="AC175" s="422"/>
      <c r="AD175" s="96"/>
      <c r="AE175" s="96"/>
      <c r="AF175" s="96"/>
      <c r="AG175" s="96"/>
      <c r="AH175" s="96"/>
      <c r="AI175" s="422"/>
      <c r="AJ175" s="96"/>
      <c r="AK175" s="96"/>
      <c r="AL175" s="96"/>
      <c r="AM175" s="96"/>
      <c r="AN175" s="96"/>
      <c r="AO175" s="96"/>
      <c r="AP175" s="96"/>
      <c r="AQ175" s="85" t="s">
        <v>1352</v>
      </c>
      <c r="AR175" s="128" t="s">
        <v>1353</v>
      </c>
      <c r="AS175" s="29" t="s">
        <v>1357</v>
      </c>
    </row>
    <row r="176" spans="1:45" ht="15">
      <c r="A176" s="238"/>
      <c r="B176" s="70"/>
      <c r="C176" s="412"/>
      <c r="D176" s="74"/>
      <c r="E176" s="104"/>
      <c r="F176" s="104"/>
      <c r="G176" s="104"/>
      <c r="H176" s="104"/>
      <c r="I176" s="129"/>
      <c r="J176" s="418"/>
      <c r="K176" s="401"/>
      <c r="L176" s="82"/>
      <c r="M176" s="69" t="s">
        <v>382</v>
      </c>
      <c r="N176" s="15" t="s">
        <v>502</v>
      </c>
      <c r="O176" s="96"/>
      <c r="P176" s="96"/>
      <c r="Q176" s="96"/>
      <c r="R176" s="96"/>
      <c r="S176" s="96"/>
      <c r="T176" s="85" t="s">
        <v>355</v>
      </c>
      <c r="U176" s="85" t="s">
        <v>355</v>
      </c>
      <c r="V176" s="85" t="s">
        <v>355</v>
      </c>
      <c r="W176" s="85" t="s">
        <v>355</v>
      </c>
      <c r="X176" s="85" t="s">
        <v>355</v>
      </c>
      <c r="Y176" s="85" t="s">
        <v>355</v>
      </c>
      <c r="Z176" s="85" t="s">
        <v>355</v>
      </c>
      <c r="AA176" s="85" t="s">
        <v>892</v>
      </c>
      <c r="AB176" s="96"/>
      <c r="AC176" s="177" t="s">
        <v>962</v>
      </c>
      <c r="AD176" s="91" t="s">
        <v>1004</v>
      </c>
      <c r="AE176" s="85" t="s">
        <v>354</v>
      </c>
      <c r="AF176" s="85" t="s">
        <v>385</v>
      </c>
      <c r="AG176" s="85" t="s">
        <v>385</v>
      </c>
      <c r="AH176" s="15" t="s">
        <v>1077</v>
      </c>
      <c r="AI176" s="177" t="s">
        <v>652</v>
      </c>
      <c r="AJ176" s="85" t="s">
        <v>1177</v>
      </c>
      <c r="AK176" s="85" t="s">
        <v>412</v>
      </c>
      <c r="AL176" s="85" t="s">
        <v>385</v>
      </c>
      <c r="AM176" s="85" t="s">
        <v>1248</v>
      </c>
      <c r="AN176" s="85" t="s">
        <v>402</v>
      </c>
      <c r="AO176" s="85" t="s">
        <v>402</v>
      </c>
      <c r="AP176" s="85" t="s">
        <v>402</v>
      </c>
      <c r="AQ176" s="85"/>
      <c r="AR176" s="128"/>
      <c r="AS176" s="67"/>
    </row>
    <row r="177" spans="1:45" ht="15">
      <c r="A177" s="394"/>
      <c r="B177" s="164"/>
      <c r="C177" s="423"/>
      <c r="D177" s="166"/>
      <c r="E177" s="167"/>
      <c r="F177" s="167"/>
      <c r="G177" s="167"/>
      <c r="H177" s="167"/>
      <c r="I177" s="168"/>
      <c r="J177" s="424"/>
      <c r="K177" s="425"/>
      <c r="L177" s="426"/>
      <c r="M177" s="131" t="s">
        <v>382</v>
      </c>
      <c r="N177" s="171" t="s">
        <v>502</v>
      </c>
      <c r="O177" s="116"/>
      <c r="P177" s="116"/>
      <c r="Q177" s="112" t="s">
        <v>385</v>
      </c>
      <c r="R177" s="116"/>
      <c r="S177" s="116"/>
      <c r="T177" s="112" t="s">
        <v>355</v>
      </c>
      <c r="U177" s="112" t="s">
        <v>355</v>
      </c>
      <c r="V177" s="112" t="s">
        <v>355</v>
      </c>
      <c r="W177" s="112" t="s">
        <v>355</v>
      </c>
      <c r="X177" s="112" t="s">
        <v>355</v>
      </c>
      <c r="Y177" s="112" t="s">
        <v>355</v>
      </c>
      <c r="Z177" s="112" t="s">
        <v>355</v>
      </c>
      <c r="AA177" s="112" t="s">
        <v>892</v>
      </c>
      <c r="AB177" s="116"/>
      <c r="AC177" s="178" t="s">
        <v>962</v>
      </c>
      <c r="AD177" s="120" t="s">
        <v>1004</v>
      </c>
      <c r="AE177" s="112" t="s">
        <v>354</v>
      </c>
      <c r="AF177" s="112" t="s">
        <v>385</v>
      </c>
      <c r="AG177" s="112" t="s">
        <v>385</v>
      </c>
      <c r="AH177" s="171" t="s">
        <v>1077</v>
      </c>
      <c r="AI177" s="178" t="s">
        <v>652</v>
      </c>
      <c r="AJ177" s="112" t="s">
        <v>1177</v>
      </c>
      <c r="AK177" s="112" t="s">
        <v>412</v>
      </c>
      <c r="AL177" s="112" t="s">
        <v>385</v>
      </c>
      <c r="AM177" s="112" t="s">
        <v>1248</v>
      </c>
      <c r="AN177" s="112" t="s">
        <v>402</v>
      </c>
      <c r="AO177" s="112" t="s">
        <v>402</v>
      </c>
      <c r="AP177" s="112" t="s">
        <v>402</v>
      </c>
      <c r="AQ177" s="112" t="s">
        <v>1358</v>
      </c>
      <c r="AR177" s="139"/>
      <c r="AS177" s="140"/>
    </row>
    <row r="178" spans="1:45" ht="43">
      <c r="A178" s="238"/>
      <c r="B178" s="70" t="s">
        <v>356</v>
      </c>
      <c r="C178" s="412"/>
      <c r="D178" s="74" t="s">
        <v>363</v>
      </c>
      <c r="E178" s="76">
        <v>43571</v>
      </c>
      <c r="F178" s="78" t="s">
        <v>360</v>
      </c>
      <c r="G178" s="76">
        <v>43581</v>
      </c>
      <c r="H178" s="78" t="s">
        <v>355</v>
      </c>
      <c r="I178" s="129" t="s">
        <v>1359</v>
      </c>
      <c r="J178" s="414" t="s">
        <v>157</v>
      </c>
      <c r="K178" s="126" t="s">
        <v>851</v>
      </c>
      <c r="L178" s="82" t="s">
        <v>315</v>
      </c>
      <c r="M178" s="85" t="s">
        <v>385</v>
      </c>
      <c r="N178" s="411" t="s">
        <v>504</v>
      </c>
      <c r="O178" s="85" t="s">
        <v>680</v>
      </c>
      <c r="P178" s="85" t="s">
        <v>402</v>
      </c>
      <c r="Q178" s="85" t="s">
        <v>385</v>
      </c>
      <c r="R178" s="85" t="s">
        <v>402</v>
      </c>
      <c r="S178" s="96"/>
      <c r="T178" s="85" t="s">
        <v>402</v>
      </c>
      <c r="U178" s="85" t="s">
        <v>402</v>
      </c>
      <c r="V178" s="85" t="s">
        <v>402</v>
      </c>
      <c r="W178" s="85" t="s">
        <v>402</v>
      </c>
      <c r="X178" s="85" t="s">
        <v>402</v>
      </c>
      <c r="Y178" s="85" t="s">
        <v>402</v>
      </c>
      <c r="Z178" s="85" t="s">
        <v>402</v>
      </c>
      <c r="AA178" s="85" t="s">
        <v>402</v>
      </c>
      <c r="AB178" s="96"/>
      <c r="AC178" s="177" t="s">
        <v>402</v>
      </c>
      <c r="AD178" s="96"/>
      <c r="AE178" s="85" t="s">
        <v>385</v>
      </c>
      <c r="AF178" s="85" t="s">
        <v>385</v>
      </c>
      <c r="AG178" s="85" t="s">
        <v>385</v>
      </c>
      <c r="AH178" s="411" t="s">
        <v>1078</v>
      </c>
      <c r="AI178" s="177" t="s">
        <v>1153</v>
      </c>
      <c r="AJ178" s="85" t="s">
        <v>1360</v>
      </c>
      <c r="AK178" s="85" t="s">
        <v>402</v>
      </c>
      <c r="AL178" s="85" t="s">
        <v>402</v>
      </c>
      <c r="AM178" s="85" t="s">
        <v>402</v>
      </c>
      <c r="AN178" s="85" t="s">
        <v>1268</v>
      </c>
      <c r="AO178" s="85" t="s">
        <v>402</v>
      </c>
      <c r="AP178" s="85" t="s">
        <v>402</v>
      </c>
      <c r="AQ178" s="85" t="s">
        <v>1361</v>
      </c>
      <c r="AR178" s="128" t="s">
        <v>1340</v>
      </c>
      <c r="AS178" s="67"/>
    </row>
    <row r="179" spans="1:45" ht="18" customHeight="1">
      <c r="A179" s="238"/>
      <c r="B179" s="70"/>
      <c r="C179" s="412"/>
      <c r="D179" s="74"/>
      <c r="E179" s="104"/>
      <c r="F179" s="104"/>
      <c r="G179" s="104"/>
      <c r="H179" s="104"/>
      <c r="I179" s="129"/>
      <c r="J179" s="418"/>
      <c r="K179" s="401"/>
      <c r="L179" s="82"/>
      <c r="M179" s="85"/>
      <c r="N179" s="411"/>
      <c r="O179" s="85"/>
      <c r="P179" s="85"/>
      <c r="Q179" s="85"/>
      <c r="R179" s="85"/>
      <c r="S179" s="96"/>
      <c r="T179" s="85"/>
      <c r="U179" s="85"/>
      <c r="V179" s="85"/>
      <c r="W179" s="85"/>
      <c r="X179" s="85"/>
      <c r="Y179" s="85"/>
      <c r="Z179" s="85"/>
      <c r="AA179" s="85"/>
      <c r="AB179" s="96"/>
      <c r="AC179" s="177"/>
      <c r="AD179" s="96"/>
      <c r="AE179" s="85"/>
      <c r="AF179" s="85"/>
      <c r="AG179" s="85"/>
      <c r="AH179" s="411"/>
      <c r="AI179" s="177" t="s">
        <v>460</v>
      </c>
      <c r="AJ179" s="85" t="s">
        <v>1178</v>
      </c>
      <c r="AK179" s="85"/>
      <c r="AL179" s="85"/>
      <c r="AM179" s="85"/>
      <c r="AN179" s="85" t="s">
        <v>1269</v>
      </c>
      <c r="AO179" s="85"/>
      <c r="AP179" s="85"/>
      <c r="AQ179" s="85"/>
      <c r="AR179" s="128"/>
      <c r="AS179" s="67"/>
    </row>
    <row r="180" spans="1:45" ht="16.5" customHeight="1">
      <c r="A180" s="394"/>
      <c r="B180" s="164"/>
      <c r="C180" s="423"/>
      <c r="D180" s="166"/>
      <c r="E180" s="167"/>
      <c r="F180" s="167"/>
      <c r="G180" s="167"/>
      <c r="H180" s="167"/>
      <c r="I180" s="168"/>
      <c r="J180" s="424"/>
      <c r="K180" s="425"/>
      <c r="L180" s="426" t="s">
        <v>315</v>
      </c>
      <c r="M180" s="112" t="s">
        <v>385</v>
      </c>
      <c r="N180" s="428" t="s">
        <v>504</v>
      </c>
      <c r="O180" s="112"/>
      <c r="P180" s="112"/>
      <c r="Q180" s="112" t="s">
        <v>385</v>
      </c>
      <c r="R180" s="112"/>
      <c r="S180" s="116"/>
      <c r="T180" s="112" t="s">
        <v>402</v>
      </c>
      <c r="U180" s="112" t="s">
        <v>402</v>
      </c>
      <c r="V180" s="112" t="s">
        <v>402</v>
      </c>
      <c r="W180" s="112" t="s">
        <v>402</v>
      </c>
      <c r="X180" s="112" t="s">
        <v>402</v>
      </c>
      <c r="Y180" s="112" t="s">
        <v>402</v>
      </c>
      <c r="Z180" s="112" t="s">
        <v>402</v>
      </c>
      <c r="AA180" s="112" t="s">
        <v>402</v>
      </c>
      <c r="AB180" s="116"/>
      <c r="AC180" s="178"/>
      <c r="AD180" s="116"/>
      <c r="AE180" s="112" t="s">
        <v>385</v>
      </c>
      <c r="AF180" s="112" t="s">
        <v>385</v>
      </c>
      <c r="AG180" s="112" t="s">
        <v>385</v>
      </c>
      <c r="AH180" s="428" t="s">
        <v>1078</v>
      </c>
      <c r="AI180" s="178" t="s">
        <v>460</v>
      </c>
      <c r="AJ180" s="112" t="s">
        <v>1178</v>
      </c>
      <c r="AK180" s="112" t="s">
        <v>402</v>
      </c>
      <c r="AL180" s="112" t="s">
        <v>385</v>
      </c>
      <c r="AM180" s="112"/>
      <c r="AN180" s="112" t="s">
        <v>1268</v>
      </c>
      <c r="AO180" s="112"/>
      <c r="AP180" s="112"/>
      <c r="AQ180" s="112" t="s">
        <v>1361</v>
      </c>
      <c r="AR180" s="139"/>
      <c r="AS180" s="140"/>
    </row>
    <row r="181" spans="1:45" ht="57">
      <c r="A181" s="238"/>
      <c r="B181" s="70" t="s">
        <v>356</v>
      </c>
      <c r="C181" s="412"/>
      <c r="D181" s="74" t="s">
        <v>363</v>
      </c>
      <c r="E181" s="76">
        <v>43571</v>
      </c>
      <c r="F181" s="78" t="s">
        <v>360</v>
      </c>
      <c r="G181" s="76">
        <v>43581</v>
      </c>
      <c r="H181" s="78" t="s">
        <v>355</v>
      </c>
      <c r="I181" s="129" t="s">
        <v>1362</v>
      </c>
      <c r="J181" s="418" t="s">
        <v>158</v>
      </c>
      <c r="K181" s="126" t="s">
        <v>1350</v>
      </c>
      <c r="L181" s="82" t="s">
        <v>316</v>
      </c>
      <c r="M181" s="85" t="s">
        <v>385</v>
      </c>
      <c r="N181" s="411" t="s">
        <v>504</v>
      </c>
      <c r="O181" s="85" t="s">
        <v>680</v>
      </c>
      <c r="P181" s="85" t="s">
        <v>402</v>
      </c>
      <c r="Q181" s="85" t="s">
        <v>385</v>
      </c>
      <c r="R181" s="85" t="s">
        <v>402</v>
      </c>
      <c r="S181" s="96"/>
      <c r="T181" s="85" t="s">
        <v>402</v>
      </c>
      <c r="U181" s="85" t="s">
        <v>402</v>
      </c>
      <c r="V181" s="85" t="s">
        <v>402</v>
      </c>
      <c r="W181" s="85" t="s">
        <v>402</v>
      </c>
      <c r="X181" s="85" t="s">
        <v>402</v>
      </c>
      <c r="Y181" s="85" t="s">
        <v>402</v>
      </c>
      <c r="Z181" s="85" t="s">
        <v>402</v>
      </c>
      <c r="AA181" s="85" t="s">
        <v>402</v>
      </c>
      <c r="AB181" s="96"/>
      <c r="AC181" s="177" t="s">
        <v>402</v>
      </c>
      <c r="AD181" s="96"/>
      <c r="AE181" s="85" t="s">
        <v>385</v>
      </c>
      <c r="AF181" s="85" t="s">
        <v>385</v>
      </c>
      <c r="AG181" s="85" t="s">
        <v>385</v>
      </c>
      <c r="AH181" s="411" t="s">
        <v>1078</v>
      </c>
      <c r="AI181" s="177" t="s">
        <v>1153</v>
      </c>
      <c r="AJ181" s="85" t="s">
        <v>1360</v>
      </c>
      <c r="AK181" s="85" t="s">
        <v>402</v>
      </c>
      <c r="AL181" s="85" t="s">
        <v>402</v>
      </c>
      <c r="AM181" s="85" t="s">
        <v>402</v>
      </c>
      <c r="AN181" s="85" t="s">
        <v>1268</v>
      </c>
      <c r="AO181" s="85" t="s">
        <v>402</v>
      </c>
      <c r="AP181" s="85" t="s">
        <v>402</v>
      </c>
      <c r="AQ181" s="85" t="s">
        <v>1361</v>
      </c>
      <c r="AR181" s="128" t="s">
        <v>1363</v>
      </c>
      <c r="AS181" s="67"/>
    </row>
    <row r="182" spans="1:45" ht="16.5" customHeight="1">
      <c r="A182" s="238"/>
      <c r="B182" s="70"/>
      <c r="C182" s="412"/>
      <c r="D182" s="74"/>
      <c r="E182" s="104"/>
      <c r="F182" s="104"/>
      <c r="G182" s="104"/>
      <c r="H182" s="104"/>
      <c r="I182" s="129"/>
      <c r="J182" s="418"/>
      <c r="K182" s="401"/>
      <c r="L182" s="82"/>
      <c r="M182" s="85"/>
      <c r="N182" s="411"/>
      <c r="O182" s="85"/>
      <c r="P182" s="85"/>
      <c r="Q182" s="85"/>
      <c r="R182" s="85"/>
      <c r="S182" s="96"/>
      <c r="T182" s="85"/>
      <c r="U182" s="85"/>
      <c r="V182" s="85"/>
      <c r="W182" s="85"/>
      <c r="X182" s="85"/>
      <c r="Y182" s="85"/>
      <c r="Z182" s="85"/>
      <c r="AA182" s="85"/>
      <c r="AB182" s="96"/>
      <c r="AC182" s="177"/>
      <c r="AD182" s="96"/>
      <c r="AE182" s="85"/>
      <c r="AF182" s="85"/>
      <c r="AG182" s="85"/>
      <c r="AH182" s="411"/>
      <c r="AI182" s="177" t="s">
        <v>460</v>
      </c>
      <c r="AJ182" s="85" t="s">
        <v>1178</v>
      </c>
      <c r="AK182" s="85"/>
      <c r="AL182" s="85"/>
      <c r="AM182" s="85"/>
      <c r="AN182" s="85" t="s">
        <v>1269</v>
      </c>
      <c r="AO182" s="85"/>
      <c r="AP182" s="85"/>
      <c r="AQ182" s="85"/>
      <c r="AR182" s="128"/>
      <c r="AS182" s="67"/>
    </row>
    <row r="183" spans="1:45" ht="19.5" customHeight="1">
      <c r="A183" s="394"/>
      <c r="B183" s="164"/>
      <c r="C183" s="423"/>
      <c r="D183" s="166"/>
      <c r="E183" s="167"/>
      <c r="F183" s="167"/>
      <c r="G183" s="167"/>
      <c r="H183" s="167"/>
      <c r="I183" s="168"/>
      <c r="J183" s="424"/>
      <c r="K183" s="425"/>
      <c r="L183" s="426" t="s">
        <v>316</v>
      </c>
      <c r="M183" s="112" t="s">
        <v>385</v>
      </c>
      <c r="N183" s="428" t="s">
        <v>504</v>
      </c>
      <c r="O183" s="112"/>
      <c r="P183" s="112"/>
      <c r="Q183" s="112" t="s">
        <v>385</v>
      </c>
      <c r="R183" s="112"/>
      <c r="S183" s="116"/>
      <c r="T183" s="112" t="s">
        <v>402</v>
      </c>
      <c r="U183" s="112" t="s">
        <v>402</v>
      </c>
      <c r="V183" s="112" t="s">
        <v>402</v>
      </c>
      <c r="W183" s="112" t="s">
        <v>402</v>
      </c>
      <c r="X183" s="112" t="s">
        <v>402</v>
      </c>
      <c r="Y183" s="112" t="s">
        <v>402</v>
      </c>
      <c r="Z183" s="112" t="s">
        <v>402</v>
      </c>
      <c r="AA183" s="112" t="s">
        <v>402</v>
      </c>
      <c r="AB183" s="116"/>
      <c r="AC183" s="178"/>
      <c r="AD183" s="116"/>
      <c r="AE183" s="112" t="s">
        <v>385</v>
      </c>
      <c r="AF183" s="112" t="s">
        <v>385</v>
      </c>
      <c r="AG183" s="112" t="s">
        <v>385</v>
      </c>
      <c r="AH183" s="428" t="s">
        <v>1078</v>
      </c>
      <c r="AI183" s="178" t="s">
        <v>1153</v>
      </c>
      <c r="AJ183" s="112" t="s">
        <v>1178</v>
      </c>
      <c r="AK183" s="112" t="s">
        <v>402</v>
      </c>
      <c r="AL183" s="112" t="s">
        <v>385</v>
      </c>
      <c r="AM183" s="112"/>
      <c r="AN183" s="112" t="s">
        <v>1268</v>
      </c>
      <c r="AO183" s="112"/>
      <c r="AP183" s="112"/>
      <c r="AQ183" s="112" t="s">
        <v>1361</v>
      </c>
      <c r="AR183" s="139"/>
      <c r="AS183" s="140"/>
    </row>
    <row r="184" spans="1:45" ht="15">
      <c r="A184" s="238"/>
      <c r="B184" s="70" t="s">
        <v>356</v>
      </c>
      <c r="C184" s="412"/>
      <c r="D184" s="74" t="s">
        <v>363</v>
      </c>
      <c r="E184" s="76">
        <v>43571</v>
      </c>
      <c r="F184" s="78" t="s">
        <v>360</v>
      </c>
      <c r="G184" s="76">
        <v>43581</v>
      </c>
      <c r="H184" s="78" t="s">
        <v>355</v>
      </c>
      <c r="I184" s="129" t="s">
        <v>1364</v>
      </c>
      <c r="J184" s="418" t="s">
        <v>159</v>
      </c>
      <c r="K184" s="401"/>
      <c r="L184" s="82" t="s">
        <v>316</v>
      </c>
      <c r="M184" s="85" t="s">
        <v>385</v>
      </c>
      <c r="N184" s="411" t="s">
        <v>504</v>
      </c>
      <c r="O184" s="85" t="s">
        <v>680</v>
      </c>
      <c r="P184" s="85" t="s">
        <v>402</v>
      </c>
      <c r="Q184" s="85" t="s">
        <v>385</v>
      </c>
      <c r="R184" s="85" t="s">
        <v>402</v>
      </c>
      <c r="S184" s="96"/>
      <c r="T184" s="85" t="s">
        <v>402</v>
      </c>
      <c r="U184" s="85" t="s">
        <v>402</v>
      </c>
      <c r="V184" s="85" t="s">
        <v>402</v>
      </c>
      <c r="W184" s="85" t="s">
        <v>402</v>
      </c>
      <c r="X184" s="85" t="s">
        <v>402</v>
      </c>
      <c r="Y184" s="85" t="s">
        <v>402</v>
      </c>
      <c r="Z184" s="85" t="s">
        <v>402</v>
      </c>
      <c r="AA184" s="85" t="s">
        <v>402</v>
      </c>
      <c r="AB184" s="96"/>
      <c r="AC184" s="177" t="s">
        <v>402</v>
      </c>
      <c r="AD184" s="96"/>
      <c r="AE184" s="85" t="s">
        <v>385</v>
      </c>
      <c r="AF184" s="85" t="s">
        <v>385</v>
      </c>
      <c r="AG184" s="85" t="s">
        <v>385</v>
      </c>
      <c r="AH184" s="411" t="s">
        <v>1078</v>
      </c>
      <c r="AI184" s="177" t="s">
        <v>1153</v>
      </c>
      <c r="AJ184" s="85" t="s">
        <v>1360</v>
      </c>
      <c r="AK184" s="633" t="s">
        <v>402</v>
      </c>
      <c r="AL184" s="85" t="s">
        <v>402</v>
      </c>
      <c r="AM184" s="85" t="s">
        <v>402</v>
      </c>
      <c r="AN184" s="85" t="s">
        <v>1268</v>
      </c>
      <c r="AO184" s="85" t="s">
        <v>402</v>
      </c>
      <c r="AP184" s="85" t="s">
        <v>402</v>
      </c>
      <c r="AQ184" s="85" t="s">
        <v>1361</v>
      </c>
      <c r="AR184" s="128" t="s">
        <v>1363</v>
      </c>
      <c r="AS184" s="67"/>
    </row>
    <row r="185" spans="1:45" ht="17.25" customHeight="1">
      <c r="A185" s="238"/>
      <c r="B185" s="70"/>
      <c r="C185" s="412"/>
      <c r="D185" s="74"/>
      <c r="E185" s="104"/>
      <c r="F185" s="104"/>
      <c r="G185" s="104"/>
      <c r="H185" s="104"/>
      <c r="I185" s="129"/>
      <c r="J185" s="418"/>
      <c r="K185" s="401"/>
      <c r="L185" s="82"/>
      <c r="M185" s="85"/>
      <c r="N185" s="411"/>
      <c r="O185" s="85"/>
      <c r="P185" s="85"/>
      <c r="Q185" s="85"/>
      <c r="R185" s="85"/>
      <c r="S185" s="96"/>
      <c r="T185" s="85"/>
      <c r="U185" s="85"/>
      <c r="V185" s="85"/>
      <c r="W185" s="85"/>
      <c r="X185" s="85"/>
      <c r="Y185" s="85"/>
      <c r="Z185" s="85"/>
      <c r="AA185" s="85"/>
      <c r="AB185" s="96"/>
      <c r="AC185" s="177"/>
      <c r="AD185" s="96"/>
      <c r="AE185" s="85"/>
      <c r="AF185" s="85"/>
      <c r="AG185" s="85"/>
      <c r="AH185" s="411"/>
      <c r="AI185" s="177" t="s">
        <v>460</v>
      </c>
      <c r="AJ185" s="85" t="s">
        <v>1178</v>
      </c>
      <c r="AK185" s="633"/>
      <c r="AL185" s="85"/>
      <c r="AM185" s="85"/>
      <c r="AN185" s="85" t="s">
        <v>1269</v>
      </c>
      <c r="AO185" s="85"/>
      <c r="AP185" s="85"/>
      <c r="AQ185" s="85"/>
      <c r="AR185" s="128"/>
      <c r="AS185" s="67"/>
    </row>
    <row r="186" spans="1:45" ht="17.25" customHeight="1">
      <c r="A186" s="394"/>
      <c r="B186" s="164"/>
      <c r="C186" s="423"/>
      <c r="D186" s="166"/>
      <c r="E186" s="167"/>
      <c r="F186" s="167"/>
      <c r="G186" s="167"/>
      <c r="H186" s="167"/>
      <c r="I186" s="168"/>
      <c r="J186" s="424"/>
      <c r="K186" s="425"/>
      <c r="L186" s="426" t="s">
        <v>316</v>
      </c>
      <c r="M186" s="112" t="s">
        <v>385</v>
      </c>
      <c r="N186" s="428" t="s">
        <v>504</v>
      </c>
      <c r="O186" s="112"/>
      <c r="P186" s="112"/>
      <c r="Q186" s="112" t="s">
        <v>385</v>
      </c>
      <c r="R186" s="112"/>
      <c r="S186" s="116"/>
      <c r="T186" s="112" t="s">
        <v>402</v>
      </c>
      <c r="U186" s="112" t="s">
        <v>402</v>
      </c>
      <c r="V186" s="112" t="s">
        <v>402</v>
      </c>
      <c r="W186" s="112" t="s">
        <v>402</v>
      </c>
      <c r="X186" s="112" t="s">
        <v>402</v>
      </c>
      <c r="Y186" s="112" t="s">
        <v>402</v>
      </c>
      <c r="Z186" s="112" t="s">
        <v>402</v>
      </c>
      <c r="AA186" s="112" t="s">
        <v>402</v>
      </c>
      <c r="AB186" s="116"/>
      <c r="AC186" s="178"/>
      <c r="AD186" s="116"/>
      <c r="AE186" s="112" t="s">
        <v>385</v>
      </c>
      <c r="AF186" s="112" t="s">
        <v>385</v>
      </c>
      <c r="AG186" s="112" t="s">
        <v>385</v>
      </c>
      <c r="AH186" s="428" t="s">
        <v>1078</v>
      </c>
      <c r="AI186" s="178" t="s">
        <v>460</v>
      </c>
      <c r="AJ186" s="112" t="s">
        <v>1178</v>
      </c>
      <c r="AK186" s="634"/>
      <c r="AL186" s="112"/>
      <c r="AM186" s="112"/>
      <c r="AN186" s="112" t="s">
        <v>1269</v>
      </c>
      <c r="AO186" s="112"/>
      <c r="AP186" s="112"/>
      <c r="AQ186" s="112" t="s">
        <v>1361</v>
      </c>
      <c r="AR186" s="139"/>
      <c r="AS186" s="140"/>
    </row>
    <row r="187" spans="1:45" ht="57">
      <c r="A187" s="238"/>
      <c r="B187" s="70" t="s">
        <v>356</v>
      </c>
      <c r="C187" s="412"/>
      <c r="D187" s="74" t="s">
        <v>492</v>
      </c>
      <c r="E187" s="76">
        <v>43575</v>
      </c>
      <c r="F187" s="78" t="s">
        <v>363</v>
      </c>
      <c r="G187" s="76">
        <v>43581</v>
      </c>
      <c r="H187" s="78" t="s">
        <v>355</v>
      </c>
      <c r="I187" s="129" t="s">
        <v>1365</v>
      </c>
      <c r="J187" s="418" t="s">
        <v>160</v>
      </c>
      <c r="K187" s="126" t="s">
        <v>1350</v>
      </c>
      <c r="L187" s="82" t="s">
        <v>316</v>
      </c>
      <c r="M187" s="85" t="s">
        <v>385</v>
      </c>
      <c r="N187" s="411" t="s">
        <v>504</v>
      </c>
      <c r="O187" s="85" t="s">
        <v>680</v>
      </c>
      <c r="P187" s="85" t="s">
        <v>402</v>
      </c>
      <c r="Q187" s="85" t="s">
        <v>385</v>
      </c>
      <c r="R187" s="85" t="s">
        <v>402</v>
      </c>
      <c r="S187" s="96"/>
      <c r="T187" s="85" t="s">
        <v>402</v>
      </c>
      <c r="U187" s="85" t="s">
        <v>402</v>
      </c>
      <c r="V187" s="85" t="s">
        <v>402</v>
      </c>
      <c r="W187" s="85" t="s">
        <v>402</v>
      </c>
      <c r="X187" s="85" t="s">
        <v>402</v>
      </c>
      <c r="Y187" s="85" t="s">
        <v>402</v>
      </c>
      <c r="Z187" s="85" t="s">
        <v>402</v>
      </c>
      <c r="AA187" s="85" t="s">
        <v>402</v>
      </c>
      <c r="AB187" s="96"/>
      <c r="AC187" s="177" t="s">
        <v>402</v>
      </c>
      <c r="AD187" s="96"/>
      <c r="AE187" s="85" t="s">
        <v>385</v>
      </c>
      <c r="AF187" s="85" t="s">
        <v>385</v>
      </c>
      <c r="AG187" s="85" t="s">
        <v>385</v>
      </c>
      <c r="AH187" s="411" t="s">
        <v>1078</v>
      </c>
      <c r="AI187" s="177" t="s">
        <v>1153</v>
      </c>
      <c r="AJ187" s="85" t="s">
        <v>1360</v>
      </c>
      <c r="AK187" s="85" t="s">
        <v>402</v>
      </c>
      <c r="AL187" s="85" t="s">
        <v>402</v>
      </c>
      <c r="AM187" s="85" t="s">
        <v>402</v>
      </c>
      <c r="AN187" s="85" t="s">
        <v>1268</v>
      </c>
      <c r="AO187" s="85" t="s">
        <v>402</v>
      </c>
      <c r="AP187" s="85" t="s">
        <v>402</v>
      </c>
      <c r="AQ187" s="85" t="s">
        <v>1361</v>
      </c>
      <c r="AR187" s="128" t="s">
        <v>1363</v>
      </c>
      <c r="AS187" s="67"/>
    </row>
    <row r="188" spans="1:45" ht="15" customHeight="1">
      <c r="A188" s="238"/>
      <c r="B188" s="70"/>
      <c r="C188" s="412"/>
      <c r="D188" s="74"/>
      <c r="E188" s="104"/>
      <c r="F188" s="104"/>
      <c r="G188" s="104"/>
      <c r="H188" s="104"/>
      <c r="I188" s="129"/>
      <c r="J188" s="418"/>
      <c r="K188" s="401"/>
      <c r="L188" s="82"/>
      <c r="M188" s="85" t="s">
        <v>374</v>
      </c>
      <c r="N188" s="15" t="s">
        <v>516</v>
      </c>
      <c r="O188" s="85"/>
      <c r="P188" s="85"/>
      <c r="Q188" s="85"/>
      <c r="R188" s="85"/>
      <c r="S188" s="85" t="s">
        <v>680</v>
      </c>
      <c r="T188" s="85"/>
      <c r="U188" s="85"/>
      <c r="V188" s="85"/>
      <c r="W188" s="85"/>
      <c r="X188" s="85" t="s">
        <v>355</v>
      </c>
      <c r="Y188" s="85" t="s">
        <v>355</v>
      </c>
      <c r="Z188" s="85"/>
      <c r="AA188" s="85"/>
      <c r="AB188" s="96"/>
      <c r="AC188" s="177"/>
      <c r="AD188" s="96"/>
      <c r="AE188" s="85"/>
      <c r="AF188" s="85"/>
      <c r="AG188" s="85"/>
      <c r="AH188" s="411"/>
      <c r="AI188" s="177" t="s">
        <v>460</v>
      </c>
      <c r="AJ188" s="85" t="s">
        <v>1178</v>
      </c>
      <c r="AK188" s="85"/>
      <c r="AL188" s="85"/>
      <c r="AM188" s="85"/>
      <c r="AN188" s="85" t="s">
        <v>1269</v>
      </c>
      <c r="AO188" s="85"/>
      <c r="AP188" s="85"/>
      <c r="AQ188" s="85" t="s">
        <v>1366</v>
      </c>
      <c r="AR188" s="128"/>
      <c r="AS188" s="67"/>
    </row>
    <row r="189" spans="1:45" ht="15">
      <c r="A189" s="238"/>
      <c r="B189" s="70"/>
      <c r="C189" s="412"/>
      <c r="D189" s="74"/>
      <c r="E189" s="104"/>
      <c r="F189" s="104"/>
      <c r="G189" s="104"/>
      <c r="H189" s="104"/>
      <c r="I189" s="129"/>
      <c r="J189" s="418"/>
      <c r="K189" s="401"/>
      <c r="L189" s="82"/>
      <c r="M189" s="85" t="s">
        <v>374</v>
      </c>
      <c r="N189" s="15" t="s">
        <v>516</v>
      </c>
      <c r="O189" s="85"/>
      <c r="P189" s="85"/>
      <c r="Q189" s="85" t="s">
        <v>385</v>
      </c>
      <c r="R189" s="85"/>
      <c r="S189" s="85"/>
      <c r="T189" s="85" t="s">
        <v>402</v>
      </c>
      <c r="U189" s="85" t="s">
        <v>402</v>
      </c>
      <c r="V189" s="85" t="s">
        <v>402</v>
      </c>
      <c r="W189" s="85" t="s">
        <v>402</v>
      </c>
      <c r="X189" s="85" t="s">
        <v>355</v>
      </c>
      <c r="Y189" s="85" t="s">
        <v>355</v>
      </c>
      <c r="Z189" s="85" t="s">
        <v>402</v>
      </c>
      <c r="AA189" s="85" t="s">
        <v>402</v>
      </c>
      <c r="AB189" s="96"/>
      <c r="AC189" s="177"/>
      <c r="AD189" s="96"/>
      <c r="AE189" s="85" t="s">
        <v>385</v>
      </c>
      <c r="AF189" s="85" t="s">
        <v>385</v>
      </c>
      <c r="AG189" s="85" t="s">
        <v>385</v>
      </c>
      <c r="AH189" s="411" t="s">
        <v>1078</v>
      </c>
      <c r="AI189" s="177" t="s">
        <v>460</v>
      </c>
      <c r="AJ189" s="85" t="s">
        <v>1178</v>
      </c>
      <c r="AK189" s="85" t="s">
        <v>402</v>
      </c>
      <c r="AL189" s="85" t="s">
        <v>385</v>
      </c>
      <c r="AM189" s="85"/>
      <c r="AN189" s="85" t="s">
        <v>1269</v>
      </c>
      <c r="AO189" s="85"/>
      <c r="AP189" s="85"/>
      <c r="AQ189" s="85"/>
      <c r="AR189" s="128"/>
      <c r="AS189" s="67"/>
    </row>
    <row r="190" spans="1:45" ht="43">
      <c r="A190" s="238"/>
      <c r="B190" s="70" t="s">
        <v>356</v>
      </c>
      <c r="C190" s="412"/>
      <c r="D190" s="74" t="s">
        <v>492</v>
      </c>
      <c r="E190" s="76">
        <v>43575</v>
      </c>
      <c r="F190" s="78" t="s">
        <v>363</v>
      </c>
      <c r="G190" s="76">
        <v>43581</v>
      </c>
      <c r="H190" s="78" t="s">
        <v>355</v>
      </c>
      <c r="I190" s="129" t="s">
        <v>1367</v>
      </c>
      <c r="J190" s="414" t="s">
        <v>161</v>
      </c>
      <c r="K190" s="126" t="s">
        <v>851</v>
      </c>
      <c r="L190" s="82" t="s">
        <v>316</v>
      </c>
      <c r="M190" s="85" t="s">
        <v>385</v>
      </c>
      <c r="N190" s="411" t="s">
        <v>504</v>
      </c>
      <c r="O190" s="85" t="s">
        <v>680</v>
      </c>
      <c r="P190" s="85" t="s">
        <v>402</v>
      </c>
      <c r="Q190" s="85" t="s">
        <v>385</v>
      </c>
      <c r="R190" s="85" t="s">
        <v>402</v>
      </c>
      <c r="S190" s="96"/>
      <c r="T190" s="85" t="s">
        <v>402</v>
      </c>
      <c r="U190" s="85" t="s">
        <v>402</v>
      </c>
      <c r="V190" s="85" t="s">
        <v>402</v>
      </c>
      <c r="W190" s="85" t="s">
        <v>402</v>
      </c>
      <c r="X190" s="85" t="s">
        <v>402</v>
      </c>
      <c r="Y190" s="85" t="s">
        <v>402</v>
      </c>
      <c r="Z190" s="85" t="s">
        <v>402</v>
      </c>
      <c r="AA190" s="85" t="s">
        <v>402</v>
      </c>
      <c r="AB190" s="96"/>
      <c r="AC190" s="177" t="s">
        <v>402</v>
      </c>
      <c r="AD190" s="96"/>
      <c r="AE190" s="85" t="s">
        <v>385</v>
      </c>
      <c r="AF190" s="85" t="s">
        <v>385</v>
      </c>
      <c r="AG190" s="85" t="s">
        <v>385</v>
      </c>
      <c r="AH190" s="411" t="s">
        <v>1078</v>
      </c>
      <c r="AI190" s="177" t="s">
        <v>1153</v>
      </c>
      <c r="AJ190" s="85" t="s">
        <v>1360</v>
      </c>
      <c r="AK190" s="85" t="s">
        <v>402</v>
      </c>
      <c r="AL190" s="85" t="s">
        <v>402</v>
      </c>
      <c r="AM190" s="85" t="s">
        <v>402</v>
      </c>
      <c r="AN190" s="85" t="s">
        <v>1268</v>
      </c>
      <c r="AO190" s="85" t="s">
        <v>402</v>
      </c>
      <c r="AP190" s="85" t="s">
        <v>402</v>
      </c>
      <c r="AQ190" s="85" t="s">
        <v>1361</v>
      </c>
      <c r="AR190" s="128" t="s">
        <v>1363</v>
      </c>
      <c r="AS190" s="67"/>
    </row>
    <row r="191" spans="1:45" ht="15">
      <c r="A191" s="238"/>
      <c r="B191" s="70"/>
      <c r="C191" s="412"/>
      <c r="D191" s="74"/>
      <c r="E191" s="104"/>
      <c r="F191" s="104"/>
      <c r="G191" s="104"/>
      <c r="H191" s="104"/>
      <c r="I191" s="129"/>
      <c r="J191" s="414"/>
      <c r="K191" s="401"/>
      <c r="L191" s="82"/>
      <c r="M191" s="85" t="s">
        <v>374</v>
      </c>
      <c r="N191" s="15" t="s">
        <v>516</v>
      </c>
      <c r="O191" s="85"/>
      <c r="P191" s="85"/>
      <c r="Q191" s="85"/>
      <c r="R191" s="85"/>
      <c r="S191" s="85" t="s">
        <v>680</v>
      </c>
      <c r="T191" s="85"/>
      <c r="U191" s="85"/>
      <c r="V191" s="85"/>
      <c r="W191" s="85"/>
      <c r="X191" s="85" t="s">
        <v>355</v>
      </c>
      <c r="Y191" s="85" t="s">
        <v>355</v>
      </c>
      <c r="Z191" s="85"/>
      <c r="AA191" s="85"/>
      <c r="AB191" s="96"/>
      <c r="AC191" s="177" t="s">
        <v>963</v>
      </c>
      <c r="AD191" s="15" t="s">
        <v>1005</v>
      </c>
      <c r="AE191" s="85"/>
      <c r="AF191" s="85"/>
      <c r="AG191" s="85"/>
      <c r="AH191" s="411"/>
      <c r="AI191" s="177" t="s">
        <v>460</v>
      </c>
      <c r="AJ191" s="85" t="s">
        <v>1178</v>
      </c>
      <c r="AK191" s="85"/>
      <c r="AL191" s="85"/>
      <c r="AM191" s="85"/>
      <c r="AN191" s="85" t="s">
        <v>1269</v>
      </c>
      <c r="AO191" s="85"/>
      <c r="AP191" s="85"/>
      <c r="AQ191" s="85" t="s">
        <v>1368</v>
      </c>
      <c r="AR191" s="128"/>
      <c r="AS191" s="67"/>
    </row>
    <row r="192" spans="1:45" ht="15">
      <c r="A192" s="238"/>
      <c r="B192" s="70"/>
      <c r="C192" s="412"/>
      <c r="D192" s="74"/>
      <c r="E192" s="104"/>
      <c r="F192" s="104"/>
      <c r="G192" s="104"/>
      <c r="H192" s="104"/>
      <c r="I192" s="129"/>
      <c r="J192" s="414"/>
      <c r="K192" s="401"/>
      <c r="L192" s="82"/>
      <c r="M192" s="85" t="s">
        <v>374</v>
      </c>
      <c r="N192" s="15" t="s">
        <v>516</v>
      </c>
      <c r="O192" s="85"/>
      <c r="P192" s="85"/>
      <c r="Q192" s="85" t="s">
        <v>385</v>
      </c>
      <c r="R192" s="85"/>
      <c r="S192" s="85"/>
      <c r="T192" s="85" t="s">
        <v>402</v>
      </c>
      <c r="U192" s="85" t="s">
        <v>402</v>
      </c>
      <c r="V192" s="85" t="s">
        <v>402</v>
      </c>
      <c r="W192" s="85" t="s">
        <v>402</v>
      </c>
      <c r="X192" s="85" t="s">
        <v>355</v>
      </c>
      <c r="Y192" s="85" t="s">
        <v>355</v>
      </c>
      <c r="Z192" s="85" t="s">
        <v>402</v>
      </c>
      <c r="AA192" s="85" t="s">
        <v>402</v>
      </c>
      <c r="AB192" s="96"/>
      <c r="AC192" s="177" t="s">
        <v>963</v>
      </c>
      <c r="AD192" s="15" t="s">
        <v>1005</v>
      </c>
      <c r="AE192" s="85" t="s">
        <v>385</v>
      </c>
      <c r="AF192" s="85" t="s">
        <v>385</v>
      </c>
      <c r="AG192" s="85" t="s">
        <v>385</v>
      </c>
      <c r="AH192" s="411" t="s">
        <v>1078</v>
      </c>
      <c r="AI192" s="177" t="s">
        <v>460</v>
      </c>
      <c r="AJ192" s="85" t="s">
        <v>1178</v>
      </c>
      <c r="AK192" s="85" t="s">
        <v>402</v>
      </c>
      <c r="AL192" s="85" t="s">
        <v>385</v>
      </c>
      <c r="AM192" s="85"/>
      <c r="AN192" s="85"/>
      <c r="AO192" s="85"/>
      <c r="AP192" s="85"/>
      <c r="AQ192" s="85"/>
      <c r="AR192" s="128"/>
      <c r="AS192" s="67"/>
    </row>
    <row r="193" spans="1:45" ht="43">
      <c r="A193" s="238"/>
      <c r="B193" s="70" t="s">
        <v>356</v>
      </c>
      <c r="C193" s="412"/>
      <c r="D193" s="74" t="s">
        <v>492</v>
      </c>
      <c r="E193" s="76">
        <v>43575</v>
      </c>
      <c r="F193" s="78" t="s">
        <v>363</v>
      </c>
      <c r="G193" s="76">
        <v>43581</v>
      </c>
      <c r="H193" s="78" t="s">
        <v>355</v>
      </c>
      <c r="I193" s="129" t="s">
        <v>1369</v>
      </c>
      <c r="J193" s="414" t="s">
        <v>162</v>
      </c>
      <c r="K193" s="126" t="s">
        <v>876</v>
      </c>
      <c r="L193" s="82" t="s">
        <v>291</v>
      </c>
      <c r="M193" s="85"/>
      <c r="N193" s="622" t="s">
        <v>1080</v>
      </c>
      <c r="O193" s="613"/>
      <c r="P193" s="96"/>
      <c r="Q193" s="96"/>
      <c r="R193" s="194" t="s">
        <v>815</v>
      </c>
      <c r="S193" s="411" t="s">
        <v>1080</v>
      </c>
      <c r="T193" s="96"/>
      <c r="U193" s="96"/>
      <c r="V193" s="96"/>
      <c r="W193" s="96"/>
      <c r="X193" s="96"/>
      <c r="Y193" s="96"/>
      <c r="Z193" s="96"/>
      <c r="AA193" s="96"/>
      <c r="AB193" s="96"/>
      <c r="AC193" s="422"/>
      <c r="AD193" s="96"/>
      <c r="AE193" s="96"/>
      <c r="AF193" s="96"/>
      <c r="AG193" s="96"/>
      <c r="AH193" s="411" t="s">
        <v>1080</v>
      </c>
      <c r="AI193" s="177" t="s">
        <v>1370</v>
      </c>
      <c r="AJ193" s="85" t="s">
        <v>1371</v>
      </c>
      <c r="AK193" s="85" t="s">
        <v>402</v>
      </c>
      <c r="AL193" s="85" t="s">
        <v>402</v>
      </c>
      <c r="AM193" s="102" t="s">
        <v>1249</v>
      </c>
      <c r="AN193" s="85" t="s">
        <v>402</v>
      </c>
      <c r="AO193" s="85" t="s">
        <v>402</v>
      </c>
      <c r="AP193" s="85" t="s">
        <v>402</v>
      </c>
      <c r="AQ193" s="85" t="s">
        <v>1372</v>
      </c>
      <c r="AR193" s="128" t="s">
        <v>692</v>
      </c>
      <c r="AS193" s="67"/>
    </row>
    <row r="194" spans="1:45" ht="15">
      <c r="A194" s="238"/>
      <c r="B194" s="70"/>
      <c r="C194" s="412"/>
      <c r="D194" s="74"/>
      <c r="E194" s="104"/>
      <c r="F194" s="104"/>
      <c r="G194" s="104"/>
      <c r="H194" s="104"/>
      <c r="I194" s="129"/>
      <c r="J194" s="414"/>
      <c r="K194" s="401"/>
      <c r="L194" s="82"/>
      <c r="M194" s="85" t="s">
        <v>374</v>
      </c>
      <c r="N194" s="15" t="s">
        <v>442</v>
      </c>
      <c r="O194" s="429" t="s">
        <v>680</v>
      </c>
      <c r="P194" s="85" t="s">
        <v>402</v>
      </c>
      <c r="Q194" s="85" t="s">
        <v>402</v>
      </c>
      <c r="R194" s="102"/>
      <c r="S194" s="411" t="s">
        <v>1373</v>
      </c>
      <c r="T194" s="85" t="s">
        <v>402</v>
      </c>
      <c r="U194" s="85" t="s">
        <v>402</v>
      </c>
      <c r="V194" s="85" t="s">
        <v>402</v>
      </c>
      <c r="W194" s="85" t="s">
        <v>402</v>
      </c>
      <c r="X194" s="85" t="s">
        <v>355</v>
      </c>
      <c r="Y194" s="85" t="s">
        <v>355</v>
      </c>
      <c r="Z194" s="85" t="s">
        <v>402</v>
      </c>
      <c r="AA194" s="85" t="s">
        <v>402</v>
      </c>
      <c r="AB194" s="96"/>
      <c r="AC194" s="177" t="s">
        <v>402</v>
      </c>
      <c r="AD194" s="85" t="s">
        <v>511</v>
      </c>
      <c r="AE194" s="85" t="s">
        <v>385</v>
      </c>
      <c r="AF194" s="85" t="s">
        <v>385</v>
      </c>
      <c r="AG194" s="85" t="s">
        <v>385</v>
      </c>
      <c r="AH194" s="411"/>
      <c r="AI194" s="130" t="s">
        <v>1374</v>
      </c>
      <c r="AJ194" s="430" t="s">
        <v>1179</v>
      </c>
      <c r="AK194" s="431" t="s">
        <v>1227</v>
      </c>
      <c r="AL194" s="85" t="s">
        <v>385</v>
      </c>
      <c r="AM194" s="102"/>
      <c r="AN194" s="85"/>
      <c r="AO194" s="85"/>
      <c r="AP194" s="85"/>
      <c r="AQ194" s="85" t="s">
        <v>1375</v>
      </c>
      <c r="AR194" s="128"/>
      <c r="AS194" s="67"/>
    </row>
    <row r="195" spans="1:45" ht="15">
      <c r="A195" s="238"/>
      <c r="B195" s="70"/>
      <c r="C195" s="412"/>
      <c r="D195" s="74"/>
      <c r="E195" s="104"/>
      <c r="F195" s="104"/>
      <c r="G195" s="104"/>
      <c r="H195" s="104"/>
      <c r="I195" s="129"/>
      <c r="J195" s="414"/>
      <c r="K195" s="401"/>
      <c r="L195" s="82" t="s">
        <v>291</v>
      </c>
      <c r="M195" s="85" t="s">
        <v>374</v>
      </c>
      <c r="N195" s="15" t="s">
        <v>442</v>
      </c>
      <c r="O195" s="429"/>
      <c r="P195" s="85"/>
      <c r="Q195" s="85" t="s">
        <v>385</v>
      </c>
      <c r="R195" s="194" t="s">
        <v>815</v>
      </c>
      <c r="S195" s="411" t="s">
        <v>870</v>
      </c>
      <c r="T195" s="85" t="s">
        <v>402</v>
      </c>
      <c r="U195" s="85" t="s">
        <v>402</v>
      </c>
      <c r="V195" s="85" t="s">
        <v>402</v>
      </c>
      <c r="W195" s="85" t="s">
        <v>402</v>
      </c>
      <c r="X195" s="85" t="s">
        <v>355</v>
      </c>
      <c r="Y195" s="85" t="s">
        <v>355</v>
      </c>
      <c r="Z195" s="85" t="s">
        <v>402</v>
      </c>
      <c r="AA195" s="85" t="s">
        <v>402</v>
      </c>
      <c r="AB195" s="96"/>
      <c r="AC195" s="177" t="s">
        <v>402</v>
      </c>
      <c r="AD195" s="85"/>
      <c r="AE195" s="85" t="s">
        <v>385</v>
      </c>
      <c r="AF195" s="85" t="s">
        <v>385</v>
      </c>
      <c r="AG195" s="85" t="s">
        <v>385</v>
      </c>
      <c r="AH195" s="411" t="s">
        <v>1080</v>
      </c>
      <c r="AI195" s="130" t="s">
        <v>460</v>
      </c>
      <c r="AJ195" s="430" t="s">
        <v>1179</v>
      </c>
      <c r="AK195" s="431" t="s">
        <v>1227</v>
      </c>
      <c r="AL195" s="85" t="s">
        <v>385</v>
      </c>
      <c r="AM195" s="102" t="s">
        <v>1249</v>
      </c>
      <c r="AN195" s="85"/>
      <c r="AO195" s="85"/>
      <c r="AP195" s="85"/>
      <c r="AQ195" s="85" t="s">
        <v>1375</v>
      </c>
      <c r="AR195" s="128"/>
      <c r="AS195" s="67"/>
    </row>
    <row r="196" spans="1:45" ht="43">
      <c r="A196" s="238"/>
      <c r="B196" s="70" t="s">
        <v>356</v>
      </c>
      <c r="C196" s="412"/>
      <c r="D196" s="74" t="s">
        <v>492</v>
      </c>
      <c r="E196" s="76">
        <v>43575</v>
      </c>
      <c r="F196" s="78" t="s">
        <v>363</v>
      </c>
      <c r="G196" s="76">
        <v>43581</v>
      </c>
      <c r="H196" s="78" t="s">
        <v>355</v>
      </c>
      <c r="I196" s="129" t="s">
        <v>1376</v>
      </c>
      <c r="J196" s="414" t="s">
        <v>163</v>
      </c>
      <c r="K196" s="126" t="s">
        <v>786</v>
      </c>
      <c r="L196" s="82" t="s">
        <v>317</v>
      </c>
      <c r="M196" s="85" t="s">
        <v>385</v>
      </c>
      <c r="N196" s="420"/>
      <c r="O196" s="85" t="s">
        <v>680</v>
      </c>
      <c r="P196" s="85" t="s">
        <v>680</v>
      </c>
      <c r="Q196" s="85" t="s">
        <v>385</v>
      </c>
      <c r="R196" s="85" t="s">
        <v>402</v>
      </c>
      <c r="S196" s="96"/>
      <c r="T196" s="633" t="s">
        <v>402</v>
      </c>
      <c r="U196" s="85" t="s">
        <v>402</v>
      </c>
      <c r="V196" s="85" t="s">
        <v>402</v>
      </c>
      <c r="W196" s="85" t="s">
        <v>402</v>
      </c>
      <c r="X196" s="85" t="s">
        <v>402</v>
      </c>
      <c r="Y196" s="85" t="s">
        <v>402</v>
      </c>
      <c r="Z196" s="85" t="s">
        <v>402</v>
      </c>
      <c r="AA196" s="85" t="s">
        <v>402</v>
      </c>
      <c r="AB196" s="96"/>
      <c r="AC196" s="177" t="s">
        <v>402</v>
      </c>
      <c r="AD196" s="96"/>
      <c r="AE196" s="85" t="s">
        <v>385</v>
      </c>
      <c r="AF196" s="85" t="s">
        <v>385</v>
      </c>
      <c r="AG196" s="85" t="s">
        <v>385</v>
      </c>
      <c r="AH196" s="96"/>
      <c r="AI196" s="177" t="s">
        <v>1377</v>
      </c>
      <c r="AJ196" s="85" t="s">
        <v>402</v>
      </c>
      <c r="AK196" s="85" t="s">
        <v>402</v>
      </c>
      <c r="AL196" s="85" t="s">
        <v>385</v>
      </c>
      <c r="AM196" s="85" t="s">
        <v>402</v>
      </c>
      <c r="AN196" s="85" t="s">
        <v>402</v>
      </c>
      <c r="AO196" s="85" t="s">
        <v>402</v>
      </c>
      <c r="AP196" s="85" t="s">
        <v>402</v>
      </c>
      <c r="AQ196" s="85" t="s">
        <v>1378</v>
      </c>
      <c r="AR196" s="128" t="s">
        <v>725</v>
      </c>
      <c r="AS196" s="67"/>
    </row>
    <row r="197" spans="1:45" ht="15">
      <c r="A197" s="238"/>
      <c r="B197" s="70"/>
      <c r="C197" s="412"/>
      <c r="D197" s="74"/>
      <c r="E197" s="104"/>
      <c r="F197" s="104"/>
      <c r="G197" s="104"/>
      <c r="H197" s="104"/>
      <c r="I197" s="129"/>
      <c r="J197" s="414"/>
      <c r="K197" s="401"/>
      <c r="L197" s="82"/>
      <c r="M197" s="85"/>
      <c r="N197" s="432" t="s">
        <v>680</v>
      </c>
      <c r="O197" s="85"/>
      <c r="P197" s="85"/>
      <c r="Q197" s="85"/>
      <c r="R197" s="85"/>
      <c r="S197" s="85" t="s">
        <v>680</v>
      </c>
      <c r="T197" s="633"/>
      <c r="U197" s="85"/>
      <c r="V197" s="85"/>
      <c r="W197" s="85"/>
      <c r="X197" s="85"/>
      <c r="Y197" s="85"/>
      <c r="Z197" s="85"/>
      <c r="AA197" s="85"/>
      <c r="AB197" s="96"/>
      <c r="AC197" s="177"/>
      <c r="AD197" s="85" t="s">
        <v>511</v>
      </c>
      <c r="AE197" s="85"/>
      <c r="AF197" s="85"/>
      <c r="AG197" s="85"/>
      <c r="AH197" s="85" t="s">
        <v>511</v>
      </c>
      <c r="AI197" s="177" t="s">
        <v>530</v>
      </c>
      <c r="AJ197" s="85"/>
      <c r="AK197" s="85"/>
      <c r="AL197" s="85"/>
      <c r="AM197" s="85"/>
      <c r="AN197" s="85"/>
      <c r="AO197" s="85"/>
      <c r="AP197" s="85"/>
      <c r="AQ197" s="85" t="s">
        <v>1379</v>
      </c>
      <c r="AR197" s="128"/>
      <c r="AS197" s="67"/>
    </row>
    <row r="198" spans="1:45" ht="15">
      <c r="A198" s="238"/>
      <c r="B198" s="70"/>
      <c r="C198" s="412"/>
      <c r="D198" s="74"/>
      <c r="E198" s="104"/>
      <c r="F198" s="104"/>
      <c r="G198" s="104"/>
      <c r="H198" s="104"/>
      <c r="I198" s="129"/>
      <c r="J198" s="414"/>
      <c r="K198" s="401"/>
      <c r="L198" s="82" t="s">
        <v>317</v>
      </c>
      <c r="M198" s="85" t="s">
        <v>385</v>
      </c>
      <c r="N198" s="432"/>
      <c r="O198" s="85"/>
      <c r="P198" s="85"/>
      <c r="Q198" s="85" t="s">
        <v>385</v>
      </c>
      <c r="R198" s="85"/>
      <c r="S198" s="85"/>
      <c r="T198" s="633"/>
      <c r="U198" s="85" t="s">
        <v>402</v>
      </c>
      <c r="V198" s="85" t="s">
        <v>402</v>
      </c>
      <c r="W198" s="85" t="s">
        <v>402</v>
      </c>
      <c r="X198" s="85" t="s">
        <v>402</v>
      </c>
      <c r="Y198" s="85" t="s">
        <v>402</v>
      </c>
      <c r="Z198" s="85" t="s">
        <v>402</v>
      </c>
      <c r="AA198" s="85" t="s">
        <v>402</v>
      </c>
      <c r="AB198" s="96"/>
      <c r="AC198" s="85" t="s">
        <v>402</v>
      </c>
      <c r="AD198" s="85"/>
      <c r="AE198" s="85" t="s">
        <v>385</v>
      </c>
      <c r="AF198" s="85" t="s">
        <v>385</v>
      </c>
      <c r="AG198" s="85" t="s">
        <v>385</v>
      </c>
      <c r="AH198" s="85"/>
      <c r="AI198" s="177" t="s">
        <v>530</v>
      </c>
      <c r="AJ198" s="85"/>
      <c r="AK198" s="85" t="s">
        <v>402</v>
      </c>
      <c r="AL198" s="85" t="s">
        <v>385</v>
      </c>
      <c r="AM198" s="85"/>
      <c r="AN198" s="85"/>
      <c r="AO198" s="85"/>
      <c r="AP198" s="85"/>
      <c r="AQ198" s="85"/>
      <c r="AR198" s="128"/>
      <c r="AS198" s="67"/>
    </row>
    <row r="199" spans="1:45" ht="71">
      <c r="A199" s="238"/>
      <c r="B199" s="70" t="s">
        <v>356</v>
      </c>
      <c r="C199" s="412"/>
      <c r="D199" s="74" t="s">
        <v>363</v>
      </c>
      <c r="E199" s="76">
        <v>43572</v>
      </c>
      <c r="F199" s="78" t="s">
        <v>360</v>
      </c>
      <c r="G199" s="76">
        <v>43581</v>
      </c>
      <c r="H199" s="78" t="s">
        <v>355</v>
      </c>
      <c r="I199" s="129" t="s">
        <v>1380</v>
      </c>
      <c r="J199" s="414" t="s">
        <v>164</v>
      </c>
      <c r="K199" s="126" t="s">
        <v>524</v>
      </c>
      <c r="L199" s="82" t="s">
        <v>291</v>
      </c>
      <c r="M199" s="85" t="s">
        <v>382</v>
      </c>
      <c r="N199" s="411" t="s">
        <v>518</v>
      </c>
      <c r="O199" s="85" t="s">
        <v>680</v>
      </c>
      <c r="P199" s="91" t="s">
        <v>717</v>
      </c>
      <c r="Q199" s="85" t="s">
        <v>385</v>
      </c>
      <c r="R199" s="85" t="s">
        <v>763</v>
      </c>
      <c r="S199" s="91" t="s">
        <v>764</v>
      </c>
      <c r="T199" s="85" t="s">
        <v>355</v>
      </c>
      <c r="U199" s="85" t="s">
        <v>355</v>
      </c>
      <c r="V199" s="85" t="s">
        <v>355</v>
      </c>
      <c r="W199" s="85" t="s">
        <v>355</v>
      </c>
      <c r="X199" s="85" t="s">
        <v>355</v>
      </c>
      <c r="Y199" s="85" t="s">
        <v>355</v>
      </c>
      <c r="Z199" s="85" t="s">
        <v>355</v>
      </c>
      <c r="AA199" s="85" t="s">
        <v>355</v>
      </c>
      <c r="AB199" s="85" t="s">
        <v>938</v>
      </c>
      <c r="AC199" s="177" t="s">
        <v>863</v>
      </c>
      <c r="AD199" s="91" t="s">
        <v>544</v>
      </c>
      <c r="AE199" s="85" t="s">
        <v>385</v>
      </c>
      <c r="AF199" s="85" t="s">
        <v>385</v>
      </c>
      <c r="AG199" s="85" t="s">
        <v>385</v>
      </c>
      <c r="AH199" s="91" t="s">
        <v>766</v>
      </c>
      <c r="AI199" s="177" t="s">
        <v>1306</v>
      </c>
      <c r="AJ199" s="85" t="s">
        <v>402</v>
      </c>
      <c r="AK199" s="633" t="s">
        <v>402</v>
      </c>
      <c r="AL199" s="85" t="s">
        <v>385</v>
      </c>
      <c r="AM199" s="85" t="s">
        <v>402</v>
      </c>
      <c r="AN199" s="85" t="s">
        <v>768</v>
      </c>
      <c r="AO199" s="85" t="s">
        <v>402</v>
      </c>
      <c r="AP199" s="85" t="s">
        <v>402</v>
      </c>
      <c r="AQ199" s="85" t="s">
        <v>1381</v>
      </c>
      <c r="AR199" s="128" t="s">
        <v>725</v>
      </c>
      <c r="AS199" s="67"/>
    </row>
    <row r="200" spans="1:45" ht="15">
      <c r="A200" s="238"/>
      <c r="B200" s="70"/>
      <c r="C200" s="412"/>
      <c r="D200" s="74"/>
      <c r="E200" s="104"/>
      <c r="F200" s="104"/>
      <c r="G200" s="104"/>
      <c r="H200" s="104"/>
      <c r="I200" s="129"/>
      <c r="J200" s="401"/>
      <c r="K200" s="384"/>
      <c r="L200" s="84"/>
      <c r="M200" s="85"/>
      <c r="N200" s="411"/>
      <c r="O200" s="85"/>
      <c r="P200" s="85"/>
      <c r="Q200" s="85"/>
      <c r="R200" s="85"/>
      <c r="S200" s="85"/>
      <c r="T200" s="85"/>
      <c r="U200" s="85"/>
      <c r="V200" s="85"/>
      <c r="W200" s="85"/>
      <c r="X200" s="85"/>
      <c r="Y200" s="85"/>
      <c r="Z200" s="85"/>
      <c r="AA200" s="85"/>
      <c r="AB200" s="85"/>
      <c r="AC200" s="177"/>
      <c r="AD200" s="85"/>
      <c r="AE200" s="85"/>
      <c r="AF200" s="85"/>
      <c r="AG200" s="85"/>
      <c r="AH200" s="15" t="s">
        <v>1081</v>
      </c>
      <c r="AI200" s="177" t="s">
        <v>1157</v>
      </c>
      <c r="AJ200" s="85" t="s">
        <v>1180</v>
      </c>
      <c r="AK200" s="633"/>
      <c r="AL200" s="85" t="s">
        <v>385</v>
      </c>
      <c r="AM200" s="85" t="s">
        <v>402</v>
      </c>
      <c r="AN200" s="85" t="s">
        <v>402</v>
      </c>
      <c r="AO200" s="85"/>
      <c r="AP200" s="85"/>
      <c r="AQ200" s="85"/>
      <c r="AR200" s="128"/>
      <c r="AS200" s="67"/>
    </row>
    <row r="201" spans="1:45" ht="15">
      <c r="A201" s="394"/>
      <c r="B201" s="164"/>
      <c r="C201" s="423"/>
      <c r="D201" s="166"/>
      <c r="E201" s="167"/>
      <c r="F201" s="167"/>
      <c r="G201" s="167"/>
      <c r="H201" s="167"/>
      <c r="I201" s="168"/>
      <c r="J201" s="425"/>
      <c r="K201" s="425"/>
      <c r="L201" s="426" t="s">
        <v>291</v>
      </c>
      <c r="M201" s="112" t="s">
        <v>382</v>
      </c>
      <c r="N201" s="428" t="s">
        <v>518</v>
      </c>
      <c r="O201" s="112" t="s">
        <v>680</v>
      </c>
      <c r="P201" s="120" t="s">
        <v>717</v>
      </c>
      <c r="Q201" s="112" t="s">
        <v>385</v>
      </c>
      <c r="R201" s="112" t="s">
        <v>763</v>
      </c>
      <c r="S201" s="120" t="s">
        <v>764</v>
      </c>
      <c r="T201" s="112" t="s">
        <v>355</v>
      </c>
      <c r="U201" s="112" t="s">
        <v>355</v>
      </c>
      <c r="V201" s="112" t="s">
        <v>355</v>
      </c>
      <c r="W201" s="112" t="s">
        <v>355</v>
      </c>
      <c r="X201" s="112" t="s">
        <v>355</v>
      </c>
      <c r="Y201" s="112" t="s">
        <v>355</v>
      </c>
      <c r="Z201" s="112" t="s">
        <v>355</v>
      </c>
      <c r="AA201" s="112" t="s">
        <v>355</v>
      </c>
      <c r="AB201" s="112" t="s">
        <v>938</v>
      </c>
      <c r="AC201" s="178" t="s">
        <v>863</v>
      </c>
      <c r="AD201" s="120" t="s">
        <v>544</v>
      </c>
      <c r="AE201" s="112" t="s">
        <v>385</v>
      </c>
      <c r="AF201" s="112" t="s">
        <v>385</v>
      </c>
      <c r="AG201" s="112" t="s">
        <v>385</v>
      </c>
      <c r="AH201" s="171" t="s">
        <v>1081</v>
      </c>
      <c r="AI201" s="132" t="s">
        <v>630</v>
      </c>
      <c r="AJ201" s="112" t="s">
        <v>1180</v>
      </c>
      <c r="AK201" s="634"/>
      <c r="AL201" s="112" t="s">
        <v>385</v>
      </c>
      <c r="AM201" s="112"/>
      <c r="AN201" s="112"/>
      <c r="AO201" s="112"/>
      <c r="AP201" s="112"/>
      <c r="AQ201" s="112" t="s">
        <v>1381</v>
      </c>
      <c r="AR201" s="139"/>
      <c r="AS201" s="140"/>
    </row>
    <row r="202" spans="1:45" ht="43">
      <c r="A202" s="379"/>
      <c r="B202" s="70" t="s">
        <v>356</v>
      </c>
      <c r="C202" s="72">
        <v>43441</v>
      </c>
      <c r="D202" s="74" t="s">
        <v>363</v>
      </c>
      <c r="E202" s="76">
        <v>43572</v>
      </c>
      <c r="F202" s="78" t="s">
        <v>360</v>
      </c>
      <c r="G202" s="76">
        <v>43581</v>
      </c>
      <c r="H202" s="78" t="s">
        <v>355</v>
      </c>
      <c r="I202" s="129" t="s">
        <v>1382</v>
      </c>
      <c r="J202" s="380" t="s">
        <v>165</v>
      </c>
      <c r="K202" s="126" t="s">
        <v>876</v>
      </c>
      <c r="L202" s="84" t="s">
        <v>318</v>
      </c>
      <c r="M202" s="85" t="s">
        <v>374</v>
      </c>
      <c r="N202" s="614" t="s">
        <v>519</v>
      </c>
      <c r="O202" s="613"/>
      <c r="P202" s="96"/>
      <c r="Q202" s="85" t="s">
        <v>385</v>
      </c>
      <c r="R202" s="433" t="s">
        <v>817</v>
      </c>
      <c r="S202" s="91" t="s">
        <v>519</v>
      </c>
      <c r="T202" s="85" t="s">
        <v>355</v>
      </c>
      <c r="U202" s="85" t="s">
        <v>402</v>
      </c>
      <c r="V202" s="85" t="s">
        <v>402</v>
      </c>
      <c r="W202" s="85" t="s">
        <v>355</v>
      </c>
      <c r="X202" s="85" t="s">
        <v>402</v>
      </c>
      <c r="Y202" s="85" t="s">
        <v>404</v>
      </c>
      <c r="Z202" s="85" t="s">
        <v>355</v>
      </c>
      <c r="AA202" s="85" t="s">
        <v>402</v>
      </c>
      <c r="AB202" s="177" t="s">
        <v>939</v>
      </c>
      <c r="AC202" s="177" t="s">
        <v>402</v>
      </c>
      <c r="AD202" s="96"/>
      <c r="AE202" s="85" t="s">
        <v>385</v>
      </c>
      <c r="AF202" s="85" t="s">
        <v>385</v>
      </c>
      <c r="AG202" s="85" t="s">
        <v>385</v>
      </c>
      <c r="AH202" s="91" t="s">
        <v>1082</v>
      </c>
      <c r="AI202" s="177" t="s">
        <v>529</v>
      </c>
      <c r="AJ202" s="85" t="s">
        <v>402</v>
      </c>
      <c r="AK202" s="85" t="s">
        <v>402</v>
      </c>
      <c r="AL202" s="85" t="s">
        <v>355</v>
      </c>
      <c r="AM202" s="85" t="s">
        <v>1251</v>
      </c>
      <c r="AN202" s="85" t="s">
        <v>402</v>
      </c>
      <c r="AO202" s="85" t="s">
        <v>1383</v>
      </c>
      <c r="AP202" s="85" t="s">
        <v>402</v>
      </c>
      <c r="AQ202" s="85" t="s">
        <v>1384</v>
      </c>
      <c r="AR202" s="128" t="s">
        <v>453</v>
      </c>
      <c r="AS202" s="67"/>
    </row>
    <row r="203" spans="1:45" ht="15">
      <c r="A203" s="379"/>
      <c r="B203" s="70"/>
      <c r="C203" s="72"/>
      <c r="D203" s="74"/>
      <c r="E203" s="104"/>
      <c r="F203" s="104"/>
      <c r="G203" s="104"/>
      <c r="H203" s="104"/>
      <c r="I203" s="129"/>
      <c r="J203" s="380"/>
      <c r="K203" s="386"/>
      <c r="L203" s="84"/>
      <c r="M203" s="85"/>
      <c r="N203" s="85"/>
      <c r="O203" s="85"/>
      <c r="P203" s="96"/>
      <c r="Q203" s="85"/>
      <c r="R203" s="433"/>
      <c r="S203" s="85"/>
      <c r="T203" s="85"/>
      <c r="U203" s="85"/>
      <c r="V203" s="85"/>
      <c r="W203" s="85"/>
      <c r="X203" s="85"/>
      <c r="Y203" s="85" t="s">
        <v>403</v>
      </c>
      <c r="Z203" s="85"/>
      <c r="AA203" s="85"/>
      <c r="AB203" s="177"/>
      <c r="AC203" s="177"/>
      <c r="AD203" s="96"/>
      <c r="AE203" s="85"/>
      <c r="AF203" s="85"/>
      <c r="AG203" s="85"/>
      <c r="AH203" s="85"/>
      <c r="AI203" s="177"/>
      <c r="AJ203" s="85"/>
      <c r="AK203" s="85"/>
      <c r="AL203" s="85"/>
      <c r="AM203" s="85"/>
      <c r="AN203" s="85"/>
      <c r="AO203" s="85"/>
      <c r="AP203" s="85"/>
      <c r="AQ203" s="85"/>
      <c r="AR203" s="128"/>
      <c r="AS203" s="67"/>
    </row>
    <row r="204" spans="1:45" ht="15">
      <c r="A204" s="388"/>
      <c r="B204" s="164"/>
      <c r="C204" s="165"/>
      <c r="D204" s="166"/>
      <c r="E204" s="167"/>
      <c r="F204" s="167"/>
      <c r="G204" s="167"/>
      <c r="H204" s="167"/>
      <c r="I204" s="168"/>
      <c r="J204" s="390"/>
      <c r="K204" s="391"/>
      <c r="L204" s="124" t="s">
        <v>318</v>
      </c>
      <c r="M204" s="112" t="s">
        <v>374</v>
      </c>
      <c r="N204" s="120" t="s">
        <v>519</v>
      </c>
      <c r="O204" s="112"/>
      <c r="P204" s="116"/>
      <c r="Q204" s="112" t="s">
        <v>385</v>
      </c>
      <c r="R204" s="434" t="s">
        <v>817</v>
      </c>
      <c r="S204" s="120" t="s">
        <v>519</v>
      </c>
      <c r="T204" s="112" t="s">
        <v>355</v>
      </c>
      <c r="U204" s="112" t="s">
        <v>402</v>
      </c>
      <c r="V204" s="112" t="s">
        <v>402</v>
      </c>
      <c r="W204" s="112" t="s">
        <v>355</v>
      </c>
      <c r="X204" s="112" t="s">
        <v>402</v>
      </c>
      <c r="Y204" s="112" t="s">
        <v>403</v>
      </c>
      <c r="Z204" s="112" t="s">
        <v>355</v>
      </c>
      <c r="AA204" s="112" t="s">
        <v>402</v>
      </c>
      <c r="AB204" s="178" t="s">
        <v>939</v>
      </c>
      <c r="AC204" s="178"/>
      <c r="AD204" s="116"/>
      <c r="AE204" s="112" t="s">
        <v>385</v>
      </c>
      <c r="AF204" s="112" t="s">
        <v>385</v>
      </c>
      <c r="AG204" s="112" t="s">
        <v>385</v>
      </c>
      <c r="AH204" s="120" t="s">
        <v>1082</v>
      </c>
      <c r="AI204" s="178" t="s">
        <v>477</v>
      </c>
      <c r="AJ204" s="112"/>
      <c r="AK204" s="112" t="s">
        <v>402</v>
      </c>
      <c r="AL204" s="112" t="s">
        <v>355</v>
      </c>
      <c r="AM204" s="112" t="s">
        <v>1251</v>
      </c>
      <c r="AN204" s="112"/>
      <c r="AO204" s="112"/>
      <c r="AP204" s="112"/>
      <c r="AQ204" s="112" t="s">
        <v>1384</v>
      </c>
      <c r="AR204" s="139"/>
      <c r="AS204" s="140"/>
    </row>
    <row r="205" spans="1:45" ht="15">
      <c r="A205" s="379"/>
      <c r="B205" s="70" t="s">
        <v>356</v>
      </c>
      <c r="C205" s="72">
        <v>43441</v>
      </c>
      <c r="D205" s="74" t="s">
        <v>363</v>
      </c>
      <c r="E205" s="76">
        <v>43572</v>
      </c>
      <c r="F205" s="78" t="s">
        <v>360</v>
      </c>
      <c r="G205" s="76">
        <v>43581</v>
      </c>
      <c r="H205" s="78" t="s">
        <v>355</v>
      </c>
      <c r="I205" s="129" t="s">
        <v>1385</v>
      </c>
      <c r="J205" s="380" t="s">
        <v>166</v>
      </c>
      <c r="K205" s="386"/>
      <c r="L205" s="84" t="s">
        <v>319</v>
      </c>
      <c r="M205" s="85" t="s">
        <v>385</v>
      </c>
      <c r="N205" s="614" t="s">
        <v>522</v>
      </c>
      <c r="O205" s="613"/>
      <c r="P205" s="96"/>
      <c r="Q205" s="633"/>
      <c r="R205" s="177" t="s">
        <v>818</v>
      </c>
      <c r="S205" s="91" t="s">
        <v>871</v>
      </c>
      <c r="T205" s="85" t="s">
        <v>402</v>
      </c>
      <c r="U205" s="85" t="s">
        <v>402</v>
      </c>
      <c r="V205" s="85" t="s">
        <v>402</v>
      </c>
      <c r="W205" s="85" t="s">
        <v>402</v>
      </c>
      <c r="X205" s="85" t="s">
        <v>402</v>
      </c>
      <c r="Y205" s="85" t="s">
        <v>402</v>
      </c>
      <c r="Z205" s="85" t="s">
        <v>402</v>
      </c>
      <c r="AA205" s="85" t="s">
        <v>402</v>
      </c>
      <c r="AB205" s="96"/>
      <c r="AC205" s="177" t="s">
        <v>402</v>
      </c>
      <c r="AD205" s="96"/>
      <c r="AE205" s="85" t="s">
        <v>385</v>
      </c>
      <c r="AF205" s="85" t="s">
        <v>385</v>
      </c>
      <c r="AG205" s="85" t="s">
        <v>385</v>
      </c>
      <c r="AH205" s="91" t="s">
        <v>774</v>
      </c>
      <c r="AI205" s="177" t="s">
        <v>652</v>
      </c>
      <c r="AJ205" s="85" t="s">
        <v>1386</v>
      </c>
      <c r="AK205" s="85" t="s">
        <v>402</v>
      </c>
      <c r="AL205" s="85" t="s">
        <v>385</v>
      </c>
      <c r="AM205" s="85" t="s">
        <v>402</v>
      </c>
      <c r="AN205" s="85" t="s">
        <v>768</v>
      </c>
      <c r="AO205" s="85" t="s">
        <v>402</v>
      </c>
      <c r="AP205" s="85" t="s">
        <v>402</v>
      </c>
      <c r="AQ205" s="85" t="s">
        <v>1387</v>
      </c>
      <c r="AR205" s="128" t="s">
        <v>1147</v>
      </c>
      <c r="AS205" s="67"/>
    </row>
    <row r="206" spans="1:45" ht="16.5" customHeight="1">
      <c r="A206" s="379"/>
      <c r="B206" s="70"/>
      <c r="C206" s="72"/>
      <c r="D206" s="74"/>
      <c r="E206" s="104"/>
      <c r="F206" s="104"/>
      <c r="G206" s="104"/>
      <c r="H206" s="104"/>
      <c r="I206" s="129"/>
      <c r="J206" s="380"/>
      <c r="K206" s="386"/>
      <c r="L206" s="84"/>
      <c r="M206" s="85"/>
      <c r="N206" s="85"/>
      <c r="O206" s="85"/>
      <c r="P206" s="96"/>
      <c r="Q206" s="633" t="s">
        <v>385</v>
      </c>
      <c r="R206" s="177"/>
      <c r="S206" s="85"/>
      <c r="T206" s="85"/>
      <c r="U206" s="85"/>
      <c r="V206" s="85"/>
      <c r="W206" s="85"/>
      <c r="X206" s="85"/>
      <c r="Y206" s="85"/>
      <c r="Z206" s="85"/>
      <c r="AA206" s="85"/>
      <c r="AB206" s="96"/>
      <c r="AC206" s="177"/>
      <c r="AD206" s="96"/>
      <c r="AE206" s="85"/>
      <c r="AF206" s="85"/>
      <c r="AG206" s="85"/>
      <c r="AH206" s="15" t="s">
        <v>1388</v>
      </c>
      <c r="AI206" s="177" t="s">
        <v>385</v>
      </c>
      <c r="AJ206" s="85" t="s">
        <v>1181</v>
      </c>
      <c r="AK206" s="85"/>
      <c r="AL206" s="85"/>
      <c r="AM206" s="85"/>
      <c r="AN206" s="85" t="s">
        <v>402</v>
      </c>
      <c r="AO206" s="85"/>
      <c r="AP206" s="85"/>
      <c r="AQ206" s="85"/>
      <c r="AR206" s="128"/>
      <c r="AS206" s="67"/>
    </row>
    <row r="207" spans="1:45" ht="18.75" customHeight="1">
      <c r="A207" s="388"/>
      <c r="B207" s="164"/>
      <c r="C207" s="165"/>
      <c r="D207" s="166"/>
      <c r="E207" s="167"/>
      <c r="F207" s="167"/>
      <c r="G207" s="167"/>
      <c r="H207" s="167"/>
      <c r="I207" s="168"/>
      <c r="J207" s="390"/>
      <c r="K207" s="391"/>
      <c r="L207" s="124" t="s">
        <v>319</v>
      </c>
      <c r="M207" s="112" t="s">
        <v>385</v>
      </c>
      <c r="N207" s="120" t="s">
        <v>522</v>
      </c>
      <c r="O207" s="112"/>
      <c r="P207" s="116"/>
      <c r="Q207" s="634"/>
      <c r="R207" s="178" t="s">
        <v>818</v>
      </c>
      <c r="S207" s="120" t="s">
        <v>871</v>
      </c>
      <c r="T207" s="112" t="s">
        <v>402</v>
      </c>
      <c r="U207" s="112" t="s">
        <v>402</v>
      </c>
      <c r="V207" s="112" t="s">
        <v>402</v>
      </c>
      <c r="W207" s="112" t="s">
        <v>402</v>
      </c>
      <c r="X207" s="112" t="s">
        <v>402</v>
      </c>
      <c r="Y207" s="112" t="s">
        <v>402</v>
      </c>
      <c r="Z207" s="112" t="s">
        <v>402</v>
      </c>
      <c r="AA207" s="112" t="s">
        <v>402</v>
      </c>
      <c r="AB207" s="116"/>
      <c r="AC207" s="178"/>
      <c r="AD207" s="116"/>
      <c r="AE207" s="112" t="s">
        <v>385</v>
      </c>
      <c r="AF207" s="112" t="s">
        <v>385</v>
      </c>
      <c r="AG207" s="112" t="s">
        <v>385</v>
      </c>
      <c r="AH207" s="120" t="s">
        <v>774</v>
      </c>
      <c r="AI207" s="178" t="s">
        <v>385</v>
      </c>
      <c r="AJ207" s="112" t="s">
        <v>1181</v>
      </c>
      <c r="AK207" s="112" t="s">
        <v>402</v>
      </c>
      <c r="AL207" s="112" t="s">
        <v>385</v>
      </c>
      <c r="AM207" s="112"/>
      <c r="AN207" s="112"/>
      <c r="AO207" s="112"/>
      <c r="AP207" s="112"/>
      <c r="AQ207" s="112" t="s">
        <v>1387</v>
      </c>
      <c r="AR207" s="139"/>
      <c r="AS207" s="140"/>
    </row>
    <row r="208" spans="1:45" ht="71">
      <c r="A208" s="379"/>
      <c r="B208" s="70" t="s">
        <v>356</v>
      </c>
      <c r="C208" s="72">
        <v>43441</v>
      </c>
      <c r="D208" s="74" t="s">
        <v>363</v>
      </c>
      <c r="E208" s="76">
        <v>43572</v>
      </c>
      <c r="F208" s="78" t="s">
        <v>360</v>
      </c>
      <c r="G208" s="76">
        <v>43581</v>
      </c>
      <c r="H208" s="78" t="s">
        <v>355</v>
      </c>
      <c r="I208" s="129" t="s">
        <v>1389</v>
      </c>
      <c r="J208" s="380" t="s">
        <v>167</v>
      </c>
      <c r="K208" s="126" t="s">
        <v>524</v>
      </c>
      <c r="L208" s="84" t="s">
        <v>291</v>
      </c>
      <c r="M208" s="85" t="s">
        <v>382</v>
      </c>
      <c r="N208" s="614" t="s">
        <v>526</v>
      </c>
      <c r="O208" s="613"/>
      <c r="P208" s="635" t="s">
        <v>717</v>
      </c>
      <c r="Q208" s="636"/>
      <c r="R208" s="85" t="s">
        <v>763</v>
      </c>
      <c r="S208" s="91" t="s">
        <v>764</v>
      </c>
      <c r="T208" s="85" t="s">
        <v>355</v>
      </c>
      <c r="U208" s="85" t="s">
        <v>355</v>
      </c>
      <c r="V208" s="85" t="s">
        <v>355</v>
      </c>
      <c r="W208" s="85" t="s">
        <v>355</v>
      </c>
      <c r="X208" s="85" t="s">
        <v>355</v>
      </c>
      <c r="Y208" s="85" t="s">
        <v>355</v>
      </c>
      <c r="Z208" s="85" t="s">
        <v>355</v>
      </c>
      <c r="AA208" s="85" t="s">
        <v>355</v>
      </c>
      <c r="AB208" s="85" t="s">
        <v>938</v>
      </c>
      <c r="AC208" s="177" t="s">
        <v>863</v>
      </c>
      <c r="AD208" s="91" t="s">
        <v>544</v>
      </c>
      <c r="AE208" s="85" t="s">
        <v>385</v>
      </c>
      <c r="AF208" s="85" t="s">
        <v>385</v>
      </c>
      <c r="AG208" s="85" t="s">
        <v>385</v>
      </c>
      <c r="AH208" s="91" t="s">
        <v>766</v>
      </c>
      <c r="AI208" s="177" t="s">
        <v>1306</v>
      </c>
      <c r="AJ208" s="85" t="s">
        <v>402</v>
      </c>
      <c r="AK208" s="85" t="s">
        <v>402</v>
      </c>
      <c r="AL208" s="85" t="s">
        <v>385</v>
      </c>
      <c r="AM208" s="85" t="s">
        <v>402</v>
      </c>
      <c r="AN208" s="85" t="s">
        <v>768</v>
      </c>
      <c r="AO208" s="85" t="s">
        <v>402</v>
      </c>
      <c r="AP208" s="85" t="s">
        <v>402</v>
      </c>
      <c r="AQ208" s="85" t="s">
        <v>1390</v>
      </c>
      <c r="AR208" s="128" t="s">
        <v>725</v>
      </c>
      <c r="AS208" s="29" t="s">
        <v>1391</v>
      </c>
    </row>
    <row r="209" spans="1:45" ht="15">
      <c r="A209" s="379"/>
      <c r="B209" s="70"/>
      <c r="C209" s="72"/>
      <c r="D209" s="74"/>
      <c r="E209" s="104"/>
      <c r="F209" s="104"/>
      <c r="G209" s="104"/>
      <c r="H209" s="104"/>
      <c r="I209" s="129"/>
      <c r="J209" s="380"/>
      <c r="K209" s="386"/>
      <c r="L209" s="84"/>
      <c r="M209" s="85"/>
      <c r="N209" s="85"/>
      <c r="O209" s="85"/>
      <c r="P209" s="85"/>
      <c r="Q209" s="633"/>
      <c r="R209" s="85"/>
      <c r="S209" s="85"/>
      <c r="T209" s="85"/>
      <c r="U209" s="85"/>
      <c r="V209" s="85"/>
      <c r="W209" s="85"/>
      <c r="X209" s="85"/>
      <c r="Y209" s="85"/>
      <c r="Z209" s="85"/>
      <c r="AA209" s="85"/>
      <c r="AB209" s="85"/>
      <c r="AC209" s="177"/>
      <c r="AD209" s="85"/>
      <c r="AE209" s="85"/>
      <c r="AF209" s="85"/>
      <c r="AG209" s="85"/>
      <c r="AH209" s="91" t="s">
        <v>774</v>
      </c>
      <c r="AI209" s="177" t="s">
        <v>530</v>
      </c>
      <c r="AJ209" s="85"/>
      <c r="AK209" s="85"/>
      <c r="AL209" s="85"/>
      <c r="AM209" s="85"/>
      <c r="AN209" s="85" t="s">
        <v>402</v>
      </c>
      <c r="AO209" s="85"/>
      <c r="AP209" s="85"/>
      <c r="AQ209" s="85"/>
      <c r="AR209" s="128"/>
      <c r="AS209" s="67"/>
    </row>
    <row r="210" spans="1:45" ht="15">
      <c r="A210" s="388"/>
      <c r="B210" s="164"/>
      <c r="C210" s="165"/>
      <c r="D210" s="166"/>
      <c r="E210" s="167"/>
      <c r="F210" s="167"/>
      <c r="G210" s="167"/>
      <c r="H210" s="167"/>
      <c r="I210" s="168"/>
      <c r="J210" s="390"/>
      <c r="K210" s="391"/>
      <c r="L210" s="124" t="s">
        <v>291</v>
      </c>
      <c r="M210" s="112" t="s">
        <v>382</v>
      </c>
      <c r="N210" s="120" t="s">
        <v>526</v>
      </c>
      <c r="O210" s="112"/>
      <c r="P210" s="637" t="s">
        <v>717</v>
      </c>
      <c r="Q210" s="634"/>
      <c r="R210" s="112" t="s">
        <v>763</v>
      </c>
      <c r="S210" s="120" t="s">
        <v>764</v>
      </c>
      <c r="T210" s="112" t="s">
        <v>355</v>
      </c>
      <c r="U210" s="112" t="s">
        <v>355</v>
      </c>
      <c r="V210" s="112" t="s">
        <v>355</v>
      </c>
      <c r="W210" s="112" t="s">
        <v>355</v>
      </c>
      <c r="X210" s="112" t="s">
        <v>355</v>
      </c>
      <c r="Y210" s="112" t="s">
        <v>355</v>
      </c>
      <c r="Z210" s="112" t="s">
        <v>355</v>
      </c>
      <c r="AA210" s="112" t="s">
        <v>355</v>
      </c>
      <c r="AB210" s="112" t="s">
        <v>938</v>
      </c>
      <c r="AC210" s="178" t="s">
        <v>863</v>
      </c>
      <c r="AD210" s="120" t="s">
        <v>544</v>
      </c>
      <c r="AE210" s="112" t="s">
        <v>385</v>
      </c>
      <c r="AF210" s="112" t="s">
        <v>385</v>
      </c>
      <c r="AG210" s="112" t="s">
        <v>385</v>
      </c>
      <c r="AH210" s="120" t="s">
        <v>774</v>
      </c>
      <c r="AI210" s="178" t="s">
        <v>530</v>
      </c>
      <c r="AJ210" s="112"/>
      <c r="AK210" s="112" t="s">
        <v>402</v>
      </c>
      <c r="AL210" s="112" t="s">
        <v>385</v>
      </c>
      <c r="AM210" s="112"/>
      <c r="AN210" s="112"/>
      <c r="AO210" s="112"/>
      <c r="AP210" s="112"/>
      <c r="AQ210" s="112" t="s">
        <v>1390</v>
      </c>
      <c r="AR210" s="139" t="s">
        <v>725</v>
      </c>
      <c r="AS210" s="140"/>
    </row>
    <row r="211" spans="1:45" ht="15">
      <c r="A211" s="379"/>
      <c r="B211" s="70" t="s">
        <v>356</v>
      </c>
      <c r="C211" s="72">
        <v>43441</v>
      </c>
      <c r="D211" s="74" t="s">
        <v>658</v>
      </c>
      <c r="E211" s="182">
        <v>43571</v>
      </c>
      <c r="F211" s="78" t="s">
        <v>360</v>
      </c>
      <c r="G211" s="76">
        <v>43581</v>
      </c>
      <c r="H211" s="78" t="s">
        <v>355</v>
      </c>
      <c r="I211" s="129" t="s">
        <v>1392</v>
      </c>
      <c r="J211" s="380" t="s">
        <v>168</v>
      </c>
      <c r="K211" s="386" t="s">
        <v>1393</v>
      </c>
      <c r="L211" s="84" t="s">
        <v>320</v>
      </c>
      <c r="M211" s="85" t="s">
        <v>382</v>
      </c>
      <c r="N211" s="614" t="s">
        <v>527</v>
      </c>
      <c r="O211" s="613"/>
      <c r="P211" s="91" t="s">
        <v>527</v>
      </c>
      <c r="Q211" s="85" t="s">
        <v>354</v>
      </c>
      <c r="R211" s="85" t="s">
        <v>402</v>
      </c>
      <c r="S211" s="96"/>
      <c r="T211" s="85" t="s">
        <v>355</v>
      </c>
      <c r="U211" s="85" t="s">
        <v>402</v>
      </c>
      <c r="V211" s="85" t="s">
        <v>402</v>
      </c>
      <c r="W211" s="85" t="s">
        <v>402</v>
      </c>
      <c r="X211" s="85" t="s">
        <v>404</v>
      </c>
      <c r="Y211" s="85" t="s">
        <v>402</v>
      </c>
      <c r="Z211" s="85" t="s">
        <v>402</v>
      </c>
      <c r="AA211" s="85" t="s">
        <v>402</v>
      </c>
      <c r="AB211" s="96"/>
      <c r="AC211" s="177" t="s">
        <v>402</v>
      </c>
      <c r="AD211" s="96"/>
      <c r="AE211" s="85" t="s">
        <v>385</v>
      </c>
      <c r="AF211" s="85" t="s">
        <v>385</v>
      </c>
      <c r="AG211" s="85" t="s">
        <v>385</v>
      </c>
      <c r="AH211" s="96"/>
      <c r="AI211" s="177" t="s">
        <v>530</v>
      </c>
      <c r="AJ211" s="85" t="s">
        <v>402</v>
      </c>
      <c r="AK211" s="85" t="s">
        <v>402</v>
      </c>
      <c r="AL211" s="85" t="s">
        <v>385</v>
      </c>
      <c r="AM211" s="85" t="s">
        <v>402</v>
      </c>
      <c r="AN211" s="85" t="s">
        <v>402</v>
      </c>
      <c r="AO211" s="85" t="s">
        <v>402</v>
      </c>
      <c r="AP211" s="85" t="s">
        <v>402</v>
      </c>
      <c r="AQ211" s="85" t="s">
        <v>1394</v>
      </c>
      <c r="AR211" s="128" t="s">
        <v>725</v>
      </c>
      <c r="AS211" s="67"/>
    </row>
    <row r="212" spans="1:45" ht="15">
      <c r="A212" s="379"/>
      <c r="B212" s="70"/>
      <c r="C212" s="72"/>
      <c r="D212" s="74"/>
      <c r="E212" s="104"/>
      <c r="F212" s="104"/>
      <c r="G212" s="104"/>
      <c r="H212" s="104"/>
      <c r="I212" s="129"/>
      <c r="J212" s="380"/>
      <c r="K212" s="386"/>
      <c r="L212" s="84"/>
      <c r="M212" s="85"/>
      <c r="N212" s="85"/>
      <c r="O212" s="85"/>
      <c r="P212" s="85"/>
      <c r="Q212" s="85"/>
      <c r="R212" s="85"/>
      <c r="S212" s="96"/>
      <c r="T212" s="85" t="s">
        <v>385</v>
      </c>
      <c r="U212" s="85"/>
      <c r="V212" s="85"/>
      <c r="W212" s="85"/>
      <c r="X212" s="85" t="s">
        <v>1395</v>
      </c>
      <c r="Y212" s="85"/>
      <c r="Z212" s="85"/>
      <c r="AA212" s="85"/>
      <c r="AB212" s="96"/>
      <c r="AC212" s="177"/>
      <c r="AD212" s="96"/>
      <c r="AE212" s="85"/>
      <c r="AF212" s="85"/>
      <c r="AG212" s="85"/>
      <c r="AH212" s="96"/>
      <c r="AI212" s="177"/>
      <c r="AJ212" s="85"/>
      <c r="AK212" s="85"/>
      <c r="AL212" s="85"/>
      <c r="AM212" s="85"/>
      <c r="AN212" s="85"/>
      <c r="AO212" s="85"/>
      <c r="AP212" s="85"/>
      <c r="AQ212" s="85"/>
      <c r="AR212" s="128" t="s">
        <v>1074</v>
      </c>
      <c r="AS212" s="67"/>
    </row>
    <row r="213" spans="1:45" ht="15">
      <c r="A213" s="388"/>
      <c r="B213" s="164"/>
      <c r="C213" s="165"/>
      <c r="D213" s="166"/>
      <c r="E213" s="167"/>
      <c r="F213" s="167"/>
      <c r="G213" s="167"/>
      <c r="H213" s="167"/>
      <c r="I213" s="168"/>
      <c r="J213" s="390"/>
      <c r="K213" s="391"/>
      <c r="L213" s="124" t="s">
        <v>320</v>
      </c>
      <c r="M213" s="112" t="s">
        <v>382</v>
      </c>
      <c r="N213" s="120" t="s">
        <v>527</v>
      </c>
      <c r="O213" s="112"/>
      <c r="P213" s="120" t="s">
        <v>527</v>
      </c>
      <c r="Q213" s="112" t="s">
        <v>354</v>
      </c>
      <c r="R213" s="112"/>
      <c r="S213" s="116"/>
      <c r="T213" s="112" t="s">
        <v>402</v>
      </c>
      <c r="U213" s="112" t="s">
        <v>402</v>
      </c>
      <c r="V213" s="112" t="s">
        <v>402</v>
      </c>
      <c r="W213" s="112" t="s">
        <v>402</v>
      </c>
      <c r="X213" s="112" t="s">
        <v>402</v>
      </c>
      <c r="Y213" s="112" t="s">
        <v>402</v>
      </c>
      <c r="Z213" s="112" t="s">
        <v>402</v>
      </c>
      <c r="AA213" s="112" t="s">
        <v>402</v>
      </c>
      <c r="AB213" s="116"/>
      <c r="AC213" s="178"/>
      <c r="AD213" s="116"/>
      <c r="AE213" s="112" t="s">
        <v>385</v>
      </c>
      <c r="AF213" s="112" t="s">
        <v>385</v>
      </c>
      <c r="AG213" s="112" t="s">
        <v>385</v>
      </c>
      <c r="AH213" s="116"/>
      <c r="AI213" s="178" t="s">
        <v>530</v>
      </c>
      <c r="AJ213" s="112" t="s">
        <v>402</v>
      </c>
      <c r="AK213" s="112" t="s">
        <v>402</v>
      </c>
      <c r="AL213" s="112" t="s">
        <v>385</v>
      </c>
      <c r="AM213" s="112"/>
      <c r="AN213" s="112"/>
      <c r="AO213" s="112"/>
      <c r="AP213" s="112"/>
      <c r="AQ213" s="112" t="s">
        <v>1394</v>
      </c>
      <c r="AR213" s="139" t="s">
        <v>725</v>
      </c>
      <c r="AS213" s="140"/>
    </row>
    <row r="214" spans="1:45" ht="15">
      <c r="A214" s="238"/>
      <c r="B214" s="70" t="s">
        <v>356</v>
      </c>
      <c r="C214" s="72">
        <v>43438</v>
      </c>
      <c r="D214" s="74" t="s">
        <v>658</v>
      </c>
      <c r="E214" s="182">
        <v>43571</v>
      </c>
      <c r="F214" s="78" t="s">
        <v>360</v>
      </c>
      <c r="G214" s="76">
        <v>43581</v>
      </c>
      <c r="H214" s="78" t="s">
        <v>355</v>
      </c>
      <c r="I214" s="129" t="s">
        <v>1396</v>
      </c>
      <c r="J214" s="105" t="s">
        <v>169</v>
      </c>
      <c r="K214" s="106" t="s">
        <v>524</v>
      </c>
      <c r="L214" s="84" t="s">
        <v>291</v>
      </c>
      <c r="M214" s="85" t="s">
        <v>382</v>
      </c>
      <c r="N214" s="614" t="s">
        <v>536</v>
      </c>
      <c r="O214" s="613"/>
      <c r="P214" s="91" t="s">
        <v>694</v>
      </c>
      <c r="Q214" s="85" t="s">
        <v>355</v>
      </c>
      <c r="R214" s="85" t="s">
        <v>763</v>
      </c>
      <c r="S214" s="91" t="s">
        <v>764</v>
      </c>
      <c r="T214" s="85" t="s">
        <v>355</v>
      </c>
      <c r="U214" s="85" t="s">
        <v>355</v>
      </c>
      <c r="V214" s="85" t="s">
        <v>355</v>
      </c>
      <c r="W214" s="85" t="s">
        <v>355</v>
      </c>
      <c r="X214" s="85" t="s">
        <v>355</v>
      </c>
      <c r="Y214" s="85" t="s">
        <v>355</v>
      </c>
      <c r="Z214" s="85" t="s">
        <v>355</v>
      </c>
      <c r="AA214" s="85" t="s">
        <v>355</v>
      </c>
      <c r="AB214" s="96"/>
      <c r="AC214" s="177" t="s">
        <v>863</v>
      </c>
      <c r="AD214" s="91" t="s">
        <v>544</v>
      </c>
      <c r="AE214" s="85" t="s">
        <v>385</v>
      </c>
      <c r="AF214" s="85" t="s">
        <v>385</v>
      </c>
      <c r="AG214" s="85" t="s">
        <v>385</v>
      </c>
      <c r="AH214" s="91" t="s">
        <v>766</v>
      </c>
      <c r="AI214" s="177" t="s">
        <v>1306</v>
      </c>
      <c r="AJ214" s="85" t="s">
        <v>402</v>
      </c>
      <c r="AK214" s="85" t="s">
        <v>402</v>
      </c>
      <c r="AL214" s="85" t="s">
        <v>385</v>
      </c>
      <c r="AM214" s="85" t="s">
        <v>402</v>
      </c>
      <c r="AN214" s="85" t="s">
        <v>768</v>
      </c>
      <c r="AO214" s="85" t="s">
        <v>402</v>
      </c>
      <c r="AP214" s="85" t="s">
        <v>402</v>
      </c>
      <c r="AQ214" s="85" t="s">
        <v>1397</v>
      </c>
      <c r="AR214" s="128" t="s">
        <v>725</v>
      </c>
      <c r="AS214" s="67"/>
    </row>
    <row r="215" spans="1:45" ht="15">
      <c r="A215" s="238"/>
      <c r="B215" s="70"/>
      <c r="C215" s="72"/>
      <c r="D215" s="74"/>
      <c r="E215" s="104"/>
      <c r="F215" s="104"/>
      <c r="G215" s="104"/>
      <c r="H215" s="104"/>
      <c r="I215" s="129"/>
      <c r="J215" s="105"/>
      <c r="K215" s="106"/>
      <c r="L215" s="84"/>
      <c r="M215" s="85"/>
      <c r="N215" s="85"/>
      <c r="O215" s="85"/>
      <c r="P215" s="85"/>
      <c r="Q215" s="85" t="s">
        <v>1398</v>
      </c>
      <c r="R215" s="85"/>
      <c r="S215" s="85"/>
      <c r="T215" s="85" t="s">
        <v>385</v>
      </c>
      <c r="U215" s="85" t="s">
        <v>385</v>
      </c>
      <c r="V215" s="85" t="s">
        <v>385</v>
      </c>
      <c r="W215" s="85" t="s">
        <v>385</v>
      </c>
      <c r="X215" s="85" t="s">
        <v>402</v>
      </c>
      <c r="Y215" s="85" t="s">
        <v>402</v>
      </c>
      <c r="Z215" s="85" t="s">
        <v>402</v>
      </c>
      <c r="AA215" s="85" t="s">
        <v>385</v>
      </c>
      <c r="AB215" s="96"/>
      <c r="AC215" s="177"/>
      <c r="AD215" s="85"/>
      <c r="AE215" s="85"/>
      <c r="AF215" s="85"/>
      <c r="AG215" s="85"/>
      <c r="AH215" s="15" t="s">
        <v>774</v>
      </c>
      <c r="AI215" s="435" t="s">
        <v>874</v>
      </c>
      <c r="AJ215" s="85"/>
      <c r="AK215" s="85"/>
      <c r="AL215" s="85"/>
      <c r="AM215" s="85"/>
      <c r="AN215" s="85" t="s">
        <v>1399</v>
      </c>
      <c r="AO215" s="85"/>
      <c r="AP215" s="85"/>
      <c r="AQ215" s="85"/>
      <c r="AR215" s="128" t="s">
        <v>1074</v>
      </c>
      <c r="AS215" s="67"/>
    </row>
    <row r="216" spans="1:45" ht="15">
      <c r="A216" s="394"/>
      <c r="B216" s="164"/>
      <c r="C216" s="165"/>
      <c r="D216" s="166"/>
      <c r="E216" s="167"/>
      <c r="F216" s="167"/>
      <c r="G216" s="167"/>
      <c r="H216" s="167"/>
      <c r="I216" s="168"/>
      <c r="J216" s="169"/>
      <c r="K216" s="170"/>
      <c r="L216" s="124" t="s">
        <v>291</v>
      </c>
      <c r="M216" s="112" t="s">
        <v>382</v>
      </c>
      <c r="N216" s="120" t="s">
        <v>536</v>
      </c>
      <c r="O216" s="112"/>
      <c r="P216" s="120" t="s">
        <v>694</v>
      </c>
      <c r="Q216" s="112" t="s">
        <v>354</v>
      </c>
      <c r="R216" s="112" t="s">
        <v>763</v>
      </c>
      <c r="S216" s="120" t="s">
        <v>764</v>
      </c>
      <c r="T216" s="112" t="s">
        <v>402</v>
      </c>
      <c r="U216" s="112" t="s">
        <v>402</v>
      </c>
      <c r="V216" s="112" t="s">
        <v>402</v>
      </c>
      <c r="W216" s="112" t="s">
        <v>402</v>
      </c>
      <c r="X216" s="112" t="s">
        <v>402</v>
      </c>
      <c r="Y216" s="112" t="s">
        <v>402</v>
      </c>
      <c r="Z216" s="112" t="s">
        <v>402</v>
      </c>
      <c r="AA216" s="112" t="s">
        <v>402</v>
      </c>
      <c r="AB216" s="116"/>
      <c r="AC216" s="178" t="s">
        <v>863</v>
      </c>
      <c r="AD216" s="120" t="s">
        <v>544</v>
      </c>
      <c r="AE216" s="112" t="s">
        <v>385</v>
      </c>
      <c r="AF216" s="112" t="s">
        <v>385</v>
      </c>
      <c r="AG216" s="112" t="s">
        <v>385</v>
      </c>
      <c r="AH216" s="171" t="s">
        <v>774</v>
      </c>
      <c r="AI216" s="436" t="s">
        <v>385</v>
      </c>
      <c r="AJ216" s="436" t="s">
        <v>874</v>
      </c>
      <c r="AK216" s="112" t="s">
        <v>402</v>
      </c>
      <c r="AL216" s="112" t="s">
        <v>385</v>
      </c>
      <c r="AM216" s="112"/>
      <c r="AN216" s="112"/>
      <c r="AO216" s="112"/>
      <c r="AP216" s="112"/>
      <c r="AQ216" s="112" t="s">
        <v>1397</v>
      </c>
      <c r="AR216" s="139" t="s">
        <v>725</v>
      </c>
      <c r="AS216" s="140"/>
    </row>
    <row r="217" spans="1:45" ht="15">
      <c r="A217" s="238"/>
      <c r="B217" s="70" t="s">
        <v>356</v>
      </c>
      <c r="C217" s="72">
        <v>43438</v>
      </c>
      <c r="D217" s="74" t="s">
        <v>658</v>
      </c>
      <c r="E217" s="182">
        <v>43571</v>
      </c>
      <c r="F217" s="78" t="s">
        <v>360</v>
      </c>
      <c r="G217" s="76">
        <v>43581</v>
      </c>
      <c r="H217" s="78" t="s">
        <v>355</v>
      </c>
      <c r="I217" s="129" t="s">
        <v>1400</v>
      </c>
      <c r="J217" s="105" t="s">
        <v>170</v>
      </c>
      <c r="K217" s="106"/>
      <c r="L217" s="84" t="s">
        <v>291</v>
      </c>
      <c r="M217" s="85" t="s">
        <v>374</v>
      </c>
      <c r="N217" s="614" t="s">
        <v>537</v>
      </c>
      <c r="O217" s="613"/>
      <c r="P217" s="91" t="s">
        <v>717</v>
      </c>
      <c r="Q217" s="85" t="s">
        <v>385</v>
      </c>
      <c r="R217" s="85" t="s">
        <v>763</v>
      </c>
      <c r="S217" s="91" t="s">
        <v>764</v>
      </c>
      <c r="T217" s="85" t="s">
        <v>355</v>
      </c>
      <c r="U217" s="85" t="s">
        <v>355</v>
      </c>
      <c r="V217" s="85" t="s">
        <v>355</v>
      </c>
      <c r="W217" s="85" t="s">
        <v>355</v>
      </c>
      <c r="X217" s="85" t="s">
        <v>355</v>
      </c>
      <c r="Y217" s="85" t="s">
        <v>355</v>
      </c>
      <c r="Z217" s="85" t="s">
        <v>355</v>
      </c>
      <c r="AA217" s="85" t="s">
        <v>355</v>
      </c>
      <c r="AB217" s="96"/>
      <c r="AC217" s="177" t="s">
        <v>863</v>
      </c>
      <c r="AD217" s="91" t="s">
        <v>544</v>
      </c>
      <c r="AE217" s="85" t="s">
        <v>385</v>
      </c>
      <c r="AF217" s="85" t="s">
        <v>385</v>
      </c>
      <c r="AG217" s="85" t="s">
        <v>385</v>
      </c>
      <c r="AH217" s="91" t="s">
        <v>766</v>
      </c>
      <c r="AI217" s="177" t="s">
        <v>1306</v>
      </c>
      <c r="AJ217" s="85" t="s">
        <v>402</v>
      </c>
      <c r="AK217" s="85" t="s">
        <v>402</v>
      </c>
      <c r="AL217" s="85" t="s">
        <v>385</v>
      </c>
      <c r="AM217" s="85" t="s">
        <v>402</v>
      </c>
      <c r="AN217" s="85" t="s">
        <v>768</v>
      </c>
      <c r="AO217" s="85" t="s">
        <v>402</v>
      </c>
      <c r="AP217" s="85" t="s">
        <v>402</v>
      </c>
      <c r="AQ217" s="85" t="s">
        <v>1401</v>
      </c>
      <c r="AR217" s="128" t="s">
        <v>1106</v>
      </c>
      <c r="AS217" s="67"/>
    </row>
    <row r="218" spans="1:45" ht="15">
      <c r="A218" s="238"/>
      <c r="B218" s="70"/>
      <c r="C218" s="72"/>
      <c r="D218" s="74"/>
      <c r="E218" s="104"/>
      <c r="F218" s="104"/>
      <c r="G218" s="104"/>
      <c r="H218" s="104"/>
      <c r="I218" s="129"/>
      <c r="J218" s="105"/>
      <c r="K218" s="106"/>
      <c r="L218" s="84"/>
      <c r="M218" s="85"/>
      <c r="N218" s="85"/>
      <c r="O218" s="85"/>
      <c r="P218" s="85"/>
      <c r="Q218" s="85" t="s">
        <v>1402</v>
      </c>
      <c r="R218" s="85"/>
      <c r="S218" s="85"/>
      <c r="T218" s="85" t="s">
        <v>1403</v>
      </c>
      <c r="U218" s="85" t="s">
        <v>1403</v>
      </c>
      <c r="V218" s="85" t="s">
        <v>1403</v>
      </c>
      <c r="W218" s="85" t="s">
        <v>1403</v>
      </c>
      <c r="X218" s="85" t="s">
        <v>1403</v>
      </c>
      <c r="Y218" s="85" t="s">
        <v>1403</v>
      </c>
      <c r="Z218" s="85" t="s">
        <v>1403</v>
      </c>
      <c r="AA218" s="85" t="s">
        <v>1403</v>
      </c>
      <c r="AB218" s="96"/>
      <c r="AC218" s="177"/>
      <c r="AD218" s="85"/>
      <c r="AE218" s="85"/>
      <c r="AF218" s="85"/>
      <c r="AG218" s="85"/>
      <c r="AH218" s="15" t="s">
        <v>774</v>
      </c>
      <c r="AI218" s="435" t="s">
        <v>874</v>
      </c>
      <c r="AJ218" s="85"/>
      <c r="AK218" s="85"/>
      <c r="AL218" s="85"/>
      <c r="AM218" s="85"/>
      <c r="AN218" s="85" t="s">
        <v>1399</v>
      </c>
      <c r="AO218" s="85"/>
      <c r="AP218" s="85"/>
      <c r="AQ218" s="85"/>
      <c r="AR218" s="128" t="s">
        <v>725</v>
      </c>
      <c r="AS218" s="67"/>
    </row>
    <row r="219" spans="1:45" ht="15">
      <c r="A219" s="394"/>
      <c r="B219" s="164"/>
      <c r="C219" s="165"/>
      <c r="D219" s="166"/>
      <c r="E219" s="167"/>
      <c r="F219" s="167"/>
      <c r="G219" s="167"/>
      <c r="H219" s="167"/>
      <c r="I219" s="168"/>
      <c r="J219" s="169"/>
      <c r="K219" s="170"/>
      <c r="L219" s="124" t="s">
        <v>291</v>
      </c>
      <c r="M219" s="112" t="s">
        <v>374</v>
      </c>
      <c r="N219" s="120" t="s">
        <v>537</v>
      </c>
      <c r="O219" s="112"/>
      <c r="P219" s="120" t="s">
        <v>717</v>
      </c>
      <c r="Q219" s="112" t="s">
        <v>354</v>
      </c>
      <c r="R219" s="112" t="s">
        <v>763</v>
      </c>
      <c r="S219" s="120" t="s">
        <v>764</v>
      </c>
      <c r="T219" s="112" t="s">
        <v>402</v>
      </c>
      <c r="U219" s="112" t="s">
        <v>402</v>
      </c>
      <c r="V219" s="112" t="s">
        <v>402</v>
      </c>
      <c r="W219" s="112" t="s">
        <v>402</v>
      </c>
      <c r="X219" s="112" t="s">
        <v>402</v>
      </c>
      <c r="Y219" s="112" t="s">
        <v>402</v>
      </c>
      <c r="Z219" s="112" t="s">
        <v>402</v>
      </c>
      <c r="AA219" s="112" t="s">
        <v>402</v>
      </c>
      <c r="AB219" s="112"/>
      <c r="AC219" s="178" t="s">
        <v>863</v>
      </c>
      <c r="AD219" s="120" t="s">
        <v>544</v>
      </c>
      <c r="AE219" s="112" t="s">
        <v>385</v>
      </c>
      <c r="AF219" s="112" t="s">
        <v>385</v>
      </c>
      <c r="AG219" s="112" t="s">
        <v>385</v>
      </c>
      <c r="AH219" s="171" t="s">
        <v>774</v>
      </c>
      <c r="AI219" s="436" t="s">
        <v>874</v>
      </c>
      <c r="AJ219" s="112"/>
      <c r="AK219" s="112" t="s">
        <v>402</v>
      </c>
      <c r="AL219" s="112" t="s">
        <v>385</v>
      </c>
      <c r="AM219" s="112"/>
      <c r="AN219" s="112"/>
      <c r="AO219" s="112"/>
      <c r="AP219" s="112"/>
      <c r="AQ219" s="112" t="s">
        <v>1401</v>
      </c>
      <c r="AR219" s="139" t="s">
        <v>1106</v>
      </c>
      <c r="AS219" s="140"/>
    </row>
    <row r="220" spans="1:45" ht="15">
      <c r="A220" s="238"/>
      <c r="B220" s="70" t="s">
        <v>356</v>
      </c>
      <c r="C220" s="72">
        <v>43438</v>
      </c>
      <c r="D220" s="74" t="s">
        <v>658</v>
      </c>
      <c r="E220" s="182">
        <v>43571</v>
      </c>
      <c r="F220" s="78" t="s">
        <v>360</v>
      </c>
      <c r="G220" s="76">
        <v>43581</v>
      </c>
      <c r="H220" s="78" t="s">
        <v>355</v>
      </c>
      <c r="I220" s="129" t="s">
        <v>1404</v>
      </c>
      <c r="J220" s="105" t="s">
        <v>171</v>
      </c>
      <c r="K220" s="106" t="s">
        <v>876</v>
      </c>
      <c r="L220" s="84" t="s">
        <v>321</v>
      </c>
      <c r="M220" s="85" t="s">
        <v>374</v>
      </c>
      <c r="N220" s="614" t="s">
        <v>539</v>
      </c>
      <c r="O220" s="613"/>
      <c r="P220" s="91" t="s">
        <v>741</v>
      </c>
      <c r="Q220" s="85" t="s">
        <v>355</v>
      </c>
      <c r="R220" s="85" t="s">
        <v>402</v>
      </c>
      <c r="S220" s="96"/>
      <c r="T220" s="85" t="s">
        <v>355</v>
      </c>
      <c r="U220" s="85" t="s">
        <v>355</v>
      </c>
      <c r="V220" s="85" t="s">
        <v>355</v>
      </c>
      <c r="W220" s="85" t="s">
        <v>355</v>
      </c>
      <c r="X220" s="85" t="s">
        <v>355</v>
      </c>
      <c r="Y220" s="85" t="s">
        <v>355</v>
      </c>
      <c r="Z220" s="85" t="s">
        <v>355</v>
      </c>
      <c r="AA220" s="85" t="s">
        <v>355</v>
      </c>
      <c r="AB220" s="96"/>
      <c r="AC220" s="177" t="s">
        <v>402</v>
      </c>
      <c r="AD220" s="96"/>
      <c r="AE220" s="85" t="s">
        <v>385</v>
      </c>
      <c r="AF220" s="85" t="s">
        <v>385</v>
      </c>
      <c r="AG220" s="85" t="s">
        <v>385</v>
      </c>
      <c r="AH220" s="91" t="s">
        <v>1086</v>
      </c>
      <c r="AI220" s="85" t="s">
        <v>1303</v>
      </c>
      <c r="AJ220" s="85" t="s">
        <v>1182</v>
      </c>
      <c r="AK220" s="85" t="s">
        <v>402</v>
      </c>
      <c r="AL220" s="85" t="s">
        <v>355</v>
      </c>
      <c r="AM220" s="85" t="s">
        <v>402</v>
      </c>
      <c r="AN220" s="85" t="s">
        <v>509</v>
      </c>
      <c r="AO220" s="85" t="s">
        <v>402</v>
      </c>
      <c r="AP220" s="85" t="s">
        <v>402</v>
      </c>
      <c r="AQ220" s="85" t="s">
        <v>1405</v>
      </c>
      <c r="AR220" s="128" t="s">
        <v>725</v>
      </c>
      <c r="AS220" s="67"/>
    </row>
    <row r="221" spans="1:45" ht="15">
      <c r="A221" s="238"/>
      <c r="B221" s="70"/>
      <c r="C221" s="72"/>
      <c r="D221" s="74"/>
      <c r="E221" s="104"/>
      <c r="F221" s="104"/>
      <c r="G221" s="104"/>
      <c r="H221" s="104"/>
      <c r="I221" s="129"/>
      <c r="J221" s="105"/>
      <c r="K221" s="106"/>
      <c r="L221" s="84"/>
      <c r="M221" s="85"/>
      <c r="N221" s="85"/>
      <c r="O221" s="85"/>
      <c r="P221" s="85"/>
      <c r="Q221" s="85"/>
      <c r="R221" s="85"/>
      <c r="S221" s="96"/>
      <c r="T221" s="85"/>
      <c r="U221" s="85"/>
      <c r="V221" s="85"/>
      <c r="W221" s="85"/>
      <c r="X221" s="85"/>
      <c r="Y221" s="85"/>
      <c r="Z221" s="85"/>
      <c r="AA221" s="85"/>
      <c r="AB221" s="96"/>
      <c r="AC221" s="177"/>
      <c r="AD221" s="96"/>
      <c r="AE221" s="85"/>
      <c r="AF221" s="85"/>
      <c r="AG221" s="85"/>
      <c r="AH221" s="85"/>
      <c r="AI221" s="130" t="s">
        <v>460</v>
      </c>
      <c r="AJ221" s="85"/>
      <c r="AK221" s="85"/>
      <c r="AL221" s="85" t="s">
        <v>385</v>
      </c>
      <c r="AM221" s="85"/>
      <c r="AN221" s="85" t="s">
        <v>1406</v>
      </c>
      <c r="AO221" s="85"/>
      <c r="AP221" s="85"/>
      <c r="AQ221" s="85" t="s">
        <v>1407</v>
      </c>
      <c r="AR221" s="128" t="s">
        <v>1074</v>
      </c>
      <c r="AS221" s="67"/>
    </row>
    <row r="222" spans="1:45" ht="15">
      <c r="A222" s="394"/>
      <c r="B222" s="164"/>
      <c r="C222" s="165"/>
      <c r="D222" s="166"/>
      <c r="E222" s="167"/>
      <c r="F222" s="167"/>
      <c r="G222" s="167"/>
      <c r="H222" s="167"/>
      <c r="I222" s="168"/>
      <c r="J222" s="169"/>
      <c r="K222" s="170"/>
      <c r="L222" s="124" t="s">
        <v>321</v>
      </c>
      <c r="M222" s="112" t="s">
        <v>374</v>
      </c>
      <c r="N222" s="120" t="s">
        <v>539</v>
      </c>
      <c r="O222" s="112"/>
      <c r="P222" s="120" t="s">
        <v>741</v>
      </c>
      <c r="Q222" s="112" t="s">
        <v>355</v>
      </c>
      <c r="R222" s="112"/>
      <c r="S222" s="116"/>
      <c r="T222" s="112" t="s">
        <v>402</v>
      </c>
      <c r="U222" s="112" t="s">
        <v>402</v>
      </c>
      <c r="V222" s="112" t="s">
        <v>402</v>
      </c>
      <c r="W222" s="112" t="s">
        <v>402</v>
      </c>
      <c r="X222" s="112" t="s">
        <v>402</v>
      </c>
      <c r="Y222" s="112" t="s">
        <v>402</v>
      </c>
      <c r="Z222" s="112" t="s">
        <v>402</v>
      </c>
      <c r="AA222" s="112" t="s">
        <v>402</v>
      </c>
      <c r="AB222" s="116"/>
      <c r="AC222" s="178"/>
      <c r="AD222" s="116"/>
      <c r="AE222" s="112" t="s">
        <v>385</v>
      </c>
      <c r="AF222" s="112" t="s">
        <v>385</v>
      </c>
      <c r="AG222" s="112" t="s">
        <v>385</v>
      </c>
      <c r="AH222" s="120" t="s">
        <v>1086</v>
      </c>
      <c r="AI222" s="132" t="s">
        <v>460</v>
      </c>
      <c r="AJ222" s="112" t="s">
        <v>1182</v>
      </c>
      <c r="AK222" s="112" t="s">
        <v>402</v>
      </c>
      <c r="AL222" s="112" t="s">
        <v>385</v>
      </c>
      <c r="AM222" s="112"/>
      <c r="AN222" s="112"/>
      <c r="AO222" s="112"/>
      <c r="AP222" s="112"/>
      <c r="AQ222" s="112" t="s">
        <v>1408</v>
      </c>
      <c r="AR222" s="139" t="s">
        <v>725</v>
      </c>
      <c r="AS222" s="140"/>
    </row>
    <row r="223" spans="1:45" ht="43">
      <c r="A223" s="238"/>
      <c r="B223" s="70" t="s">
        <v>356</v>
      </c>
      <c r="C223" s="72">
        <v>43438</v>
      </c>
      <c r="D223" s="74" t="s">
        <v>360</v>
      </c>
      <c r="E223" s="76">
        <v>43575</v>
      </c>
      <c r="F223" s="78" t="s">
        <v>363</v>
      </c>
      <c r="G223" s="76">
        <v>43581</v>
      </c>
      <c r="H223" s="78" t="s">
        <v>355</v>
      </c>
      <c r="I223" s="125" t="s">
        <v>1409</v>
      </c>
      <c r="J223" s="82" t="s">
        <v>172</v>
      </c>
      <c r="K223" s="126" t="s">
        <v>786</v>
      </c>
      <c r="L223" s="84" t="s">
        <v>329</v>
      </c>
      <c r="M223" s="85" t="s">
        <v>382</v>
      </c>
      <c r="N223" s="614" t="s">
        <v>1410</v>
      </c>
      <c r="O223" s="613"/>
      <c r="P223" s="96"/>
      <c r="Q223" s="85" t="s">
        <v>385</v>
      </c>
      <c r="R223" s="85" t="s">
        <v>1411</v>
      </c>
      <c r="S223" s="91" t="s">
        <v>1412</v>
      </c>
      <c r="T223" s="85" t="s">
        <v>402</v>
      </c>
      <c r="U223" s="85" t="s">
        <v>402</v>
      </c>
      <c r="V223" s="85" t="s">
        <v>402</v>
      </c>
      <c r="W223" s="85" t="s">
        <v>402</v>
      </c>
      <c r="X223" s="85" t="s">
        <v>402</v>
      </c>
      <c r="Y223" s="85" t="s">
        <v>402</v>
      </c>
      <c r="Z223" s="85" t="s">
        <v>402</v>
      </c>
      <c r="AA223" s="85" t="s">
        <v>402</v>
      </c>
      <c r="AB223" s="96"/>
      <c r="AC223" s="85" t="s">
        <v>402</v>
      </c>
      <c r="AD223" s="96"/>
      <c r="AE223" s="85" t="s">
        <v>385</v>
      </c>
      <c r="AF223" s="85" t="s">
        <v>385</v>
      </c>
      <c r="AG223" s="85" t="s">
        <v>385</v>
      </c>
      <c r="AH223" s="96"/>
      <c r="AI223" s="85" t="s">
        <v>402</v>
      </c>
      <c r="AJ223" s="85" t="s">
        <v>402</v>
      </c>
      <c r="AK223" s="633" t="s">
        <v>402</v>
      </c>
      <c r="AL223" s="85" t="s">
        <v>355</v>
      </c>
      <c r="AM223" s="85" t="s">
        <v>402</v>
      </c>
      <c r="AN223" s="85" t="s">
        <v>402</v>
      </c>
      <c r="AO223" s="85" t="s">
        <v>402</v>
      </c>
      <c r="AP223" s="85" t="s">
        <v>402</v>
      </c>
      <c r="AQ223" s="85" t="s">
        <v>1413</v>
      </c>
      <c r="AR223" s="128" t="s">
        <v>674</v>
      </c>
      <c r="AS223" s="67"/>
    </row>
    <row r="224" spans="1:45" ht="15">
      <c r="A224" s="238"/>
      <c r="B224" s="70"/>
      <c r="C224" s="72"/>
      <c r="D224" s="74"/>
      <c r="E224" s="104"/>
      <c r="F224" s="104"/>
      <c r="G224" s="104"/>
      <c r="H224" s="104"/>
      <c r="I224" s="129"/>
      <c r="J224" s="105"/>
      <c r="K224" s="106"/>
      <c r="L224" s="84" t="s">
        <v>322</v>
      </c>
      <c r="M224" s="85" t="s">
        <v>385</v>
      </c>
      <c r="N224" s="15" t="s">
        <v>540</v>
      </c>
      <c r="O224" s="85"/>
      <c r="P224" s="96"/>
      <c r="Q224" s="85"/>
      <c r="R224" s="177"/>
      <c r="S224" s="85"/>
      <c r="T224" s="85" t="s">
        <v>355</v>
      </c>
      <c r="U224" s="85" t="s">
        <v>355</v>
      </c>
      <c r="V224" s="85" t="s">
        <v>355</v>
      </c>
      <c r="W224" s="85" t="s">
        <v>355</v>
      </c>
      <c r="X224" s="85" t="s">
        <v>355</v>
      </c>
      <c r="Y224" s="85"/>
      <c r="Z224" s="85"/>
      <c r="AA224" s="85"/>
      <c r="AB224" s="96"/>
      <c r="AC224" s="85"/>
      <c r="AD224" s="96"/>
      <c r="AE224" s="85"/>
      <c r="AF224" s="85"/>
      <c r="AG224" s="85"/>
      <c r="AH224" s="15" t="s">
        <v>1087</v>
      </c>
      <c r="AI224" s="130" t="s">
        <v>460</v>
      </c>
      <c r="AJ224" s="85" t="s">
        <v>1414</v>
      </c>
      <c r="AK224" s="633"/>
      <c r="AL224" s="85" t="s">
        <v>402</v>
      </c>
      <c r="AM224" s="85"/>
      <c r="AN224" s="85"/>
      <c r="AO224" s="85"/>
      <c r="AP224" s="85"/>
      <c r="AQ224" s="85" t="s">
        <v>1415</v>
      </c>
      <c r="AR224" s="128"/>
      <c r="AS224" s="67"/>
    </row>
    <row r="225" spans="1:45" ht="15">
      <c r="A225" s="238"/>
      <c r="B225" s="70"/>
      <c r="C225" s="72"/>
      <c r="D225" s="74"/>
      <c r="E225" s="104"/>
      <c r="F225" s="104"/>
      <c r="G225" s="104"/>
      <c r="H225" s="78" t="s">
        <v>1416</v>
      </c>
      <c r="I225" s="129"/>
      <c r="J225" s="105"/>
      <c r="K225" s="106"/>
      <c r="L225" s="84" t="s">
        <v>322</v>
      </c>
      <c r="M225" s="85" t="s">
        <v>385</v>
      </c>
      <c r="N225" s="15" t="s">
        <v>540</v>
      </c>
      <c r="O225" s="85"/>
      <c r="P225" s="96"/>
      <c r="Q225" s="85" t="s">
        <v>385</v>
      </c>
      <c r="R225" s="177"/>
      <c r="S225" s="85"/>
      <c r="T225" s="85" t="s">
        <v>402</v>
      </c>
      <c r="U225" s="85" t="s">
        <v>402</v>
      </c>
      <c r="V225" s="85" t="s">
        <v>402</v>
      </c>
      <c r="W225" s="85" t="s">
        <v>402</v>
      </c>
      <c r="X225" s="85" t="s">
        <v>402</v>
      </c>
      <c r="Y225" s="85" t="s">
        <v>402</v>
      </c>
      <c r="Z225" s="85" t="s">
        <v>402</v>
      </c>
      <c r="AA225" s="85" t="s">
        <v>402</v>
      </c>
      <c r="AB225" s="96"/>
      <c r="AC225" s="85" t="s">
        <v>402</v>
      </c>
      <c r="AD225" s="96"/>
      <c r="AE225" s="85" t="s">
        <v>385</v>
      </c>
      <c r="AF225" s="85" t="s">
        <v>385</v>
      </c>
      <c r="AG225" s="85" t="s">
        <v>385</v>
      </c>
      <c r="AH225" s="15" t="s">
        <v>1087</v>
      </c>
      <c r="AI225" s="130" t="s">
        <v>460</v>
      </c>
      <c r="AJ225" s="85"/>
      <c r="AK225" s="633"/>
      <c r="AL225" s="85"/>
      <c r="AM225" s="85"/>
      <c r="AN225" s="85"/>
      <c r="AO225" s="85"/>
      <c r="AP225" s="85"/>
      <c r="AQ225" s="85"/>
      <c r="AR225" s="128"/>
      <c r="AS225" s="67"/>
    </row>
    <row r="226" spans="1:45" ht="43">
      <c r="A226" s="103"/>
      <c r="B226" s="70" t="s">
        <v>658</v>
      </c>
      <c r="C226" s="72">
        <v>43475</v>
      </c>
      <c r="D226" s="74" t="s">
        <v>360</v>
      </c>
      <c r="E226" s="76">
        <v>43575</v>
      </c>
      <c r="F226" s="78" t="s">
        <v>363</v>
      </c>
      <c r="G226" s="76">
        <v>43581</v>
      </c>
      <c r="H226" s="78" t="s">
        <v>355</v>
      </c>
      <c r="I226" s="80" t="s">
        <v>1417</v>
      </c>
      <c r="J226" s="105" t="s">
        <v>173</v>
      </c>
      <c r="K226" s="126" t="s">
        <v>851</v>
      </c>
      <c r="L226" s="84" t="s">
        <v>1418</v>
      </c>
      <c r="M226" s="85" t="s">
        <v>374</v>
      </c>
      <c r="N226" s="625" t="s">
        <v>541</v>
      </c>
      <c r="O226" s="613"/>
      <c r="P226" s="92"/>
      <c r="Q226" s="437" t="s">
        <v>385</v>
      </c>
      <c r="R226" s="85" t="s">
        <v>819</v>
      </c>
      <c r="S226" s="15" t="s">
        <v>878</v>
      </c>
      <c r="T226" s="85" t="s">
        <v>355</v>
      </c>
      <c r="U226" s="85" t="s">
        <v>355</v>
      </c>
      <c r="V226" s="85" t="s">
        <v>355</v>
      </c>
      <c r="W226" s="85" t="s">
        <v>355</v>
      </c>
      <c r="X226" s="85" t="s">
        <v>355</v>
      </c>
      <c r="Y226" s="85" t="s">
        <v>403</v>
      </c>
      <c r="Z226" s="85" t="s">
        <v>402</v>
      </c>
      <c r="AA226" s="85" t="s">
        <v>402</v>
      </c>
      <c r="AB226" s="85" t="s">
        <v>1419</v>
      </c>
      <c r="AC226" s="438" t="s">
        <v>964</v>
      </c>
      <c r="AD226" s="96"/>
      <c r="AE226" s="85" t="s">
        <v>355</v>
      </c>
      <c r="AF226" s="85" t="s">
        <v>385</v>
      </c>
      <c r="AG226" s="85" t="s">
        <v>385</v>
      </c>
      <c r="AH226" s="91" t="s">
        <v>1089</v>
      </c>
      <c r="AI226" s="85" t="s">
        <v>652</v>
      </c>
      <c r="AJ226" s="85" t="s">
        <v>1420</v>
      </c>
      <c r="AK226" s="439" t="s">
        <v>385</v>
      </c>
      <c r="AL226" s="85" t="s">
        <v>385</v>
      </c>
      <c r="AM226" s="111" t="s">
        <v>385</v>
      </c>
      <c r="AN226" s="111" t="s">
        <v>385</v>
      </c>
      <c r="AO226" s="85" t="s">
        <v>511</v>
      </c>
      <c r="AP226" s="440" t="s">
        <v>385</v>
      </c>
      <c r="AQ226" s="85" t="s">
        <v>1421</v>
      </c>
      <c r="AR226" s="128" t="s">
        <v>1422</v>
      </c>
      <c r="AS226" s="67"/>
    </row>
    <row r="227" spans="1:45" ht="15">
      <c r="A227" s="103"/>
      <c r="B227" s="70"/>
      <c r="C227" s="72"/>
      <c r="D227" s="74"/>
      <c r="E227" s="104"/>
      <c r="F227" s="104"/>
      <c r="G227" s="104"/>
      <c r="H227" s="104"/>
      <c r="I227" s="80"/>
      <c r="J227" s="105"/>
      <c r="K227" s="106"/>
      <c r="L227" s="84" t="s">
        <v>323</v>
      </c>
      <c r="M227" s="85"/>
      <c r="N227" s="107"/>
      <c r="O227" s="107"/>
      <c r="P227" s="15" t="s">
        <v>541</v>
      </c>
      <c r="Q227" s="441" t="s">
        <v>354</v>
      </c>
      <c r="R227" s="85"/>
      <c r="S227" s="85"/>
      <c r="T227" s="85"/>
      <c r="U227" s="85"/>
      <c r="V227" s="85"/>
      <c r="W227" s="85"/>
      <c r="X227" s="85"/>
      <c r="Y227" s="85"/>
      <c r="Z227" s="85"/>
      <c r="AA227" s="85"/>
      <c r="AB227" s="85"/>
      <c r="AC227" s="438"/>
      <c r="AD227" s="96"/>
      <c r="AE227" s="85"/>
      <c r="AF227" s="85"/>
      <c r="AG227" s="85"/>
      <c r="AH227" s="85"/>
      <c r="AI227" s="85"/>
      <c r="AJ227" s="85" t="s">
        <v>1183</v>
      </c>
      <c r="AK227" s="136"/>
      <c r="AL227" s="85"/>
      <c r="AM227" s="111"/>
      <c r="AN227" s="111"/>
      <c r="AO227" s="85"/>
      <c r="AP227" s="440"/>
      <c r="AQ227" s="85"/>
      <c r="AR227" s="128"/>
      <c r="AS227" s="67"/>
    </row>
    <row r="228" spans="1:45" ht="15">
      <c r="A228" s="103"/>
      <c r="B228" s="70"/>
      <c r="C228" s="72"/>
      <c r="D228" s="74"/>
      <c r="E228" s="104"/>
      <c r="F228" s="104"/>
      <c r="G228" s="104"/>
      <c r="H228" s="78" t="s">
        <v>1423</v>
      </c>
      <c r="I228" s="80"/>
      <c r="J228" s="105"/>
      <c r="K228" s="106"/>
      <c r="L228" s="84" t="s">
        <v>323</v>
      </c>
      <c r="M228" s="85" t="s">
        <v>374</v>
      </c>
      <c r="N228" s="196" t="s">
        <v>541</v>
      </c>
      <c r="O228" s="107"/>
      <c r="P228" s="15" t="s">
        <v>541</v>
      </c>
      <c r="Q228" s="441" t="s">
        <v>354</v>
      </c>
      <c r="R228" s="85" t="s">
        <v>819</v>
      </c>
      <c r="S228" s="15" t="s">
        <v>878</v>
      </c>
      <c r="T228" s="85" t="s">
        <v>355</v>
      </c>
      <c r="U228" s="85" t="s">
        <v>355</v>
      </c>
      <c r="V228" s="85" t="s">
        <v>355</v>
      </c>
      <c r="W228" s="85" t="s">
        <v>355</v>
      </c>
      <c r="X228" s="85" t="s">
        <v>355</v>
      </c>
      <c r="Y228" s="85" t="s">
        <v>403</v>
      </c>
      <c r="Z228" s="85" t="s">
        <v>402</v>
      </c>
      <c r="AA228" s="85" t="s">
        <v>402</v>
      </c>
      <c r="AB228" s="85" t="s">
        <v>940</v>
      </c>
      <c r="AC228" s="438" t="s">
        <v>964</v>
      </c>
      <c r="AD228" s="15" t="s">
        <v>1008</v>
      </c>
      <c r="AE228" s="85" t="s">
        <v>355</v>
      </c>
      <c r="AF228" s="85" t="s">
        <v>385</v>
      </c>
      <c r="AG228" s="85" t="s">
        <v>385</v>
      </c>
      <c r="AH228" s="91" t="s">
        <v>1089</v>
      </c>
      <c r="AI228" s="85" t="s">
        <v>652</v>
      </c>
      <c r="AJ228" s="85" t="s">
        <v>1183</v>
      </c>
      <c r="AK228" s="439" t="s">
        <v>385</v>
      </c>
      <c r="AL228" s="85" t="s">
        <v>385</v>
      </c>
      <c r="AM228" s="111"/>
      <c r="AN228" s="111"/>
      <c r="AO228" s="85"/>
      <c r="AP228" s="440"/>
      <c r="AQ228" s="85" t="s">
        <v>1424</v>
      </c>
      <c r="AR228" s="128"/>
      <c r="AS228" s="67"/>
    </row>
    <row r="229" spans="1:45" ht="71">
      <c r="A229" s="68"/>
      <c r="B229" s="70" t="s">
        <v>658</v>
      </c>
      <c r="C229" s="72">
        <v>43475</v>
      </c>
      <c r="D229" s="74" t="s">
        <v>360</v>
      </c>
      <c r="E229" s="76">
        <v>43575</v>
      </c>
      <c r="F229" s="78" t="s">
        <v>363</v>
      </c>
      <c r="G229" s="76">
        <v>43581</v>
      </c>
      <c r="H229" s="78" t="s">
        <v>355</v>
      </c>
      <c r="I229" s="125" t="s">
        <v>1425</v>
      </c>
      <c r="J229" s="82" t="s">
        <v>174</v>
      </c>
      <c r="K229" s="126" t="s">
        <v>524</v>
      </c>
      <c r="L229" s="84" t="s">
        <v>284</v>
      </c>
      <c r="M229" s="85" t="s">
        <v>385</v>
      </c>
      <c r="N229" s="614" t="s">
        <v>542</v>
      </c>
      <c r="O229" s="613"/>
      <c r="P229" s="96"/>
      <c r="Q229" s="162" t="s">
        <v>385</v>
      </c>
      <c r="R229" s="85" t="s">
        <v>1426</v>
      </c>
      <c r="S229" s="96"/>
      <c r="T229" s="85" t="s">
        <v>402</v>
      </c>
      <c r="U229" s="85" t="s">
        <v>402</v>
      </c>
      <c r="V229" s="85" t="s">
        <v>402</v>
      </c>
      <c r="W229" s="85" t="s">
        <v>402</v>
      </c>
      <c r="X229" s="85" t="s">
        <v>402</v>
      </c>
      <c r="Y229" s="85" t="s">
        <v>402</v>
      </c>
      <c r="Z229" s="85" t="s">
        <v>402</v>
      </c>
      <c r="AA229" s="85" t="s">
        <v>402</v>
      </c>
      <c r="AB229" s="96"/>
      <c r="AC229" s="443" t="s">
        <v>590</v>
      </c>
      <c r="AD229" s="96"/>
      <c r="AE229" s="85" t="s">
        <v>355</v>
      </c>
      <c r="AF229" s="85" t="s">
        <v>355</v>
      </c>
      <c r="AG229" s="85" t="s">
        <v>355</v>
      </c>
      <c r="AH229" s="96"/>
      <c r="AI229" s="85" t="s">
        <v>530</v>
      </c>
      <c r="AJ229" s="96"/>
      <c r="AK229" s="444" t="s">
        <v>402</v>
      </c>
      <c r="AL229" s="85" t="s">
        <v>355</v>
      </c>
      <c r="AM229" s="85" t="s">
        <v>530</v>
      </c>
      <c r="AN229" s="85" t="s">
        <v>530</v>
      </c>
      <c r="AO229" s="85" t="s">
        <v>530</v>
      </c>
      <c r="AP229" s="85" t="s">
        <v>530</v>
      </c>
      <c r="AQ229" s="85" t="s">
        <v>1427</v>
      </c>
      <c r="AR229" s="128" t="s">
        <v>725</v>
      </c>
      <c r="AS229" s="67"/>
    </row>
    <row r="230" spans="1:45" ht="15">
      <c r="A230" s="103"/>
      <c r="B230" s="70"/>
      <c r="C230" s="72"/>
      <c r="D230" s="74"/>
      <c r="E230" s="104"/>
      <c r="F230" s="104"/>
      <c r="G230" s="104"/>
      <c r="H230" s="104"/>
      <c r="I230" s="129"/>
      <c r="J230" s="105"/>
      <c r="K230" s="106"/>
      <c r="L230" s="106"/>
      <c r="M230" s="85"/>
      <c r="N230" s="85"/>
      <c r="O230" s="85"/>
      <c r="P230" s="96"/>
      <c r="Q230" s="85"/>
      <c r="R230" s="85"/>
      <c r="S230" s="96"/>
      <c r="T230" s="85"/>
      <c r="U230" s="85"/>
      <c r="V230" s="85"/>
      <c r="W230" s="85"/>
      <c r="X230" s="85"/>
      <c r="Y230" s="85"/>
      <c r="Z230" s="85"/>
      <c r="AA230" s="85"/>
      <c r="AB230" s="96"/>
      <c r="AC230" s="438"/>
      <c r="AD230" s="96"/>
      <c r="AE230" s="85"/>
      <c r="AF230" s="85"/>
      <c r="AG230" s="85"/>
      <c r="AH230" s="96"/>
      <c r="AI230" s="85"/>
      <c r="AJ230" s="96"/>
      <c r="AK230" s="440"/>
      <c r="AL230" s="85"/>
      <c r="AM230" s="85"/>
      <c r="AN230" s="85"/>
      <c r="AO230" s="85"/>
      <c r="AP230" s="85"/>
      <c r="AQ230" s="85" t="s">
        <v>1428</v>
      </c>
      <c r="AR230" s="128"/>
      <c r="AS230" s="67"/>
    </row>
    <row r="231" spans="1:45" ht="15">
      <c r="A231" s="68"/>
      <c r="B231" s="70"/>
      <c r="C231" s="72"/>
      <c r="D231" s="74"/>
      <c r="E231" s="104"/>
      <c r="F231" s="104"/>
      <c r="G231" s="104"/>
      <c r="H231" s="78" t="s">
        <v>1429</v>
      </c>
      <c r="I231" s="125"/>
      <c r="J231" s="82"/>
      <c r="K231" s="84"/>
      <c r="L231" s="84" t="s">
        <v>284</v>
      </c>
      <c r="M231" s="85" t="s">
        <v>385</v>
      </c>
      <c r="N231" s="614" t="s">
        <v>542</v>
      </c>
      <c r="O231" s="613"/>
      <c r="P231" s="96"/>
      <c r="Q231" s="162" t="s">
        <v>385</v>
      </c>
      <c r="R231" s="85"/>
      <c r="S231" s="96"/>
      <c r="T231" s="85" t="s">
        <v>402</v>
      </c>
      <c r="U231" s="85" t="s">
        <v>402</v>
      </c>
      <c r="V231" s="85" t="s">
        <v>402</v>
      </c>
      <c r="W231" s="85" t="s">
        <v>402</v>
      </c>
      <c r="X231" s="85" t="s">
        <v>402</v>
      </c>
      <c r="Y231" s="85" t="s">
        <v>402</v>
      </c>
      <c r="Z231" s="85" t="s">
        <v>402</v>
      </c>
      <c r="AA231" s="85" t="s">
        <v>402</v>
      </c>
      <c r="AB231" s="96"/>
      <c r="AC231" s="443"/>
      <c r="AD231" s="96"/>
      <c r="AE231" s="85" t="s">
        <v>385</v>
      </c>
      <c r="AF231" s="85" t="s">
        <v>385</v>
      </c>
      <c r="AG231" s="85" t="s">
        <v>385</v>
      </c>
      <c r="AH231" s="96"/>
      <c r="AI231" s="85" t="s">
        <v>530</v>
      </c>
      <c r="AJ231" s="96"/>
      <c r="AK231" s="444" t="s">
        <v>402</v>
      </c>
      <c r="AL231" s="85" t="s">
        <v>385</v>
      </c>
      <c r="AM231" s="85"/>
      <c r="AN231" s="85"/>
      <c r="AO231" s="85"/>
      <c r="AP231" s="85"/>
      <c r="AQ231" s="85"/>
      <c r="AR231" s="128"/>
      <c r="AS231" s="67"/>
    </row>
    <row r="232" spans="1:45" ht="29">
      <c r="A232" s="103"/>
      <c r="B232" s="70" t="s">
        <v>658</v>
      </c>
      <c r="C232" s="72">
        <v>43475</v>
      </c>
      <c r="D232" s="74" t="s">
        <v>360</v>
      </c>
      <c r="E232" s="76">
        <v>43575</v>
      </c>
      <c r="F232" s="78" t="s">
        <v>363</v>
      </c>
      <c r="G232" s="76">
        <v>43581</v>
      </c>
      <c r="H232" s="78" t="s">
        <v>355</v>
      </c>
      <c r="I232" s="129" t="s">
        <v>1430</v>
      </c>
      <c r="J232" s="105" t="s">
        <v>175</v>
      </c>
      <c r="K232" s="126" t="s">
        <v>368</v>
      </c>
      <c r="L232" s="84" t="s">
        <v>324</v>
      </c>
      <c r="M232" s="85" t="s">
        <v>382</v>
      </c>
      <c r="N232" s="625" t="s">
        <v>1431</v>
      </c>
      <c r="O232" s="613"/>
      <c r="P232" s="91" t="s">
        <v>717</v>
      </c>
      <c r="Q232" s="85" t="s">
        <v>385</v>
      </c>
      <c r="R232" s="85" t="s">
        <v>385</v>
      </c>
      <c r="S232" s="96"/>
      <c r="T232" s="85" t="s">
        <v>402</v>
      </c>
      <c r="U232" s="85" t="s">
        <v>402</v>
      </c>
      <c r="V232" s="85" t="s">
        <v>402</v>
      </c>
      <c r="W232" s="85" t="s">
        <v>402</v>
      </c>
      <c r="X232" s="85" t="s">
        <v>402</v>
      </c>
      <c r="Y232" s="85" t="s">
        <v>402</v>
      </c>
      <c r="Z232" s="85" t="s">
        <v>402</v>
      </c>
      <c r="AA232" s="85" t="s">
        <v>402</v>
      </c>
      <c r="AB232" s="96"/>
      <c r="AC232" s="85" t="s">
        <v>965</v>
      </c>
      <c r="AD232" s="91" t="s">
        <v>1009</v>
      </c>
      <c r="AE232" s="85" t="s">
        <v>385</v>
      </c>
      <c r="AF232" s="85" t="s">
        <v>385</v>
      </c>
      <c r="AG232" s="85" t="s">
        <v>1046</v>
      </c>
      <c r="AH232" s="91" t="s">
        <v>1090</v>
      </c>
      <c r="AI232" s="85" t="s">
        <v>385</v>
      </c>
      <c r="AJ232" s="85" t="s">
        <v>1184</v>
      </c>
      <c r="AK232" s="440" t="s">
        <v>402</v>
      </c>
      <c r="AL232" s="85" t="s">
        <v>385</v>
      </c>
      <c r="AM232" s="85" t="s">
        <v>385</v>
      </c>
      <c r="AN232" s="85" t="s">
        <v>1270</v>
      </c>
      <c r="AO232" s="85" t="s">
        <v>385</v>
      </c>
      <c r="AP232" s="440" t="s">
        <v>385</v>
      </c>
      <c r="AQ232" s="85" t="s">
        <v>1432</v>
      </c>
      <c r="AR232" s="128" t="s">
        <v>1314</v>
      </c>
      <c r="AS232" s="67"/>
    </row>
    <row r="233" spans="1:45" ht="15">
      <c r="A233" s="103"/>
      <c r="B233" s="70"/>
      <c r="C233" s="72"/>
      <c r="D233" s="74"/>
      <c r="E233" s="104"/>
      <c r="F233" s="104"/>
      <c r="G233" s="104"/>
      <c r="H233" s="104"/>
      <c r="I233" s="129"/>
      <c r="J233" s="105"/>
      <c r="K233" s="106"/>
      <c r="L233" s="84"/>
      <c r="M233" s="85"/>
      <c r="N233" s="107"/>
      <c r="O233" s="107"/>
      <c r="P233" s="85" t="s">
        <v>1433</v>
      </c>
      <c r="Q233" s="85"/>
      <c r="R233" s="85"/>
      <c r="S233" s="96"/>
      <c r="T233" s="85"/>
      <c r="U233" s="85"/>
      <c r="V233" s="85"/>
      <c r="W233" s="85"/>
      <c r="X233" s="85"/>
      <c r="Y233" s="85"/>
      <c r="Z233" s="85"/>
      <c r="AA233" s="85"/>
      <c r="AB233" s="96"/>
      <c r="AC233" s="85"/>
      <c r="AD233" s="85"/>
      <c r="AE233" s="85" t="s">
        <v>354</v>
      </c>
      <c r="AF233" s="85"/>
      <c r="AG233" s="85"/>
      <c r="AH233" s="85"/>
      <c r="AI233" s="85"/>
      <c r="AJ233" s="85"/>
      <c r="AK233" s="440"/>
      <c r="AL233" s="85"/>
      <c r="AM233" s="85"/>
      <c r="AN233" s="85"/>
      <c r="AO233" s="85"/>
      <c r="AP233" s="440"/>
      <c r="AQ233" s="85" t="s">
        <v>1434</v>
      </c>
      <c r="AR233" s="128"/>
      <c r="AS233" s="67"/>
    </row>
    <row r="234" spans="1:45" ht="15">
      <c r="A234" s="103"/>
      <c r="B234" s="70"/>
      <c r="C234" s="72"/>
      <c r="D234" s="74"/>
      <c r="E234" s="104"/>
      <c r="F234" s="104"/>
      <c r="G234" s="104"/>
      <c r="H234" s="104"/>
      <c r="I234" s="129"/>
      <c r="J234" s="105"/>
      <c r="K234" s="106"/>
      <c r="L234" s="84" t="s">
        <v>324</v>
      </c>
      <c r="M234" s="85" t="s">
        <v>382</v>
      </c>
      <c r="N234" s="107" t="s">
        <v>543</v>
      </c>
      <c r="O234" s="107"/>
      <c r="P234" s="85"/>
      <c r="Q234" s="85" t="s">
        <v>385</v>
      </c>
      <c r="R234" s="85" t="s">
        <v>385</v>
      </c>
      <c r="S234" s="96"/>
      <c r="T234" s="85" t="s">
        <v>402</v>
      </c>
      <c r="U234" s="85" t="s">
        <v>402</v>
      </c>
      <c r="V234" s="85" t="s">
        <v>402</v>
      </c>
      <c r="W234" s="85" t="s">
        <v>402</v>
      </c>
      <c r="X234" s="85" t="s">
        <v>402</v>
      </c>
      <c r="Y234" s="85" t="s">
        <v>402</v>
      </c>
      <c r="Z234" s="85" t="s">
        <v>402</v>
      </c>
      <c r="AA234" s="85" t="s">
        <v>402</v>
      </c>
      <c r="AB234" s="96"/>
      <c r="AC234" s="85" t="s">
        <v>965</v>
      </c>
      <c r="AD234" s="91" t="s">
        <v>1009</v>
      </c>
      <c r="AE234" s="85" t="s">
        <v>354</v>
      </c>
      <c r="AF234" s="85" t="s">
        <v>385</v>
      </c>
      <c r="AG234" s="85" t="s">
        <v>1046</v>
      </c>
      <c r="AH234" s="91" t="s">
        <v>1090</v>
      </c>
      <c r="AI234" s="85" t="s">
        <v>385</v>
      </c>
      <c r="AJ234" s="85" t="s">
        <v>1184</v>
      </c>
      <c r="AK234" s="440" t="s">
        <v>402</v>
      </c>
      <c r="AL234" s="85" t="s">
        <v>385</v>
      </c>
      <c r="AM234" s="85"/>
      <c r="AN234" s="85" t="s">
        <v>1270</v>
      </c>
      <c r="AO234" s="85"/>
      <c r="AP234" s="440"/>
      <c r="AQ234" s="85"/>
      <c r="AR234" s="128"/>
      <c r="AS234" s="67"/>
    </row>
    <row r="235" spans="1:45" ht="70">
      <c r="A235" s="103"/>
      <c r="B235" s="70" t="s">
        <v>658</v>
      </c>
      <c r="C235" s="72">
        <v>43477</v>
      </c>
      <c r="D235" s="74" t="s">
        <v>782</v>
      </c>
      <c r="E235" s="76">
        <v>43579</v>
      </c>
      <c r="F235" s="78" t="s">
        <v>363</v>
      </c>
      <c r="G235" s="76">
        <v>43583</v>
      </c>
      <c r="H235" s="78" t="s">
        <v>355</v>
      </c>
      <c r="I235" s="129" t="s">
        <v>1438</v>
      </c>
      <c r="J235" s="105" t="s">
        <v>176</v>
      </c>
      <c r="K235" s="126" t="s">
        <v>524</v>
      </c>
      <c r="L235" s="219" t="s">
        <v>291</v>
      </c>
      <c r="M235" s="220" t="s">
        <v>385</v>
      </c>
      <c r="N235" s="626" t="s">
        <v>544</v>
      </c>
      <c r="O235" s="613"/>
      <c r="P235" s="399" t="s">
        <v>694</v>
      </c>
      <c r="Q235" s="220" t="s">
        <v>385</v>
      </c>
      <c r="R235" s="220" t="s">
        <v>820</v>
      </c>
      <c r="S235" s="221" t="s">
        <v>871</v>
      </c>
      <c r="T235" s="220" t="s">
        <v>402</v>
      </c>
      <c r="U235" s="220" t="s">
        <v>402</v>
      </c>
      <c r="V235" s="220" t="s">
        <v>402</v>
      </c>
      <c r="W235" s="220" t="s">
        <v>402</v>
      </c>
      <c r="X235" s="220" t="s">
        <v>402</v>
      </c>
      <c r="Y235" s="220" t="s">
        <v>402</v>
      </c>
      <c r="Z235" s="220" t="s">
        <v>402</v>
      </c>
      <c r="AA235" s="220" t="s">
        <v>402</v>
      </c>
      <c r="AB235" s="222"/>
      <c r="AC235" s="222" t="s">
        <v>966</v>
      </c>
      <c r="AD235" s="399" t="s">
        <v>544</v>
      </c>
      <c r="AE235" s="220" t="s">
        <v>385</v>
      </c>
      <c r="AF235" s="220" t="s">
        <v>385</v>
      </c>
      <c r="AG235" s="220" t="s">
        <v>385</v>
      </c>
      <c r="AH235" s="399" t="s">
        <v>1092</v>
      </c>
      <c r="AI235" s="220" t="s">
        <v>642</v>
      </c>
      <c r="AJ235" s="220" t="s">
        <v>1185</v>
      </c>
      <c r="AK235" s="456" t="s">
        <v>402</v>
      </c>
      <c r="AL235" s="220" t="s">
        <v>385</v>
      </c>
      <c r="AM235" s="220" t="s">
        <v>1252</v>
      </c>
      <c r="AN235" s="220" t="s">
        <v>1440</v>
      </c>
      <c r="AO235" s="220" t="s">
        <v>402</v>
      </c>
      <c r="AP235" s="220" t="s">
        <v>402</v>
      </c>
      <c r="AQ235" s="220" t="s">
        <v>1441</v>
      </c>
      <c r="AR235" s="224" t="s">
        <v>1422</v>
      </c>
      <c r="AS235" s="225"/>
    </row>
    <row r="236" spans="1:45" ht="15">
      <c r="A236" s="103"/>
      <c r="B236" s="70"/>
      <c r="C236" s="72"/>
      <c r="D236" s="74"/>
      <c r="E236" s="104"/>
      <c r="F236" s="104"/>
      <c r="G236" s="104"/>
      <c r="H236" s="104"/>
      <c r="I236" s="129"/>
      <c r="J236" s="105"/>
      <c r="K236" s="105"/>
      <c r="L236" s="219"/>
      <c r="M236" s="220"/>
      <c r="N236" s="399"/>
      <c r="O236" s="399"/>
      <c r="P236" s="399"/>
      <c r="Q236" s="220"/>
      <c r="R236" s="220"/>
      <c r="S236" s="220"/>
      <c r="T236" s="220"/>
      <c r="U236" s="220"/>
      <c r="V236" s="220"/>
      <c r="W236" s="220"/>
      <c r="X236" s="220"/>
      <c r="Y236" s="220"/>
      <c r="Z236" s="220"/>
      <c r="AA236" s="220"/>
      <c r="AB236" s="222"/>
      <c r="AC236" s="222"/>
      <c r="AD236" s="399"/>
      <c r="AE236" s="220"/>
      <c r="AF236" s="220"/>
      <c r="AG236" s="384" t="s">
        <v>864</v>
      </c>
      <c r="AH236" s="254" t="s">
        <v>1442</v>
      </c>
      <c r="AI236" s="220"/>
      <c r="AJ236" s="220"/>
      <c r="AK236" s="456"/>
      <c r="AL236" s="220"/>
      <c r="AM236" s="220"/>
      <c r="AN236" s="220"/>
      <c r="AO236" s="220"/>
      <c r="AP236" s="220"/>
      <c r="AQ236" s="220"/>
      <c r="AR236" s="224"/>
      <c r="AS236" s="225"/>
    </row>
    <row r="237" spans="1:45" ht="15">
      <c r="A237" s="103"/>
      <c r="B237" s="70"/>
      <c r="C237" s="72"/>
      <c r="D237" s="74"/>
      <c r="E237" s="104"/>
      <c r="F237" s="104"/>
      <c r="G237" s="104"/>
      <c r="H237" s="104"/>
      <c r="I237" s="129"/>
      <c r="J237" s="105"/>
      <c r="K237" s="105"/>
      <c r="L237" s="219" t="s">
        <v>291</v>
      </c>
      <c r="M237" s="220" t="s">
        <v>385</v>
      </c>
      <c r="N237" s="626" t="s">
        <v>544</v>
      </c>
      <c r="O237" s="613"/>
      <c r="P237" s="399" t="s">
        <v>694</v>
      </c>
      <c r="Q237" s="384" t="s">
        <v>794</v>
      </c>
      <c r="R237" s="220" t="s">
        <v>820</v>
      </c>
      <c r="S237" s="221" t="s">
        <v>871</v>
      </c>
      <c r="T237" s="220" t="s">
        <v>402</v>
      </c>
      <c r="U237" s="220" t="s">
        <v>402</v>
      </c>
      <c r="V237" s="220" t="s">
        <v>402</v>
      </c>
      <c r="W237" s="220" t="s">
        <v>402</v>
      </c>
      <c r="X237" s="220" t="s">
        <v>402</v>
      </c>
      <c r="Y237" s="220" t="s">
        <v>402</v>
      </c>
      <c r="Z237" s="220" t="s">
        <v>402</v>
      </c>
      <c r="AA237" s="220" t="s">
        <v>402</v>
      </c>
      <c r="AB237" s="96"/>
      <c r="AC237" s="222" t="s">
        <v>966</v>
      </c>
      <c r="AD237" s="399" t="s">
        <v>544</v>
      </c>
      <c r="AE237" s="220" t="s">
        <v>385</v>
      </c>
      <c r="AF237" s="220" t="s">
        <v>385</v>
      </c>
      <c r="AG237" s="220" t="s">
        <v>385</v>
      </c>
      <c r="AH237" s="399" t="s">
        <v>1092</v>
      </c>
      <c r="AI237" s="220" t="s">
        <v>642</v>
      </c>
      <c r="AJ237" s="220" t="s">
        <v>1185</v>
      </c>
      <c r="AK237" s="456" t="s">
        <v>402</v>
      </c>
      <c r="AL237" s="220" t="s">
        <v>385</v>
      </c>
      <c r="AM237" s="220" t="s">
        <v>1252</v>
      </c>
      <c r="AN237" s="85"/>
      <c r="AO237" s="85"/>
      <c r="AP237" s="85"/>
      <c r="AQ237" s="85"/>
      <c r="AR237" s="128"/>
      <c r="AS237" s="67"/>
    </row>
    <row r="238" spans="1:45" ht="42">
      <c r="A238" s="103"/>
      <c r="B238" s="70" t="s">
        <v>658</v>
      </c>
      <c r="C238" s="72">
        <v>43477</v>
      </c>
      <c r="D238" s="74" t="s">
        <v>782</v>
      </c>
      <c r="E238" s="76">
        <v>43579</v>
      </c>
      <c r="F238" s="78" t="s">
        <v>363</v>
      </c>
      <c r="G238" s="76">
        <v>43583</v>
      </c>
      <c r="H238" s="78" t="s">
        <v>355</v>
      </c>
      <c r="I238" s="129" t="s">
        <v>1444</v>
      </c>
      <c r="J238" s="105" t="s">
        <v>177</v>
      </c>
      <c r="K238" s="126" t="s">
        <v>851</v>
      </c>
      <c r="L238" s="197" t="s">
        <v>325</v>
      </c>
      <c r="M238" s="198" t="s">
        <v>385</v>
      </c>
      <c r="N238" s="457" t="s">
        <v>548</v>
      </c>
      <c r="O238" s="199" t="s">
        <v>681</v>
      </c>
      <c r="P238" s="457" t="s">
        <v>548</v>
      </c>
      <c r="Q238" s="198" t="s">
        <v>354</v>
      </c>
      <c r="R238" s="204"/>
      <c r="S238" s="204"/>
      <c r="T238" s="198" t="s">
        <v>402</v>
      </c>
      <c r="U238" s="198" t="s">
        <v>402</v>
      </c>
      <c r="V238" s="198" t="s">
        <v>402</v>
      </c>
      <c r="W238" s="198" t="s">
        <v>402</v>
      </c>
      <c r="X238" s="198" t="s">
        <v>402</v>
      </c>
      <c r="Y238" s="198" t="s">
        <v>402</v>
      </c>
      <c r="Z238" s="198" t="s">
        <v>402</v>
      </c>
      <c r="AA238" s="198" t="s">
        <v>402</v>
      </c>
      <c r="AB238" s="204"/>
      <c r="AC238" s="198" t="s">
        <v>402</v>
      </c>
      <c r="AD238" s="204"/>
      <c r="AE238" s="198" t="s">
        <v>385</v>
      </c>
      <c r="AF238" s="198" t="s">
        <v>385</v>
      </c>
      <c r="AG238" s="198" t="s">
        <v>385</v>
      </c>
      <c r="AH238" s="457" t="s">
        <v>1093</v>
      </c>
      <c r="AI238" s="198" t="s">
        <v>642</v>
      </c>
      <c r="AJ238" s="198" t="s">
        <v>1186</v>
      </c>
      <c r="AK238" s="198" t="s">
        <v>1228</v>
      </c>
      <c r="AL238" s="198" t="s">
        <v>385</v>
      </c>
      <c r="AM238" s="198" t="s">
        <v>1253</v>
      </c>
      <c r="AN238" s="198" t="s">
        <v>402</v>
      </c>
      <c r="AO238" s="198" t="s">
        <v>402</v>
      </c>
      <c r="AP238" s="198" t="s">
        <v>402</v>
      </c>
      <c r="AQ238" s="198" t="s">
        <v>1448</v>
      </c>
      <c r="AR238" s="203" t="s">
        <v>1449</v>
      </c>
      <c r="AS238" s="204"/>
    </row>
    <row r="239" spans="1:45" ht="15">
      <c r="A239" s="103"/>
      <c r="B239" s="70"/>
      <c r="C239" s="72"/>
      <c r="D239" s="74"/>
      <c r="E239" s="104"/>
      <c r="F239" s="104"/>
      <c r="G239" s="104"/>
      <c r="H239" s="104"/>
      <c r="I239" s="129"/>
      <c r="J239" s="105"/>
      <c r="K239" s="105"/>
      <c r="L239" s="197"/>
      <c r="M239" s="198"/>
      <c r="N239" s="29" t="s">
        <v>1450</v>
      </c>
      <c r="O239" s="198"/>
      <c r="P239" s="457"/>
      <c r="Q239" s="198"/>
      <c r="R239" s="204"/>
      <c r="S239" s="204"/>
      <c r="T239" s="198"/>
      <c r="U239" s="198"/>
      <c r="V239" s="198"/>
      <c r="W239" s="198"/>
      <c r="X239" s="198"/>
      <c r="Y239" s="198"/>
      <c r="Z239" s="198"/>
      <c r="AA239" s="198"/>
      <c r="AB239" s="204"/>
      <c r="AC239" s="198"/>
      <c r="AD239" s="204"/>
      <c r="AE239" s="198"/>
      <c r="AF239" s="198"/>
      <c r="AG239" s="198"/>
      <c r="AH239" s="457"/>
      <c r="AI239" s="198"/>
      <c r="AJ239" s="198"/>
      <c r="AK239" s="198"/>
      <c r="AL239" s="198"/>
      <c r="AM239" s="198"/>
      <c r="AN239" s="198"/>
      <c r="AO239" s="198"/>
      <c r="AP239" s="198"/>
      <c r="AQ239" s="198"/>
      <c r="AR239" s="203"/>
      <c r="AS239" s="204"/>
    </row>
    <row r="240" spans="1:45" ht="15">
      <c r="A240" s="103"/>
      <c r="B240" s="70"/>
      <c r="C240" s="72"/>
      <c r="D240" s="74"/>
      <c r="E240" s="104"/>
      <c r="F240" s="104"/>
      <c r="G240" s="104"/>
      <c r="H240" s="104"/>
      <c r="I240" s="129"/>
      <c r="J240" s="105"/>
      <c r="K240" s="105"/>
      <c r="L240" s="197" t="s">
        <v>325</v>
      </c>
      <c r="M240" s="198" t="s">
        <v>385</v>
      </c>
      <c r="N240" s="457" t="s">
        <v>548</v>
      </c>
      <c r="O240" s="199" t="s">
        <v>681</v>
      </c>
      <c r="P240" s="457" t="s">
        <v>548</v>
      </c>
      <c r="Q240" s="198" t="s">
        <v>354</v>
      </c>
      <c r="R240" s="96"/>
      <c r="S240" s="420"/>
      <c r="T240" s="198" t="s">
        <v>402</v>
      </c>
      <c r="U240" s="198" t="s">
        <v>402</v>
      </c>
      <c r="V240" s="198" t="s">
        <v>402</v>
      </c>
      <c r="W240" s="198" t="s">
        <v>402</v>
      </c>
      <c r="X240" s="198" t="s">
        <v>402</v>
      </c>
      <c r="Y240" s="198" t="s">
        <v>402</v>
      </c>
      <c r="Z240" s="198" t="s">
        <v>402</v>
      </c>
      <c r="AA240" s="198" t="s">
        <v>402</v>
      </c>
      <c r="AB240" s="96"/>
      <c r="AC240" s="198"/>
      <c r="AD240" s="204"/>
      <c r="AE240" s="198" t="s">
        <v>385</v>
      </c>
      <c r="AF240" s="198" t="s">
        <v>385</v>
      </c>
      <c r="AG240" s="198" t="s">
        <v>385</v>
      </c>
      <c r="AH240" s="457" t="s">
        <v>1093</v>
      </c>
      <c r="AI240" s="198" t="s">
        <v>642</v>
      </c>
      <c r="AJ240" s="198" t="s">
        <v>1186</v>
      </c>
      <c r="AK240" s="198" t="s">
        <v>1228</v>
      </c>
      <c r="AL240" s="198" t="s">
        <v>385</v>
      </c>
      <c r="AM240" s="198" t="s">
        <v>1253</v>
      </c>
      <c r="AN240" s="85"/>
      <c r="AO240" s="85"/>
      <c r="AP240" s="85"/>
      <c r="AQ240" s="85"/>
      <c r="AR240" s="128"/>
      <c r="AS240" s="67"/>
    </row>
    <row r="241" spans="1:45" ht="13">
      <c r="A241" s="103"/>
      <c r="B241" s="70" t="s">
        <v>658</v>
      </c>
      <c r="C241" s="72">
        <v>43477</v>
      </c>
      <c r="D241" s="74" t="s">
        <v>782</v>
      </c>
      <c r="E241" s="76">
        <v>43579</v>
      </c>
      <c r="F241" s="78" t="s">
        <v>363</v>
      </c>
      <c r="G241" s="76">
        <v>43583</v>
      </c>
      <c r="H241" s="78" t="s">
        <v>355</v>
      </c>
      <c r="I241" s="129" t="s">
        <v>1453</v>
      </c>
      <c r="J241" s="82" t="s">
        <v>178</v>
      </c>
      <c r="K241" s="82"/>
      <c r="L241" s="219" t="s">
        <v>1454</v>
      </c>
      <c r="M241" s="220" t="s">
        <v>385</v>
      </c>
      <c r="N241" s="222"/>
      <c r="O241" s="222"/>
      <c r="P241" s="221" t="s">
        <v>694</v>
      </c>
      <c r="Q241" s="220" t="s">
        <v>385</v>
      </c>
      <c r="R241" s="222"/>
      <c r="S241" s="222"/>
      <c r="T241" s="220" t="s">
        <v>402</v>
      </c>
      <c r="U241" s="220" t="s">
        <v>402</v>
      </c>
      <c r="V241" s="220" t="s">
        <v>402</v>
      </c>
      <c r="W241" s="220" t="s">
        <v>402</v>
      </c>
      <c r="X241" s="220" t="s">
        <v>402</v>
      </c>
      <c r="Y241" s="220" t="s">
        <v>402</v>
      </c>
      <c r="Z241" s="220" t="s">
        <v>402</v>
      </c>
      <c r="AA241" s="220" t="s">
        <v>402</v>
      </c>
      <c r="AB241" s="222"/>
      <c r="AC241" s="220" t="s">
        <v>402</v>
      </c>
      <c r="AD241" s="222"/>
      <c r="AE241" s="220" t="s">
        <v>385</v>
      </c>
      <c r="AF241" s="220" t="s">
        <v>385</v>
      </c>
      <c r="AG241" s="220" t="s">
        <v>385</v>
      </c>
      <c r="AH241" s="221" t="s">
        <v>774</v>
      </c>
      <c r="AI241" s="220" t="s">
        <v>642</v>
      </c>
      <c r="AJ241" s="220" t="s">
        <v>1185</v>
      </c>
      <c r="AK241" s="456" t="s">
        <v>402</v>
      </c>
      <c r="AL241" s="220" t="s">
        <v>385</v>
      </c>
      <c r="AM241" s="220" t="s">
        <v>385</v>
      </c>
      <c r="AN241" s="220" t="s">
        <v>1440</v>
      </c>
      <c r="AO241" s="220" t="s">
        <v>402</v>
      </c>
      <c r="AP241" s="220" t="s">
        <v>402</v>
      </c>
      <c r="AQ241" s="220" t="s">
        <v>1455</v>
      </c>
      <c r="AR241" s="224" t="s">
        <v>674</v>
      </c>
      <c r="AS241" s="225"/>
    </row>
    <row r="242" spans="1:45" ht="15">
      <c r="A242" s="103"/>
      <c r="B242" s="70"/>
      <c r="C242" s="72"/>
      <c r="D242" s="74"/>
      <c r="E242" s="104"/>
      <c r="F242" s="104"/>
      <c r="G242" s="104"/>
      <c r="H242" s="104"/>
      <c r="I242" s="129"/>
      <c r="J242" s="82"/>
      <c r="K242" s="82"/>
      <c r="L242" s="219"/>
      <c r="M242" s="254" t="s">
        <v>1456</v>
      </c>
      <c r="N242" s="222"/>
      <c r="O242" s="222"/>
      <c r="P242" s="220"/>
      <c r="Q242" s="220"/>
      <c r="R242" s="222"/>
      <c r="S242" s="222"/>
      <c r="T242" s="220"/>
      <c r="U242" s="220"/>
      <c r="V242" s="220"/>
      <c r="W242" s="220"/>
      <c r="X242" s="220"/>
      <c r="Y242" s="220"/>
      <c r="Z242" s="220"/>
      <c r="AA242" s="220"/>
      <c r="AB242" s="222"/>
      <c r="AC242" s="220"/>
      <c r="AD242" s="222"/>
      <c r="AE242" s="220"/>
      <c r="AF242" s="220"/>
      <c r="AG242" s="220"/>
      <c r="AH242" s="220"/>
      <c r="AI242" s="220"/>
      <c r="AJ242" s="220"/>
      <c r="AK242" s="456"/>
      <c r="AL242" s="220"/>
      <c r="AM242" s="220"/>
      <c r="AN242" s="220"/>
      <c r="AO242" s="220"/>
      <c r="AP242" s="220"/>
      <c r="AQ242" s="220"/>
      <c r="AR242" s="224"/>
      <c r="AS242" s="225"/>
    </row>
    <row r="243" spans="1:45" ht="15">
      <c r="A243" s="103"/>
      <c r="B243" s="70"/>
      <c r="C243" s="72"/>
      <c r="D243" s="74"/>
      <c r="E243" s="104"/>
      <c r="F243" s="104"/>
      <c r="G243" s="104"/>
      <c r="H243" s="104"/>
      <c r="I243" s="129"/>
      <c r="J243" s="82"/>
      <c r="K243" s="84"/>
      <c r="L243" s="84"/>
      <c r="M243" s="220" t="s">
        <v>385</v>
      </c>
      <c r="N243" s="96"/>
      <c r="O243" s="96"/>
      <c r="P243" s="221" t="s">
        <v>694</v>
      </c>
      <c r="Q243" s="220" t="s">
        <v>385</v>
      </c>
      <c r="R243" s="96"/>
      <c r="S243" s="96"/>
      <c r="T243" s="220" t="s">
        <v>402</v>
      </c>
      <c r="U243" s="220" t="s">
        <v>402</v>
      </c>
      <c r="V243" s="220" t="s">
        <v>402</v>
      </c>
      <c r="W243" s="220" t="s">
        <v>402</v>
      </c>
      <c r="X243" s="220" t="s">
        <v>402</v>
      </c>
      <c r="Y243" s="220" t="s">
        <v>402</v>
      </c>
      <c r="Z243" s="220" t="s">
        <v>402</v>
      </c>
      <c r="AA243" s="220" t="s">
        <v>402</v>
      </c>
      <c r="AB243" s="96"/>
      <c r="AC243" s="220"/>
      <c r="AD243" s="96"/>
      <c r="AE243" s="220" t="s">
        <v>385</v>
      </c>
      <c r="AF243" s="220" t="s">
        <v>385</v>
      </c>
      <c r="AG243" s="220" t="s">
        <v>385</v>
      </c>
      <c r="AH243" s="221" t="s">
        <v>774</v>
      </c>
      <c r="AI243" s="220" t="s">
        <v>642</v>
      </c>
      <c r="AJ243" s="220" t="s">
        <v>1185</v>
      </c>
      <c r="AK243" s="456" t="s">
        <v>402</v>
      </c>
      <c r="AL243" s="220" t="s">
        <v>385</v>
      </c>
      <c r="AM243" s="85"/>
      <c r="AN243" s="85"/>
      <c r="AO243" s="85"/>
      <c r="AP243" s="85"/>
      <c r="AQ243" s="85"/>
      <c r="AR243" s="128"/>
      <c r="AS243" s="67"/>
    </row>
    <row r="244" spans="1:45" ht="42">
      <c r="A244" s="68"/>
      <c r="B244" s="70" t="s">
        <v>658</v>
      </c>
      <c r="C244" s="72">
        <v>43478</v>
      </c>
      <c r="D244" s="74" t="s">
        <v>782</v>
      </c>
      <c r="E244" s="76">
        <v>43579</v>
      </c>
      <c r="F244" s="78" t="s">
        <v>363</v>
      </c>
      <c r="G244" s="76">
        <v>43583</v>
      </c>
      <c r="H244" s="78" t="s">
        <v>355</v>
      </c>
      <c r="I244" s="125" t="s">
        <v>1457</v>
      </c>
      <c r="J244" s="82" t="s">
        <v>179</v>
      </c>
      <c r="K244" s="83" t="s">
        <v>851</v>
      </c>
      <c r="L244" s="197" t="s">
        <v>326</v>
      </c>
      <c r="M244" s="198" t="s">
        <v>385</v>
      </c>
      <c r="N244" s="624" t="s">
        <v>551</v>
      </c>
      <c r="O244" s="613"/>
      <c r="P244" s="613"/>
      <c r="Q244" s="198" t="s">
        <v>385</v>
      </c>
      <c r="R244" s="198" t="s">
        <v>821</v>
      </c>
      <c r="S244" s="199" t="s">
        <v>881</v>
      </c>
      <c r="T244" s="198" t="s">
        <v>402</v>
      </c>
      <c r="U244" s="198" t="s">
        <v>402</v>
      </c>
      <c r="V244" s="198" t="s">
        <v>402</v>
      </c>
      <c r="W244" s="198" t="s">
        <v>402</v>
      </c>
      <c r="X244" s="198" t="s">
        <v>402</v>
      </c>
      <c r="Y244" s="198" t="s">
        <v>402</v>
      </c>
      <c r="Z244" s="198" t="s">
        <v>402</v>
      </c>
      <c r="AA244" s="198" t="s">
        <v>402</v>
      </c>
      <c r="AB244" s="200"/>
      <c r="AC244" s="198" t="s">
        <v>402</v>
      </c>
      <c r="AD244" s="200"/>
      <c r="AE244" s="198" t="s">
        <v>385</v>
      </c>
      <c r="AF244" s="198" t="s">
        <v>385</v>
      </c>
      <c r="AG244" s="198" t="s">
        <v>385</v>
      </c>
      <c r="AH244" s="200"/>
      <c r="AI244" s="198" t="s">
        <v>1458</v>
      </c>
      <c r="AJ244" s="198" t="s">
        <v>1187</v>
      </c>
      <c r="AK244" s="463" t="s">
        <v>412</v>
      </c>
      <c r="AL244" s="198" t="s">
        <v>385</v>
      </c>
      <c r="AM244" s="198" t="s">
        <v>385</v>
      </c>
      <c r="AN244" s="198" t="s">
        <v>1459</v>
      </c>
      <c r="AO244" s="198" t="s">
        <v>402</v>
      </c>
      <c r="AP244" s="198" t="s">
        <v>402</v>
      </c>
      <c r="AQ244" s="198" t="s">
        <v>1460</v>
      </c>
      <c r="AR244" s="203" t="s">
        <v>725</v>
      </c>
      <c r="AS244" s="200"/>
    </row>
    <row r="245" spans="1:45" ht="13">
      <c r="A245" s="103"/>
      <c r="B245" s="70"/>
      <c r="C245" s="72"/>
      <c r="D245" s="74"/>
      <c r="E245" s="104"/>
      <c r="F245" s="104"/>
      <c r="G245" s="104"/>
      <c r="H245" s="104"/>
      <c r="I245" s="129"/>
      <c r="J245" s="105"/>
      <c r="K245" s="105"/>
      <c r="L245" s="197"/>
      <c r="M245" s="130" t="s">
        <v>1461</v>
      </c>
      <c r="N245" s="198"/>
      <c r="O245" s="198"/>
      <c r="P245" s="198"/>
      <c r="Q245" s="198"/>
      <c r="R245" s="198"/>
      <c r="S245" s="198"/>
      <c r="T245" s="198"/>
      <c r="U245" s="198"/>
      <c r="V245" s="198"/>
      <c r="W245" s="198"/>
      <c r="X245" s="198"/>
      <c r="Y245" s="198"/>
      <c r="Z245" s="198"/>
      <c r="AA245" s="198"/>
      <c r="AB245" s="204"/>
      <c r="AC245" s="198"/>
      <c r="AD245" s="204"/>
      <c r="AE245" s="198"/>
      <c r="AF245" s="198"/>
      <c r="AG245" s="198"/>
      <c r="AH245" s="130" t="s">
        <v>1462</v>
      </c>
      <c r="AI245" s="198"/>
      <c r="AJ245" s="198"/>
      <c r="AK245" s="465"/>
      <c r="AL245" s="198"/>
      <c r="AM245" s="198"/>
      <c r="AN245" s="198"/>
      <c r="AO245" s="198"/>
      <c r="AP245" s="198"/>
      <c r="AQ245" s="198"/>
      <c r="AR245" s="203"/>
      <c r="AS245" s="204"/>
    </row>
    <row r="246" spans="1:45" ht="15">
      <c r="A246" s="103"/>
      <c r="B246" s="70"/>
      <c r="C246" s="72"/>
      <c r="D246" s="74"/>
      <c r="E246" s="104"/>
      <c r="F246" s="104"/>
      <c r="G246" s="104"/>
      <c r="H246" s="78" t="s">
        <v>1463</v>
      </c>
      <c r="I246" s="129"/>
      <c r="J246" s="105"/>
      <c r="K246" s="105"/>
      <c r="L246" s="197" t="s">
        <v>326</v>
      </c>
      <c r="M246" s="85" t="s">
        <v>390</v>
      </c>
      <c r="N246" s="624" t="s">
        <v>551</v>
      </c>
      <c r="O246" s="613"/>
      <c r="P246" s="613"/>
      <c r="Q246" s="198" t="s">
        <v>385</v>
      </c>
      <c r="R246" s="198" t="s">
        <v>821</v>
      </c>
      <c r="S246" s="199" t="s">
        <v>881</v>
      </c>
      <c r="T246" s="198" t="s">
        <v>402</v>
      </c>
      <c r="U246" s="198" t="s">
        <v>402</v>
      </c>
      <c r="V246" s="198" t="s">
        <v>402</v>
      </c>
      <c r="W246" s="198" t="s">
        <v>402</v>
      </c>
      <c r="X246" s="198" t="s">
        <v>402</v>
      </c>
      <c r="Y246" s="198" t="s">
        <v>402</v>
      </c>
      <c r="Z246" s="198" t="s">
        <v>402</v>
      </c>
      <c r="AA246" s="198" t="s">
        <v>402</v>
      </c>
      <c r="AB246" s="96"/>
      <c r="AC246" s="85"/>
      <c r="AD246" s="96"/>
      <c r="AE246" s="198" t="s">
        <v>385</v>
      </c>
      <c r="AF246" s="198" t="s">
        <v>385</v>
      </c>
      <c r="AG246" s="198" t="s">
        <v>385</v>
      </c>
      <c r="AH246" s="15" t="s">
        <v>1094</v>
      </c>
      <c r="AI246" s="85" t="s">
        <v>652</v>
      </c>
      <c r="AJ246" s="198" t="s">
        <v>1187</v>
      </c>
      <c r="AK246" s="465" t="s">
        <v>412</v>
      </c>
      <c r="AL246" s="198" t="s">
        <v>385</v>
      </c>
      <c r="AM246" s="85"/>
      <c r="AN246" s="85"/>
      <c r="AO246" s="85"/>
      <c r="AP246" s="85"/>
      <c r="AQ246" s="85"/>
      <c r="AR246" s="128"/>
      <c r="AS246" s="67"/>
    </row>
    <row r="247" spans="1:45" ht="71">
      <c r="A247" s="103"/>
      <c r="B247" s="70" t="s">
        <v>658</v>
      </c>
      <c r="C247" s="72">
        <v>43478</v>
      </c>
      <c r="D247" s="74" t="s">
        <v>363</v>
      </c>
      <c r="E247" s="76">
        <v>43572</v>
      </c>
      <c r="F247" s="78" t="s">
        <v>360</v>
      </c>
      <c r="G247" s="76">
        <v>43581</v>
      </c>
      <c r="H247" s="78" t="s">
        <v>355</v>
      </c>
      <c r="I247" s="129" t="s">
        <v>1464</v>
      </c>
      <c r="J247" s="82" t="s">
        <v>180</v>
      </c>
      <c r="K247" s="126" t="s">
        <v>524</v>
      </c>
      <c r="L247" s="84" t="s">
        <v>327</v>
      </c>
      <c r="M247" s="85" t="s">
        <v>382</v>
      </c>
      <c r="N247" s="625" t="s">
        <v>553</v>
      </c>
      <c r="O247" s="613"/>
      <c r="P247" s="91" t="s">
        <v>688</v>
      </c>
      <c r="Q247" s="85" t="s">
        <v>354</v>
      </c>
      <c r="R247" s="85" t="s">
        <v>385</v>
      </c>
      <c r="S247" s="96"/>
      <c r="T247" s="85" t="s">
        <v>402</v>
      </c>
      <c r="U247" s="85" t="s">
        <v>402</v>
      </c>
      <c r="V247" s="85" t="s">
        <v>402</v>
      </c>
      <c r="W247" s="85" t="s">
        <v>402</v>
      </c>
      <c r="X247" s="85" t="s">
        <v>402</v>
      </c>
      <c r="Y247" s="85" t="s">
        <v>355</v>
      </c>
      <c r="Z247" s="85" t="s">
        <v>402</v>
      </c>
      <c r="AA247" s="85" t="s">
        <v>402</v>
      </c>
      <c r="AB247" s="96"/>
      <c r="AC247" s="85" t="s">
        <v>967</v>
      </c>
      <c r="AD247" s="107" t="s">
        <v>1011</v>
      </c>
      <c r="AE247" s="85" t="s">
        <v>385</v>
      </c>
      <c r="AF247" s="85" t="s">
        <v>385</v>
      </c>
      <c r="AG247" s="85" t="s">
        <v>385</v>
      </c>
      <c r="AH247" s="91" t="s">
        <v>690</v>
      </c>
      <c r="AI247" s="85" t="s">
        <v>460</v>
      </c>
      <c r="AJ247" s="85" t="s">
        <v>691</v>
      </c>
      <c r="AK247" s="440" t="s">
        <v>385</v>
      </c>
      <c r="AL247" s="85" t="s">
        <v>385</v>
      </c>
      <c r="AM247" s="85" t="s">
        <v>385</v>
      </c>
      <c r="AN247" s="85" t="s">
        <v>385</v>
      </c>
      <c r="AO247" s="85" t="s">
        <v>402</v>
      </c>
      <c r="AP247" s="85" t="s">
        <v>402</v>
      </c>
      <c r="AQ247" s="85" t="s">
        <v>1465</v>
      </c>
      <c r="AR247" s="128" t="s">
        <v>1314</v>
      </c>
      <c r="AS247" s="67"/>
    </row>
    <row r="248" spans="1:45" ht="15">
      <c r="A248" s="103"/>
      <c r="B248" s="70"/>
      <c r="C248" s="72"/>
      <c r="D248" s="74"/>
      <c r="E248" s="104"/>
      <c r="F248" s="104"/>
      <c r="G248" s="104"/>
      <c r="H248" s="104"/>
      <c r="I248" s="129"/>
      <c r="J248" s="82"/>
      <c r="K248" s="84"/>
      <c r="L248" s="84"/>
      <c r="M248" s="85"/>
      <c r="N248" s="107"/>
      <c r="O248" s="107"/>
      <c r="P248" s="85"/>
      <c r="Q248" s="85"/>
      <c r="R248" s="85"/>
      <c r="S248" s="96"/>
      <c r="T248" s="85"/>
      <c r="U248" s="85"/>
      <c r="V248" s="85"/>
      <c r="W248" s="85"/>
      <c r="X248" s="85"/>
      <c r="Y248" s="85"/>
      <c r="Z248" s="85"/>
      <c r="AA248" s="85"/>
      <c r="AB248" s="96"/>
      <c r="AC248" s="85"/>
      <c r="AD248" s="107"/>
      <c r="AE248" s="85"/>
      <c r="AF248" s="85"/>
      <c r="AG248" s="85"/>
      <c r="AH248" s="85"/>
      <c r="AI248" s="85"/>
      <c r="AJ248" s="85"/>
      <c r="AK248" s="85"/>
      <c r="AL248" s="85"/>
      <c r="AM248" s="85"/>
      <c r="AN248" s="85"/>
      <c r="AO248" s="85"/>
      <c r="AP248" s="85"/>
      <c r="AQ248" s="85"/>
      <c r="AR248" s="128"/>
      <c r="AS248" s="67"/>
    </row>
    <row r="249" spans="1:45" ht="15">
      <c r="A249" s="163"/>
      <c r="B249" s="164"/>
      <c r="C249" s="165"/>
      <c r="D249" s="166"/>
      <c r="E249" s="167"/>
      <c r="F249" s="167"/>
      <c r="G249" s="167"/>
      <c r="H249" s="167"/>
      <c r="I249" s="168"/>
      <c r="J249" s="426"/>
      <c r="K249" s="124"/>
      <c r="L249" s="124" t="s">
        <v>327</v>
      </c>
      <c r="M249" s="112" t="s">
        <v>382</v>
      </c>
      <c r="N249" s="113" t="s">
        <v>553</v>
      </c>
      <c r="O249" s="113"/>
      <c r="P249" s="120" t="s">
        <v>688</v>
      </c>
      <c r="Q249" s="112" t="s">
        <v>354</v>
      </c>
      <c r="R249" s="112" t="s">
        <v>385</v>
      </c>
      <c r="S249" s="116"/>
      <c r="T249" s="112" t="s">
        <v>402</v>
      </c>
      <c r="U249" s="112" t="s">
        <v>402</v>
      </c>
      <c r="V249" s="112" t="s">
        <v>402</v>
      </c>
      <c r="W249" s="112" t="s">
        <v>402</v>
      </c>
      <c r="X249" s="112" t="s">
        <v>402</v>
      </c>
      <c r="Y249" s="112" t="s">
        <v>355</v>
      </c>
      <c r="Z249" s="112" t="s">
        <v>402</v>
      </c>
      <c r="AA249" s="112" t="s">
        <v>402</v>
      </c>
      <c r="AB249" s="116"/>
      <c r="AC249" s="112" t="s">
        <v>967</v>
      </c>
      <c r="AD249" s="113" t="s">
        <v>1011</v>
      </c>
      <c r="AE249" s="112" t="s">
        <v>354</v>
      </c>
      <c r="AF249" s="112" t="s">
        <v>385</v>
      </c>
      <c r="AG249" s="112" t="s">
        <v>385</v>
      </c>
      <c r="AH249" s="120" t="s">
        <v>690</v>
      </c>
      <c r="AI249" s="112" t="s">
        <v>460</v>
      </c>
      <c r="AJ249" s="112" t="s">
        <v>691</v>
      </c>
      <c r="AK249" s="112" t="s">
        <v>385</v>
      </c>
      <c r="AL249" s="112" t="s">
        <v>385</v>
      </c>
      <c r="AM249" s="112"/>
      <c r="AN249" s="112"/>
      <c r="AO249" s="112"/>
      <c r="AP249" s="112"/>
      <c r="AQ249" s="112" t="s">
        <v>1466</v>
      </c>
      <c r="AR249" s="139" t="s">
        <v>1314</v>
      </c>
      <c r="AS249" s="140"/>
    </row>
    <row r="250" spans="1:45" ht="99">
      <c r="A250" s="103"/>
      <c r="B250" s="70" t="s">
        <v>658</v>
      </c>
      <c r="C250" s="72">
        <v>43478</v>
      </c>
      <c r="D250" s="74" t="s">
        <v>363</v>
      </c>
      <c r="E250" s="76">
        <v>43572</v>
      </c>
      <c r="F250" s="78" t="s">
        <v>360</v>
      </c>
      <c r="G250" s="76">
        <v>43581</v>
      </c>
      <c r="H250" s="78" t="s">
        <v>355</v>
      </c>
      <c r="I250" s="129" t="s">
        <v>1467</v>
      </c>
      <c r="J250" s="105" t="s">
        <v>181</v>
      </c>
      <c r="K250" s="126" t="s">
        <v>433</v>
      </c>
      <c r="L250" s="84" t="s">
        <v>297</v>
      </c>
      <c r="M250" s="85" t="s">
        <v>374</v>
      </c>
      <c r="N250" s="625" t="s">
        <v>475</v>
      </c>
      <c r="O250" s="613"/>
      <c r="P250" s="107" t="s">
        <v>475</v>
      </c>
      <c r="Q250" s="85" t="s">
        <v>354</v>
      </c>
      <c r="R250" s="85" t="s">
        <v>822</v>
      </c>
      <c r="S250" s="91" t="s">
        <v>852</v>
      </c>
      <c r="T250" s="85" t="s">
        <v>1468</v>
      </c>
      <c r="U250" s="85" t="s">
        <v>1468</v>
      </c>
      <c r="V250" s="85" t="s">
        <v>402</v>
      </c>
      <c r="W250" s="85" t="s">
        <v>402</v>
      </c>
      <c r="X250" s="85" t="s">
        <v>355</v>
      </c>
      <c r="Y250" s="85" t="s">
        <v>355</v>
      </c>
      <c r="Z250" s="85" t="s">
        <v>402</v>
      </c>
      <c r="AA250" s="85" t="s">
        <v>402</v>
      </c>
      <c r="AB250" s="96"/>
      <c r="AC250" s="85" t="s">
        <v>968</v>
      </c>
      <c r="AD250" s="107" t="s">
        <v>475</v>
      </c>
      <c r="AE250" s="85" t="s">
        <v>1468</v>
      </c>
      <c r="AF250" s="85" t="s">
        <v>385</v>
      </c>
      <c r="AG250" s="85" t="s">
        <v>1468</v>
      </c>
      <c r="AH250" s="85" t="s">
        <v>385</v>
      </c>
      <c r="AI250" s="85" t="s">
        <v>460</v>
      </c>
      <c r="AJ250" s="85" t="s">
        <v>1469</v>
      </c>
      <c r="AK250" s="440" t="s">
        <v>412</v>
      </c>
      <c r="AL250" s="85" t="s">
        <v>385</v>
      </c>
      <c r="AM250" s="85" t="s">
        <v>385</v>
      </c>
      <c r="AN250" s="85" t="s">
        <v>385</v>
      </c>
      <c r="AO250" s="85" t="s">
        <v>402</v>
      </c>
      <c r="AP250" s="85" t="s">
        <v>402</v>
      </c>
      <c r="AQ250" s="85" t="s">
        <v>1470</v>
      </c>
      <c r="AR250" s="128" t="s">
        <v>674</v>
      </c>
      <c r="AS250" s="67"/>
    </row>
    <row r="251" spans="1:45" ht="15">
      <c r="A251" s="103"/>
      <c r="B251" s="70"/>
      <c r="C251" s="72"/>
      <c r="D251" s="74"/>
      <c r="E251" s="104"/>
      <c r="F251" s="104"/>
      <c r="G251" s="104"/>
      <c r="H251" s="104"/>
      <c r="I251" s="129"/>
      <c r="J251" s="105" t="s">
        <v>1471</v>
      </c>
      <c r="K251" s="106"/>
      <c r="L251" s="84"/>
      <c r="M251" s="85"/>
      <c r="N251" s="107"/>
      <c r="O251" s="107"/>
      <c r="P251" s="107"/>
      <c r="Q251" s="85"/>
      <c r="R251" s="85"/>
      <c r="S251" s="85"/>
      <c r="T251" s="85"/>
      <c r="U251" s="85"/>
      <c r="V251" s="85"/>
      <c r="W251" s="85"/>
      <c r="X251" s="85"/>
      <c r="Y251" s="85"/>
      <c r="Z251" s="85"/>
      <c r="AA251" s="85"/>
      <c r="AB251" s="96"/>
      <c r="AC251" s="85"/>
      <c r="AD251" s="107"/>
      <c r="AE251" s="85"/>
      <c r="AF251" s="85"/>
      <c r="AG251" s="85"/>
      <c r="AH251" s="91" t="s">
        <v>1023</v>
      </c>
      <c r="AI251" s="85" t="s">
        <v>460</v>
      </c>
      <c r="AJ251" s="85" t="s">
        <v>1165</v>
      </c>
      <c r="AK251" s="440"/>
      <c r="AL251" s="85"/>
      <c r="AM251" s="85"/>
      <c r="AN251" s="85"/>
      <c r="AO251" s="85"/>
      <c r="AP251" s="85"/>
      <c r="AQ251" s="85" t="s">
        <v>1472</v>
      </c>
      <c r="AR251" s="128"/>
      <c r="AS251" s="67"/>
    </row>
    <row r="252" spans="1:45" ht="15">
      <c r="A252" s="163"/>
      <c r="B252" s="164"/>
      <c r="C252" s="165"/>
      <c r="D252" s="166"/>
      <c r="E252" s="167"/>
      <c r="F252" s="167"/>
      <c r="G252" s="167"/>
      <c r="H252" s="167"/>
      <c r="I252" s="168"/>
      <c r="J252" s="169"/>
      <c r="K252" s="170"/>
      <c r="L252" s="124" t="s">
        <v>297</v>
      </c>
      <c r="M252" s="112" t="s">
        <v>374</v>
      </c>
      <c r="N252" s="113" t="s">
        <v>475</v>
      </c>
      <c r="O252" s="113"/>
      <c r="P252" s="113" t="s">
        <v>475</v>
      </c>
      <c r="Q252" s="112" t="s">
        <v>354</v>
      </c>
      <c r="R252" s="112" t="s">
        <v>822</v>
      </c>
      <c r="S252" s="120" t="s">
        <v>852</v>
      </c>
      <c r="T252" s="112" t="s">
        <v>402</v>
      </c>
      <c r="U252" s="112" t="s">
        <v>402</v>
      </c>
      <c r="V252" s="112" t="s">
        <v>402</v>
      </c>
      <c r="W252" s="112" t="s">
        <v>402</v>
      </c>
      <c r="X252" s="112" t="s">
        <v>402</v>
      </c>
      <c r="Y252" s="112" t="s">
        <v>402</v>
      </c>
      <c r="Z252" s="112" t="s">
        <v>402</v>
      </c>
      <c r="AA252" s="112" t="s">
        <v>402</v>
      </c>
      <c r="AB252" s="116"/>
      <c r="AC252" s="112" t="s">
        <v>968</v>
      </c>
      <c r="AD252" s="113" t="s">
        <v>475</v>
      </c>
      <c r="AE252" s="112" t="s">
        <v>385</v>
      </c>
      <c r="AF252" s="112" t="s">
        <v>385</v>
      </c>
      <c r="AG252" s="112" t="s">
        <v>385</v>
      </c>
      <c r="AH252" s="120" t="s">
        <v>1023</v>
      </c>
      <c r="AI252" s="112" t="s">
        <v>460</v>
      </c>
      <c r="AJ252" s="112" t="s">
        <v>1165</v>
      </c>
      <c r="AK252" s="467" t="s">
        <v>412</v>
      </c>
      <c r="AL252" s="112" t="s">
        <v>385</v>
      </c>
      <c r="AM252" s="112"/>
      <c r="AN252" s="112"/>
      <c r="AO252" s="112"/>
      <c r="AP252" s="112"/>
      <c r="AQ252" s="112" t="s">
        <v>1470</v>
      </c>
      <c r="AR252" s="139" t="s">
        <v>674</v>
      </c>
      <c r="AS252" s="140"/>
    </row>
    <row r="253" spans="1:45" ht="43">
      <c r="A253" s="103"/>
      <c r="B253" s="70" t="s">
        <v>658</v>
      </c>
      <c r="C253" s="72">
        <v>43478</v>
      </c>
      <c r="D253" s="74" t="s">
        <v>363</v>
      </c>
      <c r="E253" s="76">
        <v>43572</v>
      </c>
      <c r="F253" s="78" t="s">
        <v>360</v>
      </c>
      <c r="G253" s="76">
        <v>43581</v>
      </c>
      <c r="H253" s="78" t="s">
        <v>355</v>
      </c>
      <c r="I253" s="129" t="s">
        <v>1473</v>
      </c>
      <c r="J253" s="82" t="s">
        <v>182</v>
      </c>
      <c r="K253" s="126" t="s">
        <v>786</v>
      </c>
      <c r="L253" s="84" t="s">
        <v>291</v>
      </c>
      <c r="M253" s="85" t="s">
        <v>382</v>
      </c>
      <c r="N253" s="625" t="s">
        <v>559</v>
      </c>
      <c r="O253" s="613"/>
      <c r="P253" s="613"/>
      <c r="Q253" s="85" t="s">
        <v>385</v>
      </c>
      <c r="R253" s="85" t="s">
        <v>820</v>
      </c>
      <c r="S253" s="91" t="s">
        <v>871</v>
      </c>
      <c r="T253" s="85" t="s">
        <v>402</v>
      </c>
      <c r="U253" s="85" t="s">
        <v>402</v>
      </c>
      <c r="V253" s="85" t="s">
        <v>402</v>
      </c>
      <c r="W253" s="85" t="s">
        <v>402</v>
      </c>
      <c r="X253" s="85" t="s">
        <v>355</v>
      </c>
      <c r="Y253" s="85" t="s">
        <v>355</v>
      </c>
      <c r="Z253" s="85" t="s">
        <v>402</v>
      </c>
      <c r="AA253" s="85" t="s">
        <v>402</v>
      </c>
      <c r="AB253" s="96"/>
      <c r="AC253" s="85" t="s">
        <v>402</v>
      </c>
      <c r="AD253" s="96"/>
      <c r="AE253" s="85" t="s">
        <v>385</v>
      </c>
      <c r="AF253" s="85" t="s">
        <v>385</v>
      </c>
      <c r="AG253" s="85" t="s">
        <v>385</v>
      </c>
      <c r="AH253" s="85" t="s">
        <v>1095</v>
      </c>
      <c r="AI253" s="85" t="s">
        <v>642</v>
      </c>
      <c r="AJ253" s="85" t="s">
        <v>1188</v>
      </c>
      <c r="AK253" s="85" t="s">
        <v>385</v>
      </c>
      <c r="AL253" s="85" t="s">
        <v>385</v>
      </c>
      <c r="AM253" s="85" t="s">
        <v>385</v>
      </c>
      <c r="AN253" s="85" t="s">
        <v>1474</v>
      </c>
      <c r="AO253" s="85" t="s">
        <v>402</v>
      </c>
      <c r="AP253" s="85" t="s">
        <v>402</v>
      </c>
      <c r="AQ253" s="85" t="s">
        <v>1475</v>
      </c>
      <c r="AR253" s="128" t="s">
        <v>674</v>
      </c>
      <c r="AS253" s="29" t="s">
        <v>1476</v>
      </c>
    </row>
    <row r="254" spans="1:45" ht="15">
      <c r="A254" s="103"/>
      <c r="B254" s="70"/>
      <c r="C254" s="72"/>
      <c r="D254" s="74"/>
      <c r="E254" s="104"/>
      <c r="F254" s="104"/>
      <c r="G254" s="104"/>
      <c r="H254" s="104"/>
      <c r="I254" s="129"/>
      <c r="J254" s="82"/>
      <c r="K254" s="84"/>
      <c r="L254" s="84"/>
      <c r="M254" s="85"/>
      <c r="N254" s="107"/>
      <c r="O254" s="107"/>
      <c r="P254" s="107"/>
      <c r="Q254" s="85"/>
      <c r="R254" s="85"/>
      <c r="S254" s="85"/>
      <c r="T254" s="85"/>
      <c r="U254" s="85"/>
      <c r="V254" s="85"/>
      <c r="W254" s="85"/>
      <c r="X254" s="85"/>
      <c r="Y254" s="85"/>
      <c r="Z254" s="85"/>
      <c r="AA254" s="85"/>
      <c r="AB254" s="96"/>
      <c r="AC254" s="85"/>
      <c r="AD254" s="96"/>
      <c r="AE254" s="85"/>
      <c r="AF254" s="85"/>
      <c r="AG254" s="85"/>
      <c r="AH254" s="130"/>
      <c r="AI254" s="85" t="s">
        <v>385</v>
      </c>
      <c r="AJ254" s="85"/>
      <c r="AK254" s="85"/>
      <c r="AL254" s="85"/>
      <c r="AM254" s="85"/>
      <c r="AN254" s="85" t="s">
        <v>402</v>
      </c>
      <c r="AO254" s="85"/>
      <c r="AP254" s="85"/>
      <c r="AQ254" s="85"/>
      <c r="AR254" s="128"/>
      <c r="AS254" s="67"/>
    </row>
    <row r="255" spans="1:45" ht="15">
      <c r="A255" s="163"/>
      <c r="B255" s="164"/>
      <c r="C255" s="165"/>
      <c r="D255" s="166"/>
      <c r="E255" s="167"/>
      <c r="F255" s="167"/>
      <c r="G255" s="167"/>
      <c r="H255" s="167"/>
      <c r="I255" s="168"/>
      <c r="J255" s="426"/>
      <c r="K255" s="124"/>
      <c r="L255" s="124" t="s">
        <v>291</v>
      </c>
      <c r="M255" s="112" t="s">
        <v>382</v>
      </c>
      <c r="N255" s="113" t="s">
        <v>559</v>
      </c>
      <c r="O255" s="113"/>
      <c r="P255" s="113"/>
      <c r="Q255" s="112" t="s">
        <v>385</v>
      </c>
      <c r="R255" s="112" t="s">
        <v>820</v>
      </c>
      <c r="S255" s="120" t="s">
        <v>871</v>
      </c>
      <c r="T255" s="112" t="s">
        <v>402</v>
      </c>
      <c r="U255" s="112" t="s">
        <v>402</v>
      </c>
      <c r="V255" s="112" t="s">
        <v>402</v>
      </c>
      <c r="W255" s="112" t="s">
        <v>402</v>
      </c>
      <c r="X255" s="112" t="s">
        <v>402</v>
      </c>
      <c r="Y255" s="112" t="s">
        <v>402</v>
      </c>
      <c r="Z255" s="112" t="s">
        <v>402</v>
      </c>
      <c r="AA255" s="112" t="s">
        <v>402</v>
      </c>
      <c r="AB255" s="116"/>
      <c r="AC255" s="112"/>
      <c r="AD255" s="116"/>
      <c r="AE255" s="112" t="s">
        <v>385</v>
      </c>
      <c r="AF255" s="112" t="s">
        <v>385</v>
      </c>
      <c r="AG255" s="112" t="s">
        <v>385</v>
      </c>
      <c r="AH255" s="112" t="s">
        <v>1095</v>
      </c>
      <c r="AI255" s="112" t="s">
        <v>642</v>
      </c>
      <c r="AJ255" s="112" t="s">
        <v>1188</v>
      </c>
      <c r="AK255" s="112" t="s">
        <v>385</v>
      </c>
      <c r="AL255" s="112" t="s">
        <v>385</v>
      </c>
      <c r="AM255" s="112"/>
      <c r="AN255" s="112"/>
      <c r="AO255" s="112"/>
      <c r="AP255" s="112"/>
      <c r="AQ255" s="112" t="s">
        <v>1475</v>
      </c>
      <c r="AR255" s="139" t="s">
        <v>674</v>
      </c>
      <c r="AS255" s="172" t="s">
        <v>1476</v>
      </c>
    </row>
    <row r="256" spans="1:45" ht="18" customHeight="1">
      <c r="A256" s="103"/>
      <c r="B256" s="70" t="s">
        <v>658</v>
      </c>
      <c r="C256" s="72">
        <v>43479</v>
      </c>
      <c r="D256" s="74" t="s">
        <v>363</v>
      </c>
      <c r="E256" s="76">
        <v>43572</v>
      </c>
      <c r="F256" s="78" t="s">
        <v>360</v>
      </c>
      <c r="G256" s="76">
        <v>43581</v>
      </c>
      <c r="H256" s="78" t="s">
        <v>355</v>
      </c>
      <c r="I256" s="129" t="s">
        <v>1477</v>
      </c>
      <c r="J256" s="105" t="s">
        <v>183</v>
      </c>
      <c r="K256" s="126" t="s">
        <v>469</v>
      </c>
      <c r="L256" s="84" t="s">
        <v>305</v>
      </c>
      <c r="M256" s="85" t="s">
        <v>374</v>
      </c>
      <c r="N256" s="625" t="s">
        <v>561</v>
      </c>
      <c r="O256" s="613"/>
      <c r="P256" s="613"/>
      <c r="Q256" s="85" t="s">
        <v>385</v>
      </c>
      <c r="R256" s="85" t="s">
        <v>823</v>
      </c>
      <c r="S256" s="91" t="s">
        <v>473</v>
      </c>
      <c r="T256" s="85" t="s">
        <v>402</v>
      </c>
      <c r="U256" s="85" t="s">
        <v>402</v>
      </c>
      <c r="V256" s="85" t="s">
        <v>922</v>
      </c>
      <c r="W256" s="85" t="s">
        <v>402</v>
      </c>
      <c r="X256" s="85" t="s">
        <v>402</v>
      </c>
      <c r="Y256" s="85" t="s">
        <v>355</v>
      </c>
      <c r="Z256" s="85" t="s">
        <v>402</v>
      </c>
      <c r="AA256" s="85" t="s">
        <v>402</v>
      </c>
      <c r="AB256" s="96"/>
      <c r="AC256" s="85" t="s">
        <v>402</v>
      </c>
      <c r="AD256" s="96"/>
      <c r="AE256" s="85" t="s">
        <v>385</v>
      </c>
      <c r="AF256" s="85" t="s">
        <v>385</v>
      </c>
      <c r="AG256" s="85" t="s">
        <v>385</v>
      </c>
      <c r="AH256" s="107" t="s">
        <v>561</v>
      </c>
      <c r="AI256" s="85" t="s">
        <v>642</v>
      </c>
      <c r="AJ256" s="85" t="s">
        <v>1478</v>
      </c>
      <c r="AK256" s="85" t="s">
        <v>385</v>
      </c>
      <c r="AL256" s="85" t="s">
        <v>385</v>
      </c>
      <c r="AM256" s="85" t="s">
        <v>385</v>
      </c>
      <c r="AN256" s="85" t="s">
        <v>385</v>
      </c>
      <c r="AO256" s="85" t="s">
        <v>402</v>
      </c>
      <c r="AP256" s="85" t="s">
        <v>402</v>
      </c>
      <c r="AQ256" s="85" t="s">
        <v>1479</v>
      </c>
      <c r="AR256" s="128" t="s">
        <v>674</v>
      </c>
      <c r="AS256" s="67"/>
    </row>
    <row r="257" spans="1:45" ht="15">
      <c r="A257" s="103"/>
      <c r="B257" s="70"/>
      <c r="C257" s="72"/>
      <c r="D257" s="74"/>
      <c r="E257" s="104"/>
      <c r="F257" s="104"/>
      <c r="G257" s="104"/>
      <c r="H257" s="104"/>
      <c r="I257" s="129"/>
      <c r="J257" s="105"/>
      <c r="K257" s="106"/>
      <c r="L257" s="84"/>
      <c r="M257" s="85"/>
      <c r="N257" s="107"/>
      <c r="O257" s="107"/>
      <c r="P257" s="107"/>
      <c r="Q257" s="85"/>
      <c r="R257" s="85"/>
      <c r="S257" s="85"/>
      <c r="T257" s="85"/>
      <c r="U257" s="85"/>
      <c r="V257" s="85"/>
      <c r="W257" s="85"/>
      <c r="X257" s="85"/>
      <c r="Y257" s="85"/>
      <c r="Z257" s="85"/>
      <c r="AA257" s="85"/>
      <c r="AB257" s="96"/>
      <c r="AC257" s="85"/>
      <c r="AD257" s="96"/>
      <c r="AE257" s="85"/>
      <c r="AF257" s="85"/>
      <c r="AG257" s="85"/>
      <c r="AH257" s="15" t="s">
        <v>1480</v>
      </c>
      <c r="AI257" s="85"/>
      <c r="AJ257" s="85" t="s">
        <v>1189</v>
      </c>
      <c r="AK257" s="85"/>
      <c r="AL257" s="85"/>
      <c r="AM257" s="85"/>
      <c r="AN257" s="85"/>
      <c r="AO257" s="85"/>
      <c r="AP257" s="85"/>
      <c r="AQ257" s="85"/>
      <c r="AR257" s="128"/>
      <c r="AS257" s="67"/>
    </row>
    <row r="258" spans="1:45" ht="15">
      <c r="A258" s="103"/>
      <c r="B258" s="70"/>
      <c r="C258" s="72"/>
      <c r="D258" s="74"/>
      <c r="E258" s="104"/>
      <c r="F258" s="104"/>
      <c r="G258" s="104"/>
      <c r="H258" s="104"/>
      <c r="I258" s="129"/>
      <c r="J258" s="105"/>
      <c r="K258" s="106"/>
      <c r="L258" s="84" t="s">
        <v>305</v>
      </c>
      <c r="M258" s="85" t="s">
        <v>374</v>
      </c>
      <c r="N258" s="107" t="s">
        <v>561</v>
      </c>
      <c r="O258" s="107"/>
      <c r="P258" s="107"/>
      <c r="Q258" s="85" t="s">
        <v>385</v>
      </c>
      <c r="R258" s="85" t="s">
        <v>823</v>
      </c>
      <c r="S258" s="91" t="s">
        <v>473</v>
      </c>
      <c r="T258" s="85" t="s">
        <v>402</v>
      </c>
      <c r="U258" s="85" t="s">
        <v>402</v>
      </c>
      <c r="V258" s="85" t="s">
        <v>922</v>
      </c>
      <c r="W258" s="85" t="s">
        <v>402</v>
      </c>
      <c r="X258" s="85" t="s">
        <v>402</v>
      </c>
      <c r="Y258" s="85" t="s">
        <v>355</v>
      </c>
      <c r="Z258" s="85" t="s">
        <v>402</v>
      </c>
      <c r="AA258" s="85" t="s">
        <v>402</v>
      </c>
      <c r="AB258" s="96"/>
      <c r="AC258" s="85"/>
      <c r="AD258" s="96"/>
      <c r="AE258" s="85" t="s">
        <v>385</v>
      </c>
      <c r="AF258" s="85" t="s">
        <v>385</v>
      </c>
      <c r="AG258" s="85" t="s">
        <v>385</v>
      </c>
      <c r="AH258" s="107" t="s">
        <v>561</v>
      </c>
      <c r="AI258" s="85" t="s">
        <v>642</v>
      </c>
      <c r="AJ258" s="85" t="s">
        <v>1189</v>
      </c>
      <c r="AK258" s="85" t="s">
        <v>385</v>
      </c>
      <c r="AL258" s="85" t="s">
        <v>385</v>
      </c>
      <c r="AM258" s="85"/>
      <c r="AN258" s="85"/>
      <c r="AO258" s="85"/>
      <c r="AP258" s="85"/>
      <c r="AQ258" s="85" t="s">
        <v>1479</v>
      </c>
      <c r="AR258" s="128" t="s">
        <v>674</v>
      </c>
      <c r="AS258" s="67"/>
    </row>
    <row r="259" spans="1:45" ht="43">
      <c r="A259" s="103"/>
      <c r="B259" s="70" t="s">
        <v>658</v>
      </c>
      <c r="C259" s="72">
        <v>43479</v>
      </c>
      <c r="D259" s="74" t="s">
        <v>363</v>
      </c>
      <c r="E259" s="76">
        <v>43566</v>
      </c>
      <c r="F259" s="78" t="s">
        <v>360</v>
      </c>
      <c r="G259" s="76">
        <v>43581</v>
      </c>
      <c r="H259" s="78" t="s">
        <v>355</v>
      </c>
      <c r="I259" s="129" t="s">
        <v>1481</v>
      </c>
      <c r="J259" s="82" t="s">
        <v>184</v>
      </c>
      <c r="K259" s="126" t="s">
        <v>876</v>
      </c>
      <c r="L259" s="84" t="s">
        <v>328</v>
      </c>
      <c r="M259" s="85" t="s">
        <v>374</v>
      </c>
      <c r="N259" s="625" t="s">
        <v>563</v>
      </c>
      <c r="O259" s="613"/>
      <c r="P259" s="96"/>
      <c r="Q259" s="85" t="s">
        <v>385</v>
      </c>
      <c r="R259" s="85" t="s">
        <v>385</v>
      </c>
      <c r="S259" s="96"/>
      <c r="T259" s="85" t="s">
        <v>402</v>
      </c>
      <c r="U259" s="85" t="s">
        <v>402</v>
      </c>
      <c r="V259" s="85" t="s">
        <v>402</v>
      </c>
      <c r="W259" s="85" t="s">
        <v>402</v>
      </c>
      <c r="X259" s="85" t="s">
        <v>402</v>
      </c>
      <c r="Y259" s="85" t="s">
        <v>1468</v>
      </c>
      <c r="Z259" s="85" t="s">
        <v>402</v>
      </c>
      <c r="AA259" s="85" t="s">
        <v>404</v>
      </c>
      <c r="AB259" s="96"/>
      <c r="AC259" s="85" t="s">
        <v>402</v>
      </c>
      <c r="AD259" s="96"/>
      <c r="AE259" s="85" t="s">
        <v>385</v>
      </c>
      <c r="AF259" s="85" t="s">
        <v>385</v>
      </c>
      <c r="AG259" s="85" t="s">
        <v>385</v>
      </c>
      <c r="AH259" s="107" t="s">
        <v>563</v>
      </c>
      <c r="AI259" s="85" t="s">
        <v>1482</v>
      </c>
      <c r="AJ259" s="85" t="s">
        <v>1483</v>
      </c>
      <c r="AK259" s="440" t="s">
        <v>402</v>
      </c>
      <c r="AL259" s="85" t="s">
        <v>1468</v>
      </c>
      <c r="AM259" s="85" t="s">
        <v>1484</v>
      </c>
      <c r="AN259" s="85" t="s">
        <v>1485</v>
      </c>
      <c r="AO259" s="85" t="s">
        <v>1485</v>
      </c>
      <c r="AP259" s="85" t="s">
        <v>1485</v>
      </c>
      <c r="AQ259" s="85" t="s">
        <v>1486</v>
      </c>
      <c r="AR259" s="128" t="s">
        <v>674</v>
      </c>
      <c r="AS259" s="29"/>
    </row>
    <row r="260" spans="1:45" ht="15">
      <c r="A260" s="103"/>
      <c r="B260" s="70"/>
      <c r="C260" s="72"/>
      <c r="D260" s="74"/>
      <c r="E260" s="76"/>
      <c r="F260" s="76"/>
      <c r="G260" s="76"/>
      <c r="H260" s="76"/>
      <c r="I260" s="129"/>
      <c r="J260" s="82"/>
      <c r="K260" s="84"/>
      <c r="L260" s="84"/>
      <c r="M260" s="85"/>
      <c r="N260" s="107" t="s">
        <v>1487</v>
      </c>
      <c r="O260" s="107"/>
      <c r="P260" s="96"/>
      <c r="Q260" s="85"/>
      <c r="R260" s="85"/>
      <c r="S260" s="96"/>
      <c r="T260" s="85"/>
      <c r="U260" s="85"/>
      <c r="V260" s="85"/>
      <c r="W260" s="85"/>
      <c r="X260" s="85"/>
      <c r="Y260" s="85"/>
      <c r="Z260" s="85"/>
      <c r="AA260" s="85"/>
      <c r="AB260" s="85" t="s">
        <v>1488</v>
      </c>
      <c r="AC260" s="85"/>
      <c r="AD260" s="96"/>
      <c r="AE260" s="85"/>
      <c r="AF260" s="85"/>
      <c r="AG260" s="85"/>
      <c r="AH260" s="107"/>
      <c r="AI260" s="85"/>
      <c r="AJ260" s="85"/>
      <c r="AK260" s="440"/>
      <c r="AL260" s="85"/>
      <c r="AM260" s="85"/>
      <c r="AN260" s="85"/>
      <c r="AO260" s="85"/>
      <c r="AP260" s="85"/>
      <c r="AQ260" s="85"/>
      <c r="AR260" s="128"/>
      <c r="AS260" s="29"/>
    </row>
    <row r="261" spans="1:45" ht="15">
      <c r="A261" s="103"/>
      <c r="B261" s="70"/>
      <c r="C261" s="72"/>
      <c r="D261" s="74"/>
      <c r="E261" s="76"/>
      <c r="F261" s="76"/>
      <c r="G261" s="76"/>
      <c r="H261" s="76"/>
      <c r="I261" s="129"/>
      <c r="J261" s="82"/>
      <c r="K261" s="84"/>
      <c r="L261" s="84" t="s">
        <v>328</v>
      </c>
      <c r="M261" s="85" t="s">
        <v>374</v>
      </c>
      <c r="N261" s="625" t="s">
        <v>563</v>
      </c>
      <c r="O261" s="613"/>
      <c r="P261" s="96"/>
      <c r="Q261" s="85" t="s">
        <v>385</v>
      </c>
      <c r="R261" s="85"/>
      <c r="S261" s="96"/>
      <c r="T261" s="85" t="s">
        <v>402</v>
      </c>
      <c r="U261" s="85" t="s">
        <v>402</v>
      </c>
      <c r="V261" s="85" t="s">
        <v>402</v>
      </c>
      <c r="W261" s="85" t="s">
        <v>402</v>
      </c>
      <c r="X261" s="85" t="s">
        <v>402</v>
      </c>
      <c r="Y261" s="85" t="s">
        <v>402</v>
      </c>
      <c r="Z261" s="85" t="s">
        <v>402</v>
      </c>
      <c r="AA261" s="85" t="s">
        <v>355</v>
      </c>
      <c r="AB261" s="85" t="s">
        <v>942</v>
      </c>
      <c r="AC261" s="85"/>
      <c r="AD261" s="96"/>
      <c r="AE261" s="85" t="s">
        <v>385</v>
      </c>
      <c r="AF261" s="85" t="s">
        <v>385</v>
      </c>
      <c r="AG261" s="85" t="s">
        <v>385</v>
      </c>
      <c r="AH261" s="107" t="s">
        <v>563</v>
      </c>
      <c r="AI261" s="85" t="s">
        <v>1155</v>
      </c>
      <c r="AJ261" s="85"/>
      <c r="AK261" s="440" t="s">
        <v>402</v>
      </c>
      <c r="AL261" s="85" t="s">
        <v>355</v>
      </c>
      <c r="AM261" s="85"/>
      <c r="AN261" s="85"/>
      <c r="AO261" s="85"/>
      <c r="AP261" s="85"/>
      <c r="AQ261" s="85" t="s">
        <v>1489</v>
      </c>
      <c r="AR261" s="128" t="s">
        <v>674</v>
      </c>
      <c r="AS261" s="29"/>
    </row>
    <row r="262" spans="1:45" ht="29">
      <c r="A262" s="103"/>
      <c r="B262" s="70" t="s">
        <v>658</v>
      </c>
      <c r="C262" s="72">
        <v>43479</v>
      </c>
      <c r="D262" s="74" t="s">
        <v>363</v>
      </c>
      <c r="E262" s="76">
        <v>43566</v>
      </c>
      <c r="F262" s="78" t="s">
        <v>360</v>
      </c>
      <c r="G262" s="76">
        <v>43581</v>
      </c>
      <c r="H262" s="78" t="s">
        <v>355</v>
      </c>
      <c r="I262" s="129" t="s">
        <v>1490</v>
      </c>
      <c r="J262" s="82" t="s">
        <v>185</v>
      </c>
      <c r="K262" s="126" t="s">
        <v>368</v>
      </c>
      <c r="L262" s="84" t="s">
        <v>326</v>
      </c>
      <c r="M262" s="85" t="s">
        <v>382</v>
      </c>
      <c r="N262" s="625" t="s">
        <v>564</v>
      </c>
      <c r="O262" s="613"/>
      <c r="P262" s="613"/>
      <c r="Q262" s="85" t="s">
        <v>385</v>
      </c>
      <c r="R262" s="85" t="s">
        <v>385</v>
      </c>
      <c r="S262" s="96"/>
      <c r="T262" s="85" t="s">
        <v>402</v>
      </c>
      <c r="U262" s="85" t="s">
        <v>402</v>
      </c>
      <c r="V262" s="85" t="s">
        <v>402</v>
      </c>
      <c r="W262" s="85" t="s">
        <v>402</v>
      </c>
      <c r="X262" s="85" t="s">
        <v>402</v>
      </c>
      <c r="Y262" s="85" t="s">
        <v>1468</v>
      </c>
      <c r="Z262" s="85" t="s">
        <v>402</v>
      </c>
      <c r="AA262" s="85" t="s">
        <v>402</v>
      </c>
      <c r="AB262" s="96"/>
      <c r="AC262" s="85" t="s">
        <v>402</v>
      </c>
      <c r="AD262" s="96"/>
      <c r="AE262" s="85" t="s">
        <v>385</v>
      </c>
      <c r="AF262" s="85" t="s">
        <v>385</v>
      </c>
      <c r="AG262" s="85" t="s">
        <v>385</v>
      </c>
      <c r="AH262" s="96"/>
      <c r="AI262" s="85" t="s">
        <v>1491</v>
      </c>
      <c r="AJ262" s="85" t="s">
        <v>1491</v>
      </c>
      <c r="AK262" s="85" t="s">
        <v>385</v>
      </c>
      <c r="AL262" s="85" t="s">
        <v>385</v>
      </c>
      <c r="AM262" s="85" t="s">
        <v>385</v>
      </c>
      <c r="AN262" s="85" t="s">
        <v>385</v>
      </c>
      <c r="AO262" s="85" t="s">
        <v>402</v>
      </c>
      <c r="AP262" s="85" t="s">
        <v>402</v>
      </c>
      <c r="AQ262" s="85" t="s">
        <v>1492</v>
      </c>
      <c r="AR262" s="128" t="s">
        <v>1449</v>
      </c>
      <c r="AS262" s="67"/>
    </row>
    <row r="263" spans="1:45" ht="15">
      <c r="A263" s="103"/>
      <c r="B263" s="70"/>
      <c r="C263" s="72"/>
      <c r="D263" s="74"/>
      <c r="E263" s="76"/>
      <c r="F263" s="76"/>
      <c r="G263" s="76"/>
      <c r="H263" s="76"/>
      <c r="I263" s="129"/>
      <c r="J263" s="82"/>
      <c r="K263" s="84"/>
      <c r="L263" s="84"/>
      <c r="M263" s="85"/>
      <c r="N263" s="107"/>
      <c r="O263" s="107"/>
      <c r="P263" s="107"/>
      <c r="Q263" s="85"/>
      <c r="R263" s="85"/>
      <c r="S263" s="96"/>
      <c r="T263" s="85"/>
      <c r="U263" s="85"/>
      <c r="V263" s="85"/>
      <c r="W263" s="85"/>
      <c r="X263" s="85"/>
      <c r="Y263" s="85"/>
      <c r="Z263" s="85"/>
      <c r="AA263" s="85"/>
      <c r="AB263" s="96"/>
      <c r="AC263" s="85"/>
      <c r="AD263" s="96"/>
      <c r="AE263" s="85"/>
      <c r="AF263" s="85"/>
      <c r="AG263" s="85"/>
      <c r="AH263" s="96"/>
      <c r="AI263" s="85"/>
      <c r="AJ263" s="85"/>
      <c r="AK263" s="85"/>
      <c r="AL263" s="85"/>
      <c r="AM263" s="85"/>
      <c r="AN263" s="85"/>
      <c r="AO263" s="85"/>
      <c r="AP263" s="85"/>
      <c r="AQ263" s="85"/>
      <c r="AR263" s="128"/>
      <c r="AS263" s="67"/>
    </row>
    <row r="264" spans="1:45" ht="15">
      <c r="A264" s="103"/>
      <c r="B264" s="70"/>
      <c r="C264" s="72"/>
      <c r="D264" s="74"/>
      <c r="E264" s="76"/>
      <c r="F264" s="76"/>
      <c r="G264" s="76"/>
      <c r="H264" s="76"/>
      <c r="I264" s="129"/>
      <c r="J264" s="82"/>
      <c r="K264" s="84"/>
      <c r="L264" s="84" t="s">
        <v>326</v>
      </c>
      <c r="M264" s="85" t="s">
        <v>382</v>
      </c>
      <c r="N264" s="107" t="s">
        <v>564</v>
      </c>
      <c r="O264" s="107"/>
      <c r="P264" s="107"/>
      <c r="Q264" s="85" t="s">
        <v>385</v>
      </c>
      <c r="R264" s="85"/>
      <c r="S264" s="96"/>
      <c r="T264" s="85" t="s">
        <v>402</v>
      </c>
      <c r="U264" s="85" t="s">
        <v>402</v>
      </c>
      <c r="V264" s="85" t="s">
        <v>402</v>
      </c>
      <c r="W264" s="85" t="s">
        <v>402</v>
      </c>
      <c r="X264" s="85" t="s">
        <v>402</v>
      </c>
      <c r="Y264" s="85" t="s">
        <v>402</v>
      </c>
      <c r="Z264" s="85" t="s">
        <v>402</v>
      </c>
      <c r="AA264" s="85" t="s">
        <v>402</v>
      </c>
      <c r="AB264" s="96"/>
      <c r="AC264" s="85"/>
      <c r="AD264" s="96"/>
      <c r="AE264" s="85" t="s">
        <v>385</v>
      </c>
      <c r="AF264" s="85" t="s">
        <v>385</v>
      </c>
      <c r="AG264" s="85" t="s">
        <v>385</v>
      </c>
      <c r="AH264" s="96"/>
      <c r="AI264" s="85" t="s">
        <v>530</v>
      </c>
      <c r="AJ264" s="85"/>
      <c r="AK264" s="85" t="s">
        <v>385</v>
      </c>
      <c r="AL264" s="85" t="s">
        <v>385</v>
      </c>
      <c r="AM264" s="85"/>
      <c r="AN264" s="85"/>
      <c r="AO264" s="85"/>
      <c r="AP264" s="85"/>
      <c r="AQ264" s="85" t="s">
        <v>1492</v>
      </c>
      <c r="AR264" s="128" t="s">
        <v>1449</v>
      </c>
      <c r="AS264" s="67"/>
    </row>
    <row r="265" spans="1:45" ht="43">
      <c r="A265" s="103"/>
      <c r="B265" s="70" t="s">
        <v>658</v>
      </c>
      <c r="C265" s="72">
        <v>43480</v>
      </c>
      <c r="D265" s="74" t="s">
        <v>363</v>
      </c>
      <c r="E265" s="76">
        <v>43566</v>
      </c>
      <c r="F265" s="78" t="s">
        <v>360</v>
      </c>
      <c r="G265" s="76">
        <v>43581</v>
      </c>
      <c r="H265" s="78" t="s">
        <v>355</v>
      </c>
      <c r="I265" s="129" t="s">
        <v>1493</v>
      </c>
      <c r="J265" s="82" t="s">
        <v>186</v>
      </c>
      <c r="K265" s="126" t="s">
        <v>786</v>
      </c>
      <c r="L265" s="84" t="s">
        <v>309</v>
      </c>
      <c r="M265" s="85" t="s">
        <v>382</v>
      </c>
      <c r="N265" s="614" t="s">
        <v>567</v>
      </c>
      <c r="O265" s="613"/>
      <c r="P265" s="107" t="s">
        <v>688</v>
      </c>
      <c r="Q265" s="85" t="s">
        <v>354</v>
      </c>
      <c r="R265" s="85" t="s">
        <v>385</v>
      </c>
      <c r="S265" s="96"/>
      <c r="T265" s="85" t="s">
        <v>402</v>
      </c>
      <c r="U265" s="85" t="s">
        <v>402</v>
      </c>
      <c r="V265" s="85" t="s">
        <v>402</v>
      </c>
      <c r="W265" s="85" t="s">
        <v>402</v>
      </c>
      <c r="X265" s="85" t="s">
        <v>402</v>
      </c>
      <c r="Y265" s="85" t="s">
        <v>355</v>
      </c>
      <c r="Z265" s="85" t="s">
        <v>402</v>
      </c>
      <c r="AA265" s="85" t="s">
        <v>402</v>
      </c>
      <c r="AB265" s="96"/>
      <c r="AC265" s="85" t="s">
        <v>967</v>
      </c>
      <c r="AD265" s="91" t="s">
        <v>1011</v>
      </c>
      <c r="AE265" s="85" t="s">
        <v>385</v>
      </c>
      <c r="AF265" s="85" t="s">
        <v>385</v>
      </c>
      <c r="AG265" s="85" t="s">
        <v>385</v>
      </c>
      <c r="AH265" s="107" t="s">
        <v>690</v>
      </c>
      <c r="AI265" s="85" t="s">
        <v>460</v>
      </c>
      <c r="AJ265" s="85" t="s">
        <v>691</v>
      </c>
      <c r="AK265" s="85" t="s">
        <v>385</v>
      </c>
      <c r="AL265" s="85" t="s">
        <v>385</v>
      </c>
      <c r="AM265" s="85" t="s">
        <v>385</v>
      </c>
      <c r="AN265" s="85" t="s">
        <v>385</v>
      </c>
      <c r="AO265" s="85" t="s">
        <v>402</v>
      </c>
      <c r="AP265" s="85" t="s">
        <v>402</v>
      </c>
      <c r="AQ265" s="85" t="s">
        <v>1494</v>
      </c>
      <c r="AR265" s="128" t="s">
        <v>674</v>
      </c>
      <c r="AS265" s="67"/>
    </row>
    <row r="266" spans="1:45" ht="15">
      <c r="A266" s="103"/>
      <c r="B266" s="70"/>
      <c r="C266" s="72"/>
      <c r="D266" s="74"/>
      <c r="E266" s="76"/>
      <c r="F266" s="76"/>
      <c r="G266" s="76"/>
      <c r="H266" s="76"/>
      <c r="I266" s="129"/>
      <c r="J266" s="82"/>
      <c r="K266" s="84"/>
      <c r="L266" s="84"/>
      <c r="M266" s="85"/>
      <c r="N266" s="85"/>
      <c r="O266" s="85"/>
      <c r="P266" s="107"/>
      <c r="Q266" s="85"/>
      <c r="R266" s="85"/>
      <c r="S266" s="96"/>
      <c r="T266" s="85"/>
      <c r="U266" s="85"/>
      <c r="V266" s="85"/>
      <c r="W266" s="85"/>
      <c r="X266" s="85"/>
      <c r="Y266" s="85"/>
      <c r="Z266" s="85"/>
      <c r="AA266" s="85"/>
      <c r="AB266" s="96"/>
      <c r="AC266" s="85"/>
      <c r="AD266" s="85"/>
      <c r="AE266" s="85"/>
      <c r="AF266" s="85"/>
      <c r="AG266" s="85"/>
      <c r="AH266" s="107"/>
      <c r="AI266" s="85"/>
      <c r="AJ266" s="85"/>
      <c r="AK266" s="85"/>
      <c r="AL266" s="85"/>
      <c r="AM266" s="85"/>
      <c r="AN266" s="85"/>
      <c r="AO266" s="85"/>
      <c r="AP266" s="85"/>
      <c r="AQ266" s="85"/>
      <c r="AR266" s="128"/>
      <c r="AS266" s="67"/>
    </row>
    <row r="267" spans="1:45" ht="15">
      <c r="A267" s="163"/>
      <c r="B267" s="164"/>
      <c r="C267" s="165"/>
      <c r="D267" s="166"/>
      <c r="E267" s="193"/>
      <c r="F267" s="193"/>
      <c r="G267" s="193"/>
      <c r="H267" s="193"/>
      <c r="I267" s="168"/>
      <c r="J267" s="426"/>
      <c r="K267" s="124"/>
      <c r="L267" s="124" t="s">
        <v>309</v>
      </c>
      <c r="M267" s="112" t="s">
        <v>382</v>
      </c>
      <c r="N267" s="120" t="s">
        <v>567</v>
      </c>
      <c r="O267" s="112"/>
      <c r="P267" s="113" t="s">
        <v>688</v>
      </c>
      <c r="Q267" s="112" t="s">
        <v>354</v>
      </c>
      <c r="R267" s="112"/>
      <c r="S267" s="116"/>
      <c r="T267" s="112" t="s">
        <v>402</v>
      </c>
      <c r="U267" s="112" t="s">
        <v>402</v>
      </c>
      <c r="V267" s="112" t="s">
        <v>402</v>
      </c>
      <c r="W267" s="112" t="s">
        <v>402</v>
      </c>
      <c r="X267" s="112" t="s">
        <v>402</v>
      </c>
      <c r="Y267" s="112" t="s">
        <v>402</v>
      </c>
      <c r="Z267" s="112" t="s">
        <v>402</v>
      </c>
      <c r="AA267" s="112" t="s">
        <v>402</v>
      </c>
      <c r="AB267" s="116"/>
      <c r="AC267" s="112" t="s">
        <v>967</v>
      </c>
      <c r="AD267" s="120" t="s">
        <v>1011</v>
      </c>
      <c r="AE267" s="112" t="s">
        <v>385</v>
      </c>
      <c r="AF267" s="112" t="s">
        <v>385</v>
      </c>
      <c r="AG267" s="112" t="s">
        <v>385</v>
      </c>
      <c r="AH267" s="113" t="s">
        <v>690</v>
      </c>
      <c r="AI267" s="112" t="s">
        <v>460</v>
      </c>
      <c r="AJ267" s="112" t="s">
        <v>691</v>
      </c>
      <c r="AK267" s="112" t="s">
        <v>385</v>
      </c>
      <c r="AL267" s="112" t="s">
        <v>385</v>
      </c>
      <c r="AM267" s="112"/>
      <c r="AN267" s="112"/>
      <c r="AO267" s="112"/>
      <c r="AP267" s="112"/>
      <c r="AQ267" s="112" t="s">
        <v>1494</v>
      </c>
      <c r="AR267" s="139" t="s">
        <v>674</v>
      </c>
      <c r="AS267" s="140"/>
    </row>
    <row r="268" spans="1:45" ht="43">
      <c r="A268" s="103"/>
      <c r="B268" s="70" t="s">
        <v>658</v>
      </c>
      <c r="C268" s="72">
        <v>43480</v>
      </c>
      <c r="D268" s="74" t="s">
        <v>363</v>
      </c>
      <c r="E268" s="76">
        <v>43566</v>
      </c>
      <c r="F268" s="78" t="s">
        <v>360</v>
      </c>
      <c r="G268" s="76">
        <v>43581</v>
      </c>
      <c r="H268" s="78" t="s">
        <v>355</v>
      </c>
      <c r="I268" s="129" t="s">
        <v>1495</v>
      </c>
      <c r="J268" s="82" t="s">
        <v>187</v>
      </c>
      <c r="K268" s="126" t="s">
        <v>786</v>
      </c>
      <c r="L268" s="84" t="s">
        <v>303</v>
      </c>
      <c r="M268" s="85" t="s">
        <v>382</v>
      </c>
      <c r="N268" s="625" t="s">
        <v>568</v>
      </c>
      <c r="O268" s="613"/>
      <c r="P268" s="613"/>
      <c r="Q268" s="85" t="s">
        <v>385</v>
      </c>
      <c r="R268" s="85" t="s">
        <v>385</v>
      </c>
      <c r="S268" s="96"/>
      <c r="T268" s="85" t="s">
        <v>402</v>
      </c>
      <c r="U268" s="85" t="s">
        <v>402</v>
      </c>
      <c r="V268" s="85" t="s">
        <v>402</v>
      </c>
      <c r="W268" s="85" t="s">
        <v>402</v>
      </c>
      <c r="X268" s="85" t="s">
        <v>402</v>
      </c>
      <c r="Y268" s="85" t="s">
        <v>1468</v>
      </c>
      <c r="Z268" s="85" t="s">
        <v>402</v>
      </c>
      <c r="AA268" s="85" t="s">
        <v>402</v>
      </c>
      <c r="AB268" s="96"/>
      <c r="AC268" s="612" t="s">
        <v>969</v>
      </c>
      <c r="AD268" s="613"/>
      <c r="AE268" s="85" t="s">
        <v>385</v>
      </c>
      <c r="AF268" s="85" t="s">
        <v>385</v>
      </c>
      <c r="AG268" s="85" t="s">
        <v>385</v>
      </c>
      <c r="AH268" s="96"/>
      <c r="AI268" s="85" t="s">
        <v>530</v>
      </c>
      <c r="AJ268" s="85" t="s">
        <v>530</v>
      </c>
      <c r="AK268" s="440" t="s">
        <v>402</v>
      </c>
      <c r="AL268" s="85" t="s">
        <v>530</v>
      </c>
      <c r="AM268" s="85" t="s">
        <v>530</v>
      </c>
      <c r="AN268" s="85" t="s">
        <v>530</v>
      </c>
      <c r="AO268" s="85" t="s">
        <v>530</v>
      </c>
      <c r="AP268" s="85" t="s">
        <v>530</v>
      </c>
      <c r="AQ268" s="85" t="s">
        <v>1496</v>
      </c>
      <c r="AR268" s="128" t="s">
        <v>725</v>
      </c>
      <c r="AS268" s="29"/>
    </row>
    <row r="269" spans="1:45" ht="15">
      <c r="A269" s="103"/>
      <c r="B269" s="70"/>
      <c r="C269" s="72"/>
      <c r="D269" s="74"/>
      <c r="E269" s="76"/>
      <c r="F269" s="76"/>
      <c r="G269" s="76"/>
      <c r="H269" s="76"/>
      <c r="I269" s="129"/>
      <c r="J269" s="82"/>
      <c r="K269" s="84"/>
      <c r="L269" s="84"/>
      <c r="M269" s="85"/>
      <c r="N269" s="107"/>
      <c r="O269" s="107"/>
      <c r="P269" s="107"/>
      <c r="Q269" s="85"/>
      <c r="R269" s="85"/>
      <c r="S269" s="96"/>
      <c r="T269" s="85"/>
      <c r="U269" s="85"/>
      <c r="V269" s="85"/>
      <c r="W269" s="85"/>
      <c r="X269" s="85"/>
      <c r="Y269" s="85"/>
      <c r="Z269" s="85"/>
      <c r="AA269" s="85"/>
      <c r="AB269" s="96"/>
      <c r="AC269" s="85" t="s">
        <v>1497</v>
      </c>
      <c r="AD269" s="85" t="s">
        <v>1498</v>
      </c>
      <c r="AE269" s="85"/>
      <c r="AF269" s="85"/>
      <c r="AG269" s="85"/>
      <c r="AH269" s="96"/>
      <c r="AI269" s="85"/>
      <c r="AJ269" s="85"/>
      <c r="AK269" s="440"/>
      <c r="AL269" s="85"/>
      <c r="AM269" s="85"/>
      <c r="AN269" s="85"/>
      <c r="AO269" s="85"/>
      <c r="AP269" s="85"/>
      <c r="AQ269" s="85"/>
      <c r="AR269" s="128"/>
      <c r="AS269" s="29"/>
    </row>
    <row r="270" spans="1:45" ht="15">
      <c r="A270" s="163"/>
      <c r="B270" s="164"/>
      <c r="C270" s="165"/>
      <c r="D270" s="166"/>
      <c r="E270" s="193"/>
      <c r="F270" s="193"/>
      <c r="G270" s="193"/>
      <c r="H270" s="193"/>
      <c r="I270" s="168"/>
      <c r="J270" s="426"/>
      <c r="K270" s="124"/>
      <c r="L270" s="124" t="s">
        <v>303</v>
      </c>
      <c r="M270" s="112" t="s">
        <v>382</v>
      </c>
      <c r="N270" s="113" t="s">
        <v>568</v>
      </c>
      <c r="O270" s="113"/>
      <c r="P270" s="113"/>
      <c r="Q270" s="112" t="s">
        <v>385</v>
      </c>
      <c r="R270" s="112"/>
      <c r="S270" s="116"/>
      <c r="T270" s="112" t="s">
        <v>402</v>
      </c>
      <c r="U270" s="112" t="s">
        <v>402</v>
      </c>
      <c r="V270" s="112" t="s">
        <v>402</v>
      </c>
      <c r="W270" s="112" t="s">
        <v>402</v>
      </c>
      <c r="X270" s="112" t="s">
        <v>402</v>
      </c>
      <c r="Y270" s="112" t="s">
        <v>402</v>
      </c>
      <c r="Z270" s="112" t="s">
        <v>402</v>
      </c>
      <c r="AA270" s="112" t="s">
        <v>402</v>
      </c>
      <c r="AB270" s="116"/>
      <c r="AC270" s="112" t="s">
        <v>969</v>
      </c>
      <c r="AD270" s="112"/>
      <c r="AE270" s="112" t="s">
        <v>385</v>
      </c>
      <c r="AF270" s="112" t="s">
        <v>385</v>
      </c>
      <c r="AG270" s="112" t="s">
        <v>385</v>
      </c>
      <c r="AH270" s="116"/>
      <c r="AI270" s="112" t="s">
        <v>530</v>
      </c>
      <c r="AJ270" s="112"/>
      <c r="AK270" s="467" t="s">
        <v>402</v>
      </c>
      <c r="AL270" s="112"/>
      <c r="AM270" s="112"/>
      <c r="AN270" s="112"/>
      <c r="AO270" s="112"/>
      <c r="AP270" s="112"/>
      <c r="AQ270" s="112" t="s">
        <v>1496</v>
      </c>
      <c r="AR270" s="139" t="s">
        <v>725</v>
      </c>
      <c r="AS270" s="172"/>
    </row>
    <row r="271" spans="1:45" ht="43">
      <c r="A271" s="103"/>
      <c r="B271" s="70" t="s">
        <v>658</v>
      </c>
      <c r="C271" s="72">
        <v>43480</v>
      </c>
      <c r="D271" s="74" t="s">
        <v>492</v>
      </c>
      <c r="E271" s="76">
        <v>43575</v>
      </c>
      <c r="F271" s="78" t="s">
        <v>360</v>
      </c>
      <c r="G271" s="76">
        <v>43581</v>
      </c>
      <c r="H271" s="78" t="s">
        <v>355</v>
      </c>
      <c r="I271" s="129" t="s">
        <v>1499</v>
      </c>
      <c r="J271" s="82" t="s">
        <v>188</v>
      </c>
      <c r="K271" s="126" t="s">
        <v>786</v>
      </c>
      <c r="L271" s="84" t="s">
        <v>303</v>
      </c>
      <c r="M271" s="85" t="s">
        <v>382</v>
      </c>
      <c r="N271" s="614" t="s">
        <v>569</v>
      </c>
      <c r="O271" s="613"/>
      <c r="P271" s="613"/>
      <c r="Q271" s="85" t="s">
        <v>385</v>
      </c>
      <c r="R271" s="85" t="s">
        <v>385</v>
      </c>
      <c r="S271" s="96"/>
      <c r="T271" s="85" t="s">
        <v>402</v>
      </c>
      <c r="U271" s="85" t="s">
        <v>402</v>
      </c>
      <c r="V271" s="85" t="s">
        <v>402</v>
      </c>
      <c r="W271" s="85" t="s">
        <v>402</v>
      </c>
      <c r="X271" s="85" t="s">
        <v>402</v>
      </c>
      <c r="Y271" s="85" t="s">
        <v>1468</v>
      </c>
      <c r="Z271" s="85" t="s">
        <v>402</v>
      </c>
      <c r="AA271" s="85" t="s">
        <v>402</v>
      </c>
      <c r="AB271" s="96"/>
      <c r="AC271" s="612" t="s">
        <v>969</v>
      </c>
      <c r="AD271" s="613"/>
      <c r="AE271" s="85" t="s">
        <v>385</v>
      </c>
      <c r="AF271" s="85" t="s">
        <v>385</v>
      </c>
      <c r="AG271" s="85" t="s">
        <v>385</v>
      </c>
      <c r="AH271" s="96"/>
      <c r="AI271" s="85" t="s">
        <v>530</v>
      </c>
      <c r="AJ271" s="85" t="s">
        <v>530</v>
      </c>
      <c r="AK271" s="136" t="s">
        <v>402</v>
      </c>
      <c r="AL271" s="85" t="s">
        <v>530</v>
      </c>
      <c r="AM271" s="85" t="s">
        <v>530</v>
      </c>
      <c r="AN271" s="85" t="s">
        <v>530</v>
      </c>
      <c r="AO271" s="85" t="s">
        <v>530</v>
      </c>
      <c r="AP271" s="85" t="s">
        <v>530</v>
      </c>
      <c r="AQ271" s="85" t="s">
        <v>1500</v>
      </c>
      <c r="AR271" s="128" t="s">
        <v>725</v>
      </c>
      <c r="AS271" s="67"/>
    </row>
    <row r="272" spans="1:45" ht="15">
      <c r="A272" s="103"/>
      <c r="B272" s="70"/>
      <c r="C272" s="72"/>
      <c r="D272" s="74"/>
      <c r="E272" s="104"/>
      <c r="F272" s="104"/>
      <c r="G272" s="104"/>
      <c r="H272" s="104"/>
      <c r="I272" s="129"/>
      <c r="J272" s="82"/>
      <c r="K272" s="84"/>
      <c r="L272" s="84"/>
      <c r="M272" s="85"/>
      <c r="N272" s="85"/>
      <c r="O272" s="85" t="s">
        <v>511</v>
      </c>
      <c r="P272" s="85" t="s">
        <v>511</v>
      </c>
      <c r="Q272" s="85"/>
      <c r="R272" s="85" t="s">
        <v>402</v>
      </c>
      <c r="S272" s="85" t="s">
        <v>511</v>
      </c>
      <c r="T272" s="85"/>
      <c r="U272" s="85"/>
      <c r="V272" s="85"/>
      <c r="W272" s="85"/>
      <c r="X272" s="85"/>
      <c r="Y272" s="85"/>
      <c r="Z272" s="85"/>
      <c r="AA272" s="85"/>
      <c r="AB272" s="96"/>
      <c r="AC272" s="85"/>
      <c r="AD272" s="85"/>
      <c r="AE272" s="85"/>
      <c r="AF272" s="85"/>
      <c r="AG272" s="85"/>
      <c r="AH272" s="96"/>
      <c r="AI272" s="85"/>
      <c r="AJ272" s="85"/>
      <c r="AK272" s="136"/>
      <c r="AL272" s="85"/>
      <c r="AM272" s="85"/>
      <c r="AN272" s="85"/>
      <c r="AO272" s="85"/>
      <c r="AP272" s="85"/>
      <c r="AQ272" s="85"/>
      <c r="AR272" s="128"/>
      <c r="AS272" s="67"/>
    </row>
    <row r="273" spans="1:45" ht="15">
      <c r="A273" s="163"/>
      <c r="B273" s="164"/>
      <c r="C273" s="165"/>
      <c r="D273" s="166"/>
      <c r="E273" s="167"/>
      <c r="F273" s="167"/>
      <c r="G273" s="167"/>
      <c r="H273" s="167"/>
      <c r="I273" s="168"/>
      <c r="J273" s="426"/>
      <c r="K273" s="124"/>
      <c r="L273" s="124" t="s">
        <v>303</v>
      </c>
      <c r="M273" s="112" t="s">
        <v>382</v>
      </c>
      <c r="N273" s="120" t="s">
        <v>569</v>
      </c>
      <c r="O273" s="112"/>
      <c r="P273" s="112"/>
      <c r="Q273" s="112" t="s">
        <v>385</v>
      </c>
      <c r="R273" s="112"/>
      <c r="S273" s="116"/>
      <c r="T273" s="112" t="s">
        <v>402</v>
      </c>
      <c r="U273" s="112" t="s">
        <v>402</v>
      </c>
      <c r="V273" s="112" t="s">
        <v>402</v>
      </c>
      <c r="W273" s="112" t="s">
        <v>402</v>
      </c>
      <c r="X273" s="112" t="s">
        <v>402</v>
      </c>
      <c r="Y273" s="112" t="s">
        <v>402</v>
      </c>
      <c r="Z273" s="112" t="s">
        <v>402</v>
      </c>
      <c r="AA273" s="112" t="s">
        <v>402</v>
      </c>
      <c r="AB273" s="116"/>
      <c r="AC273" s="112" t="s">
        <v>969</v>
      </c>
      <c r="AD273" s="112"/>
      <c r="AE273" s="112" t="s">
        <v>385</v>
      </c>
      <c r="AF273" s="112" t="s">
        <v>385</v>
      </c>
      <c r="AG273" s="112" t="s">
        <v>385</v>
      </c>
      <c r="AH273" s="116"/>
      <c r="AI273" s="112" t="s">
        <v>530</v>
      </c>
      <c r="AJ273" s="112"/>
      <c r="AK273" s="138" t="s">
        <v>402</v>
      </c>
      <c r="AL273" s="112"/>
      <c r="AM273" s="112"/>
      <c r="AN273" s="112"/>
      <c r="AO273" s="112"/>
      <c r="AP273" s="112"/>
      <c r="AQ273" s="112" t="s">
        <v>1500</v>
      </c>
      <c r="AR273" s="139" t="s">
        <v>725</v>
      </c>
      <c r="AS273" s="140"/>
    </row>
    <row r="274" spans="1:45" ht="29">
      <c r="A274" s="103"/>
      <c r="B274" s="70" t="s">
        <v>658</v>
      </c>
      <c r="C274" s="72">
        <v>43480</v>
      </c>
      <c r="D274" s="74" t="s">
        <v>492</v>
      </c>
      <c r="E274" s="76">
        <v>43575</v>
      </c>
      <c r="F274" s="78" t="s">
        <v>360</v>
      </c>
      <c r="G274" s="76">
        <v>43581</v>
      </c>
      <c r="H274" s="78" t="s">
        <v>355</v>
      </c>
      <c r="I274" s="129" t="s">
        <v>1501</v>
      </c>
      <c r="J274" s="82" t="s">
        <v>189</v>
      </c>
      <c r="K274" s="126" t="s">
        <v>368</v>
      </c>
      <c r="L274" s="84" t="s">
        <v>291</v>
      </c>
      <c r="M274" s="85" t="s">
        <v>382</v>
      </c>
      <c r="N274" s="614" t="s">
        <v>570</v>
      </c>
      <c r="O274" s="613"/>
      <c r="P274" s="107" t="s">
        <v>694</v>
      </c>
      <c r="Q274" s="85" t="s">
        <v>385</v>
      </c>
      <c r="R274" s="85" t="s">
        <v>820</v>
      </c>
      <c r="S274" s="91" t="s">
        <v>871</v>
      </c>
      <c r="T274" s="85" t="s">
        <v>1468</v>
      </c>
      <c r="U274" s="85" t="s">
        <v>1468</v>
      </c>
      <c r="V274" s="85" t="s">
        <v>1468</v>
      </c>
      <c r="W274" s="85" t="s">
        <v>402</v>
      </c>
      <c r="X274" s="85" t="s">
        <v>1468</v>
      </c>
      <c r="Y274" s="85" t="s">
        <v>355</v>
      </c>
      <c r="Z274" s="85" t="s">
        <v>402</v>
      </c>
      <c r="AA274" s="85" t="s">
        <v>1468</v>
      </c>
      <c r="AB274" s="96"/>
      <c r="AC274" s="85" t="s">
        <v>402</v>
      </c>
      <c r="AD274" s="96"/>
      <c r="AE274" s="85" t="s">
        <v>385</v>
      </c>
      <c r="AF274" s="85" t="s">
        <v>385</v>
      </c>
      <c r="AG274" s="85" t="s">
        <v>385</v>
      </c>
      <c r="AH274" s="91" t="s">
        <v>1097</v>
      </c>
      <c r="AI274" s="85" t="s">
        <v>642</v>
      </c>
      <c r="AJ274" s="85" t="s">
        <v>1188</v>
      </c>
      <c r="AK274" s="440" t="s">
        <v>402</v>
      </c>
      <c r="AL274" s="85" t="s">
        <v>385</v>
      </c>
      <c r="AM274" s="85" t="s">
        <v>385</v>
      </c>
      <c r="AN274" s="85" t="s">
        <v>385</v>
      </c>
      <c r="AO274" s="85" t="s">
        <v>402</v>
      </c>
      <c r="AP274" s="85" t="s">
        <v>402</v>
      </c>
      <c r="AQ274" s="85" t="s">
        <v>1502</v>
      </c>
      <c r="AR274" s="128" t="s">
        <v>725</v>
      </c>
      <c r="AS274" s="67"/>
    </row>
    <row r="275" spans="1:45" ht="15">
      <c r="A275" s="103"/>
      <c r="B275" s="70"/>
      <c r="C275" s="72"/>
      <c r="D275" s="74"/>
      <c r="E275" s="104"/>
      <c r="F275" s="104"/>
      <c r="G275" s="104"/>
      <c r="H275" s="104"/>
      <c r="I275" s="129"/>
      <c r="J275" s="82"/>
      <c r="K275" s="84"/>
      <c r="L275" s="84"/>
      <c r="M275" s="85"/>
      <c r="N275" s="85" t="s">
        <v>1503</v>
      </c>
      <c r="O275" s="85" t="s">
        <v>511</v>
      </c>
      <c r="P275" s="107"/>
      <c r="Q275" s="85"/>
      <c r="R275" s="85"/>
      <c r="S275" s="85"/>
      <c r="T275" s="85" t="s">
        <v>402</v>
      </c>
      <c r="U275" s="85" t="s">
        <v>402</v>
      </c>
      <c r="V275" s="85" t="s">
        <v>402</v>
      </c>
      <c r="W275" s="85" t="s">
        <v>402</v>
      </c>
      <c r="X275" s="85" t="s">
        <v>402</v>
      </c>
      <c r="Y275" s="85"/>
      <c r="Z275" s="85"/>
      <c r="AA275" s="85" t="s">
        <v>402</v>
      </c>
      <c r="AB275" s="96"/>
      <c r="AC275" s="85"/>
      <c r="AD275" s="96"/>
      <c r="AE275" s="85"/>
      <c r="AF275" s="85"/>
      <c r="AG275" s="85"/>
      <c r="AH275" s="85"/>
      <c r="AI275" s="85"/>
      <c r="AJ275" s="85"/>
      <c r="AK275" s="440"/>
      <c r="AL275" s="85"/>
      <c r="AM275" s="85"/>
      <c r="AN275" s="85" t="s">
        <v>1504</v>
      </c>
      <c r="AO275" s="85"/>
      <c r="AP275" s="85"/>
      <c r="AQ275" s="85"/>
      <c r="AR275" s="128"/>
      <c r="AS275" s="67"/>
    </row>
    <row r="276" spans="1:45" ht="15">
      <c r="A276" s="163"/>
      <c r="B276" s="164"/>
      <c r="C276" s="165"/>
      <c r="D276" s="166"/>
      <c r="E276" s="167"/>
      <c r="F276" s="167"/>
      <c r="G276" s="167"/>
      <c r="H276" s="167"/>
      <c r="I276" s="168"/>
      <c r="J276" s="426"/>
      <c r="K276" s="124"/>
      <c r="L276" s="124" t="s">
        <v>291</v>
      </c>
      <c r="M276" s="112" t="s">
        <v>382</v>
      </c>
      <c r="N276" s="620" t="s">
        <v>570</v>
      </c>
      <c r="O276" s="613"/>
      <c r="P276" s="113" t="s">
        <v>694</v>
      </c>
      <c r="Q276" s="112" t="s">
        <v>385</v>
      </c>
      <c r="R276" s="112" t="s">
        <v>820</v>
      </c>
      <c r="S276" s="120" t="s">
        <v>871</v>
      </c>
      <c r="T276" s="112" t="s">
        <v>402</v>
      </c>
      <c r="U276" s="112" t="s">
        <v>402</v>
      </c>
      <c r="V276" s="112" t="s">
        <v>402</v>
      </c>
      <c r="W276" s="112" t="s">
        <v>402</v>
      </c>
      <c r="X276" s="112" t="s">
        <v>402</v>
      </c>
      <c r="Y276" s="112" t="s">
        <v>355</v>
      </c>
      <c r="Z276" s="112" t="s">
        <v>402</v>
      </c>
      <c r="AA276" s="112" t="s">
        <v>402</v>
      </c>
      <c r="AB276" s="116"/>
      <c r="AC276" s="112"/>
      <c r="AD276" s="116"/>
      <c r="AE276" s="112" t="s">
        <v>385</v>
      </c>
      <c r="AF276" s="112" t="s">
        <v>385</v>
      </c>
      <c r="AG276" s="112" t="s">
        <v>385</v>
      </c>
      <c r="AH276" s="120" t="s">
        <v>1097</v>
      </c>
      <c r="AI276" s="112" t="s">
        <v>642</v>
      </c>
      <c r="AJ276" s="112" t="s">
        <v>1188</v>
      </c>
      <c r="AK276" s="467" t="s">
        <v>402</v>
      </c>
      <c r="AL276" s="112" t="s">
        <v>385</v>
      </c>
      <c r="AM276" s="112"/>
      <c r="AN276" s="112"/>
      <c r="AO276" s="112"/>
      <c r="AP276" s="112"/>
      <c r="AQ276" s="112" t="s">
        <v>1502</v>
      </c>
      <c r="AR276" s="139" t="s">
        <v>725</v>
      </c>
      <c r="AS276" s="140"/>
    </row>
    <row r="277" spans="1:45" ht="43">
      <c r="A277" s="238"/>
      <c r="B277" s="70" t="s">
        <v>356</v>
      </c>
      <c r="C277" s="72">
        <v>43441</v>
      </c>
      <c r="D277" s="74" t="s">
        <v>492</v>
      </c>
      <c r="E277" s="76">
        <v>43575</v>
      </c>
      <c r="F277" s="78" t="s">
        <v>363</v>
      </c>
      <c r="G277" s="76">
        <v>43581</v>
      </c>
      <c r="H277" s="78" t="s">
        <v>355</v>
      </c>
      <c r="I277" s="125" t="s">
        <v>1505</v>
      </c>
      <c r="J277" s="82" t="s">
        <v>190</v>
      </c>
      <c r="K277" s="83" t="s">
        <v>786</v>
      </c>
      <c r="L277" s="84" t="s">
        <v>329</v>
      </c>
      <c r="M277" s="85" t="s">
        <v>1506</v>
      </c>
      <c r="N277" s="614" t="s">
        <v>571</v>
      </c>
      <c r="O277" s="613"/>
      <c r="P277" s="96"/>
      <c r="Q277" s="85" t="s">
        <v>355</v>
      </c>
      <c r="R277" s="85" t="s">
        <v>402</v>
      </c>
      <c r="S277" s="96"/>
      <c r="T277" s="85" t="s">
        <v>402</v>
      </c>
      <c r="U277" s="85" t="s">
        <v>402</v>
      </c>
      <c r="V277" s="85" t="s">
        <v>402</v>
      </c>
      <c r="W277" s="85" t="s">
        <v>402</v>
      </c>
      <c r="X277" s="85" t="s">
        <v>404</v>
      </c>
      <c r="Y277" s="85" t="s">
        <v>402</v>
      </c>
      <c r="Z277" s="85" t="s">
        <v>402</v>
      </c>
      <c r="AA277" s="85" t="s">
        <v>402</v>
      </c>
      <c r="AB277" s="96"/>
      <c r="AC277" s="85" t="s">
        <v>402</v>
      </c>
      <c r="AD277" s="96"/>
      <c r="AE277" s="85" t="s">
        <v>385</v>
      </c>
      <c r="AF277" s="85" t="s">
        <v>385</v>
      </c>
      <c r="AG277" s="85" t="s">
        <v>385</v>
      </c>
      <c r="AH277" s="96"/>
      <c r="AI277" s="85" t="s">
        <v>530</v>
      </c>
      <c r="AJ277" s="85" t="s">
        <v>402</v>
      </c>
      <c r="AK277" s="85" t="s">
        <v>402</v>
      </c>
      <c r="AL277" s="85" t="s">
        <v>385</v>
      </c>
      <c r="AM277" s="85" t="s">
        <v>402</v>
      </c>
      <c r="AN277" s="85" t="s">
        <v>402</v>
      </c>
      <c r="AO277" s="85" t="s">
        <v>402</v>
      </c>
      <c r="AP277" s="85" t="s">
        <v>402</v>
      </c>
      <c r="AQ277" s="85" t="s">
        <v>1507</v>
      </c>
      <c r="AR277" s="128" t="s">
        <v>725</v>
      </c>
      <c r="AS277" s="67"/>
    </row>
    <row r="278" spans="1:45" ht="15">
      <c r="A278" s="379"/>
      <c r="B278" s="70"/>
      <c r="C278" s="72"/>
      <c r="D278" s="74"/>
      <c r="E278" s="104"/>
      <c r="F278" s="104"/>
      <c r="G278" s="104"/>
      <c r="H278" s="104"/>
      <c r="I278" s="129"/>
      <c r="J278" s="380"/>
      <c r="K278" s="386"/>
      <c r="L278" s="84"/>
      <c r="M278" s="85" t="s">
        <v>1508</v>
      </c>
      <c r="N278" s="85"/>
      <c r="O278" s="85"/>
      <c r="P278" s="69" t="s">
        <v>1509</v>
      </c>
      <c r="Q278" s="85" t="s">
        <v>385</v>
      </c>
      <c r="R278" s="85"/>
      <c r="S278" s="96"/>
      <c r="T278" s="85"/>
      <c r="U278" s="85"/>
      <c r="V278" s="85"/>
      <c r="W278" s="85"/>
      <c r="X278" s="85"/>
      <c r="Y278" s="85"/>
      <c r="Z278" s="85"/>
      <c r="AA278" s="85"/>
      <c r="AB278" s="96"/>
      <c r="AC278" s="177"/>
      <c r="AD278" s="96"/>
      <c r="AE278" s="85"/>
      <c r="AF278" s="85"/>
      <c r="AG278" s="85"/>
      <c r="AH278" s="96"/>
      <c r="AI278" s="177"/>
      <c r="AJ278" s="85"/>
      <c r="AK278" s="85"/>
      <c r="AL278" s="85"/>
      <c r="AM278" s="85"/>
      <c r="AN278" s="85"/>
      <c r="AO278" s="85"/>
      <c r="AP278" s="85"/>
      <c r="AQ278" s="85"/>
      <c r="AR278" s="128"/>
      <c r="AS278" s="67"/>
    </row>
    <row r="279" spans="1:45" ht="15">
      <c r="A279" s="379"/>
      <c r="B279" s="70"/>
      <c r="C279" s="72"/>
      <c r="D279" s="74"/>
      <c r="E279" s="104"/>
      <c r="F279" s="104"/>
      <c r="G279" s="104"/>
      <c r="H279" s="78" t="s">
        <v>1510</v>
      </c>
      <c r="I279" s="129"/>
      <c r="J279" s="380"/>
      <c r="K279" s="386"/>
      <c r="L279" s="84" t="s">
        <v>329</v>
      </c>
      <c r="M279" s="85" t="s">
        <v>391</v>
      </c>
      <c r="N279" s="91" t="s">
        <v>571</v>
      </c>
      <c r="O279" s="85"/>
      <c r="P279" s="96"/>
      <c r="Q279" s="85" t="s">
        <v>385</v>
      </c>
      <c r="R279" s="85"/>
      <c r="S279" s="96"/>
      <c r="T279" s="85" t="s">
        <v>402</v>
      </c>
      <c r="U279" s="85" t="s">
        <v>402</v>
      </c>
      <c r="V279" s="85" t="s">
        <v>402</v>
      </c>
      <c r="W279" s="85" t="s">
        <v>402</v>
      </c>
      <c r="X279" s="85" t="s">
        <v>404</v>
      </c>
      <c r="Y279" s="85" t="s">
        <v>402</v>
      </c>
      <c r="Z279" s="85" t="s">
        <v>402</v>
      </c>
      <c r="AA279" s="85" t="s">
        <v>402</v>
      </c>
      <c r="AB279" s="96"/>
      <c r="AC279" s="177" t="s">
        <v>402</v>
      </c>
      <c r="AD279" s="96"/>
      <c r="AE279" s="85" t="s">
        <v>385</v>
      </c>
      <c r="AF279" s="85" t="s">
        <v>385</v>
      </c>
      <c r="AG279" s="85" t="s">
        <v>385</v>
      </c>
      <c r="AH279" s="96"/>
      <c r="AI279" s="177" t="s">
        <v>530</v>
      </c>
      <c r="AJ279" s="85"/>
      <c r="AK279" s="85" t="s">
        <v>402</v>
      </c>
      <c r="AL279" s="85" t="s">
        <v>385</v>
      </c>
      <c r="AM279" s="85"/>
      <c r="AN279" s="85"/>
      <c r="AO279" s="85"/>
      <c r="AP279" s="85"/>
      <c r="AQ279" s="85"/>
      <c r="AR279" s="128"/>
      <c r="AS279" s="67"/>
    </row>
    <row r="280" spans="1:45" ht="43">
      <c r="A280" s="379"/>
      <c r="B280" s="70" t="s">
        <v>356</v>
      </c>
      <c r="C280" s="72">
        <v>43441</v>
      </c>
      <c r="D280" s="74" t="s">
        <v>492</v>
      </c>
      <c r="E280" s="76">
        <v>43575</v>
      </c>
      <c r="F280" s="78" t="s">
        <v>363</v>
      </c>
      <c r="G280" s="76">
        <v>43581</v>
      </c>
      <c r="H280" s="78" t="s">
        <v>355</v>
      </c>
      <c r="I280" s="129" t="s">
        <v>1511</v>
      </c>
      <c r="J280" s="380" t="s">
        <v>191</v>
      </c>
      <c r="K280" s="126" t="s">
        <v>786</v>
      </c>
      <c r="L280" s="84" t="s">
        <v>291</v>
      </c>
      <c r="M280" s="85" t="s">
        <v>382</v>
      </c>
      <c r="N280" s="614" t="s">
        <v>574</v>
      </c>
      <c r="O280" s="613"/>
      <c r="P280" s="614" t="s">
        <v>717</v>
      </c>
      <c r="Q280" s="613"/>
      <c r="R280" s="85" t="s">
        <v>763</v>
      </c>
      <c r="S280" s="91" t="s">
        <v>764</v>
      </c>
      <c r="T280" s="85" t="s">
        <v>355</v>
      </c>
      <c r="U280" s="85" t="s">
        <v>355</v>
      </c>
      <c r="V280" s="85" t="s">
        <v>355</v>
      </c>
      <c r="W280" s="85" t="s">
        <v>355</v>
      </c>
      <c r="X280" s="85" t="s">
        <v>355</v>
      </c>
      <c r="Y280" s="85" t="s">
        <v>355</v>
      </c>
      <c r="Z280" s="85" t="s">
        <v>355</v>
      </c>
      <c r="AA280" s="85" t="s">
        <v>355</v>
      </c>
      <c r="AB280" s="85" t="s">
        <v>938</v>
      </c>
      <c r="AC280" s="177" t="s">
        <v>863</v>
      </c>
      <c r="AD280" s="91" t="s">
        <v>544</v>
      </c>
      <c r="AE280" s="85" t="s">
        <v>385</v>
      </c>
      <c r="AF280" s="85" t="s">
        <v>385</v>
      </c>
      <c r="AG280" s="85" t="s">
        <v>385</v>
      </c>
      <c r="AH280" s="91" t="s">
        <v>766</v>
      </c>
      <c r="AI280" s="177" t="s">
        <v>1306</v>
      </c>
      <c r="AJ280" s="85" t="s">
        <v>402</v>
      </c>
      <c r="AK280" s="633" t="s">
        <v>402</v>
      </c>
      <c r="AL280" s="85" t="s">
        <v>385</v>
      </c>
      <c r="AM280" s="85" t="s">
        <v>402</v>
      </c>
      <c r="AN280" s="85" t="s">
        <v>768</v>
      </c>
      <c r="AO280" s="85" t="s">
        <v>402</v>
      </c>
      <c r="AP280" s="85" t="s">
        <v>402</v>
      </c>
      <c r="AQ280" s="85" t="s">
        <v>1512</v>
      </c>
      <c r="AR280" s="128" t="s">
        <v>1106</v>
      </c>
      <c r="AS280" s="67"/>
    </row>
    <row r="281" spans="1:45" ht="15">
      <c r="A281" s="379"/>
      <c r="B281" s="70"/>
      <c r="C281" s="72"/>
      <c r="D281" s="74"/>
      <c r="E281" s="104"/>
      <c r="F281" s="104"/>
      <c r="G281" s="104"/>
      <c r="H281" s="104"/>
      <c r="I281" s="129"/>
      <c r="J281" s="380"/>
      <c r="K281" s="386"/>
      <c r="L281" s="84"/>
      <c r="M281" s="85"/>
      <c r="N281" s="85"/>
      <c r="O281" s="85"/>
      <c r="P281" s="85"/>
      <c r="Q281" s="85" t="s">
        <v>385</v>
      </c>
      <c r="R281" s="85"/>
      <c r="S281" s="85"/>
      <c r="T281" s="85" t="s">
        <v>402</v>
      </c>
      <c r="U281" s="85" t="s">
        <v>402</v>
      </c>
      <c r="V281" s="85" t="s">
        <v>402</v>
      </c>
      <c r="W281" s="85" t="s">
        <v>402</v>
      </c>
      <c r="X281" s="85" t="s">
        <v>402</v>
      </c>
      <c r="Y281" s="85"/>
      <c r="Z281" s="85" t="s">
        <v>402</v>
      </c>
      <c r="AA281" s="85" t="s">
        <v>402</v>
      </c>
      <c r="AB281" s="85"/>
      <c r="AC281" s="177"/>
      <c r="AD281" s="85"/>
      <c r="AE281" s="85"/>
      <c r="AF281" s="85"/>
      <c r="AG281" s="85"/>
      <c r="AH281" s="15" t="s">
        <v>774</v>
      </c>
      <c r="AI281" s="130" t="s">
        <v>642</v>
      </c>
      <c r="AJ281" s="435" t="s">
        <v>1513</v>
      </c>
      <c r="AK281" s="633"/>
      <c r="AL281" s="85"/>
      <c r="AM281" s="85"/>
      <c r="AN281" s="85" t="s">
        <v>1514</v>
      </c>
      <c r="AO281" s="85"/>
      <c r="AP281" s="85"/>
      <c r="AQ281" s="85" t="s">
        <v>1515</v>
      </c>
      <c r="AR281" s="128"/>
      <c r="AS281" s="67"/>
    </row>
    <row r="282" spans="1:45" ht="15">
      <c r="A282" s="379"/>
      <c r="B282" s="70"/>
      <c r="C282" s="72"/>
      <c r="D282" s="74"/>
      <c r="E282" s="104"/>
      <c r="F282" s="104"/>
      <c r="G282" s="104"/>
      <c r="H282" s="104"/>
      <c r="I282" s="129"/>
      <c r="J282" s="380"/>
      <c r="K282" s="386"/>
      <c r="L282" s="84" t="s">
        <v>291</v>
      </c>
      <c r="M282" s="85" t="s">
        <v>382</v>
      </c>
      <c r="N282" s="196" t="s">
        <v>574</v>
      </c>
      <c r="O282" s="85"/>
      <c r="P282" s="196" t="s">
        <v>717</v>
      </c>
      <c r="Q282" s="85" t="s">
        <v>385</v>
      </c>
      <c r="R282" s="85" t="s">
        <v>763</v>
      </c>
      <c r="S282" s="91" t="s">
        <v>764</v>
      </c>
      <c r="T282" s="85" t="s">
        <v>402</v>
      </c>
      <c r="U282" s="85" t="s">
        <v>402</v>
      </c>
      <c r="V282" s="85" t="s">
        <v>402</v>
      </c>
      <c r="W282" s="85" t="s">
        <v>402</v>
      </c>
      <c r="X282" s="85" t="s">
        <v>402</v>
      </c>
      <c r="Y282" s="85" t="s">
        <v>355</v>
      </c>
      <c r="Z282" s="85" t="s">
        <v>402</v>
      </c>
      <c r="AA282" s="85" t="s">
        <v>402</v>
      </c>
      <c r="AB282" s="85" t="s">
        <v>938</v>
      </c>
      <c r="AC282" s="177" t="s">
        <v>863</v>
      </c>
      <c r="AD282" s="91" t="s">
        <v>544</v>
      </c>
      <c r="AE282" s="85" t="s">
        <v>385</v>
      </c>
      <c r="AF282" s="85" t="s">
        <v>385</v>
      </c>
      <c r="AG282" s="85" t="s">
        <v>385</v>
      </c>
      <c r="AH282" s="69"/>
      <c r="AI282" s="130" t="s">
        <v>642</v>
      </c>
      <c r="AJ282" s="435"/>
      <c r="AK282" s="633"/>
      <c r="AL282" s="85"/>
      <c r="AM282" s="85"/>
      <c r="AN282" s="85"/>
      <c r="AO282" s="85"/>
      <c r="AP282" s="85"/>
      <c r="AQ282" s="85"/>
      <c r="AR282" s="128"/>
      <c r="AS282" s="67"/>
    </row>
    <row r="283" spans="1:45" ht="71">
      <c r="A283" s="379"/>
      <c r="B283" s="70" t="s">
        <v>356</v>
      </c>
      <c r="C283" s="72">
        <v>43441</v>
      </c>
      <c r="D283" s="74" t="s">
        <v>658</v>
      </c>
      <c r="E283" s="182">
        <v>43574</v>
      </c>
      <c r="F283" s="78" t="s">
        <v>360</v>
      </c>
      <c r="G283" s="182">
        <v>43581</v>
      </c>
      <c r="H283" s="78" t="s">
        <v>355</v>
      </c>
      <c r="I283" s="129" t="s">
        <v>1516</v>
      </c>
      <c r="J283" s="380" t="s">
        <v>192</v>
      </c>
      <c r="K283" s="126" t="s">
        <v>524</v>
      </c>
      <c r="L283" s="84" t="s">
        <v>330</v>
      </c>
      <c r="M283" s="85" t="s">
        <v>385</v>
      </c>
      <c r="N283" s="96"/>
      <c r="O283" s="96"/>
      <c r="P283" s="96"/>
      <c r="Q283" s="85" t="s">
        <v>385</v>
      </c>
      <c r="R283" s="96"/>
      <c r="S283" s="96"/>
      <c r="T283" s="85" t="s">
        <v>402</v>
      </c>
      <c r="U283" s="85" t="s">
        <v>402</v>
      </c>
      <c r="V283" s="85" t="s">
        <v>402</v>
      </c>
      <c r="W283" s="85" t="s">
        <v>402</v>
      </c>
      <c r="X283" s="85" t="s">
        <v>402</v>
      </c>
      <c r="Y283" s="85" t="s">
        <v>402</v>
      </c>
      <c r="Z283" s="85" t="s">
        <v>402</v>
      </c>
      <c r="AA283" s="85" t="s">
        <v>402</v>
      </c>
      <c r="AB283" s="96"/>
      <c r="AC283" s="177" t="s">
        <v>402</v>
      </c>
      <c r="AD283" s="96"/>
      <c r="AE283" s="85" t="s">
        <v>385</v>
      </c>
      <c r="AF283" s="85" t="s">
        <v>385</v>
      </c>
      <c r="AG283" s="85" t="s">
        <v>385</v>
      </c>
      <c r="AH283" s="96"/>
      <c r="AI283" s="177" t="s">
        <v>530</v>
      </c>
      <c r="AJ283" s="85" t="s">
        <v>402</v>
      </c>
      <c r="AK283" s="85" t="s">
        <v>402</v>
      </c>
      <c r="AL283" s="85" t="s">
        <v>385</v>
      </c>
      <c r="AM283" s="85" t="s">
        <v>402</v>
      </c>
      <c r="AN283" s="85" t="s">
        <v>402</v>
      </c>
      <c r="AO283" s="85" t="s">
        <v>402</v>
      </c>
      <c r="AP283" s="85" t="s">
        <v>402</v>
      </c>
      <c r="AQ283" s="85" t="s">
        <v>1517</v>
      </c>
      <c r="AR283" s="128" t="s">
        <v>1106</v>
      </c>
      <c r="AS283" s="67"/>
    </row>
    <row r="284" spans="1:45" ht="15">
      <c r="A284" s="379"/>
      <c r="B284" s="70"/>
      <c r="C284" s="72"/>
      <c r="D284" s="74"/>
      <c r="E284" s="104"/>
      <c r="F284" s="104"/>
      <c r="G284" s="104"/>
      <c r="H284" s="104"/>
      <c r="I284" s="129"/>
      <c r="J284" s="380"/>
      <c r="K284" s="386"/>
      <c r="L284" s="84"/>
      <c r="M284" s="85" t="s">
        <v>392</v>
      </c>
      <c r="N284" s="15" t="s">
        <v>575</v>
      </c>
      <c r="O284" s="96"/>
      <c r="P284" s="96"/>
      <c r="Q284" s="85"/>
      <c r="R284" s="96"/>
      <c r="S284" s="96"/>
      <c r="T284" s="85"/>
      <c r="U284" s="85"/>
      <c r="V284" s="85"/>
      <c r="W284" s="85"/>
      <c r="X284" s="85"/>
      <c r="Y284" s="85" t="s">
        <v>1518</v>
      </c>
      <c r="Z284" s="85"/>
      <c r="AA284" s="85"/>
      <c r="AB284" s="96"/>
      <c r="AC284" s="177"/>
      <c r="AD284" s="96"/>
      <c r="AE284" s="85"/>
      <c r="AF284" s="85"/>
      <c r="AG284" s="85"/>
      <c r="AH284" s="96"/>
      <c r="AI284" s="177"/>
      <c r="AJ284" s="85"/>
      <c r="AK284" s="85"/>
      <c r="AL284" s="85"/>
      <c r="AM284" s="85"/>
      <c r="AN284" s="85"/>
      <c r="AO284" s="85"/>
      <c r="AP284" s="85"/>
      <c r="AQ284" s="85" t="s">
        <v>1519</v>
      </c>
      <c r="AR284" s="128" t="s">
        <v>692</v>
      </c>
      <c r="AS284" s="67"/>
    </row>
    <row r="285" spans="1:45" ht="15">
      <c r="A285" s="379"/>
      <c r="B285" s="70"/>
      <c r="C285" s="72"/>
      <c r="D285" s="74"/>
      <c r="E285" s="104"/>
      <c r="F285" s="104"/>
      <c r="G285" s="104"/>
      <c r="H285" s="104"/>
      <c r="I285" s="129"/>
      <c r="J285" s="380"/>
      <c r="K285" s="386"/>
      <c r="L285" s="84" t="s">
        <v>330</v>
      </c>
      <c r="M285" s="85" t="s">
        <v>392</v>
      </c>
      <c r="N285" s="15" t="s">
        <v>575</v>
      </c>
      <c r="O285" s="96"/>
      <c r="P285" s="96"/>
      <c r="Q285" s="85" t="s">
        <v>385</v>
      </c>
      <c r="R285" s="96"/>
      <c r="S285" s="96"/>
      <c r="T285" s="85" t="s">
        <v>402</v>
      </c>
      <c r="U285" s="85" t="s">
        <v>402</v>
      </c>
      <c r="V285" s="85" t="s">
        <v>402</v>
      </c>
      <c r="W285" s="85" t="s">
        <v>402</v>
      </c>
      <c r="X285" s="85" t="s">
        <v>402</v>
      </c>
      <c r="Y285" s="85" t="s">
        <v>355</v>
      </c>
      <c r="Z285" s="85" t="s">
        <v>402</v>
      </c>
      <c r="AA285" s="85" t="s">
        <v>402</v>
      </c>
      <c r="AB285" s="96"/>
      <c r="AC285" s="177"/>
      <c r="AD285" s="96"/>
      <c r="AE285" s="85" t="s">
        <v>385</v>
      </c>
      <c r="AF285" s="85" t="s">
        <v>385</v>
      </c>
      <c r="AG285" s="85" t="s">
        <v>385</v>
      </c>
      <c r="AH285" s="96"/>
      <c r="AI285" s="177" t="s">
        <v>530</v>
      </c>
      <c r="AJ285" s="85"/>
      <c r="AK285" s="85" t="s">
        <v>402</v>
      </c>
      <c r="AL285" s="85" t="s">
        <v>385</v>
      </c>
      <c r="AM285" s="85"/>
      <c r="AN285" s="85"/>
      <c r="AO285" s="85"/>
      <c r="AP285" s="85"/>
      <c r="AQ285" s="85" t="s">
        <v>1520</v>
      </c>
      <c r="AR285" s="128" t="s">
        <v>1106</v>
      </c>
      <c r="AS285" s="67"/>
    </row>
    <row r="286" spans="1:45" ht="71">
      <c r="A286" s="379"/>
      <c r="B286" s="70" t="s">
        <v>356</v>
      </c>
      <c r="C286" s="72">
        <v>43441</v>
      </c>
      <c r="D286" s="74" t="s">
        <v>658</v>
      </c>
      <c r="E286" s="182">
        <v>43574</v>
      </c>
      <c r="F286" s="78" t="s">
        <v>360</v>
      </c>
      <c r="G286" s="182">
        <v>43581</v>
      </c>
      <c r="H286" s="78" t="s">
        <v>355</v>
      </c>
      <c r="I286" s="129" t="s">
        <v>1521</v>
      </c>
      <c r="J286" s="380" t="s">
        <v>193</v>
      </c>
      <c r="K286" s="126" t="s">
        <v>524</v>
      </c>
      <c r="L286" s="84" t="s">
        <v>331</v>
      </c>
      <c r="M286" s="85" t="s">
        <v>382</v>
      </c>
      <c r="N286" s="614" t="s">
        <v>577</v>
      </c>
      <c r="O286" s="613"/>
      <c r="P286" s="91" t="s">
        <v>1522</v>
      </c>
      <c r="Q286" s="85" t="s">
        <v>385</v>
      </c>
      <c r="R286" s="85" t="s">
        <v>402</v>
      </c>
      <c r="S286" s="96"/>
      <c r="T286" s="85" t="s">
        <v>402</v>
      </c>
      <c r="U286" s="85" t="s">
        <v>402</v>
      </c>
      <c r="V286" s="85" t="s">
        <v>402</v>
      </c>
      <c r="W286" s="85" t="s">
        <v>402</v>
      </c>
      <c r="X286" s="85" t="s">
        <v>402</v>
      </c>
      <c r="Y286" s="85" t="s">
        <v>402</v>
      </c>
      <c r="Z286" s="85" t="s">
        <v>402</v>
      </c>
      <c r="AA286" s="85" t="s">
        <v>402</v>
      </c>
      <c r="AB286" s="96"/>
      <c r="AC286" s="177" t="s">
        <v>402</v>
      </c>
      <c r="AD286" s="96"/>
      <c r="AE286" s="85" t="s">
        <v>385</v>
      </c>
      <c r="AF286" s="85" t="s">
        <v>385</v>
      </c>
      <c r="AG286" s="85" t="s">
        <v>385</v>
      </c>
      <c r="AH286" s="96"/>
      <c r="AI286" s="177" t="s">
        <v>530</v>
      </c>
      <c r="AJ286" s="85" t="s">
        <v>402</v>
      </c>
      <c r="AK286" s="85" t="s">
        <v>402</v>
      </c>
      <c r="AL286" s="85" t="s">
        <v>385</v>
      </c>
      <c r="AM286" s="85" t="s">
        <v>402</v>
      </c>
      <c r="AN286" s="85" t="s">
        <v>402</v>
      </c>
      <c r="AO286" s="85" t="s">
        <v>402</v>
      </c>
      <c r="AP286" s="85" t="s">
        <v>402</v>
      </c>
      <c r="AQ286" s="85" t="s">
        <v>1523</v>
      </c>
      <c r="AR286" s="128" t="s">
        <v>725</v>
      </c>
      <c r="AS286" s="67"/>
    </row>
    <row r="287" spans="1:45" ht="15">
      <c r="A287" s="379"/>
      <c r="B287" s="70"/>
      <c r="C287" s="72"/>
      <c r="D287" s="74"/>
      <c r="E287" s="104"/>
      <c r="F287" s="104"/>
      <c r="G287" s="104"/>
      <c r="H287" s="104"/>
      <c r="I287" s="129"/>
      <c r="J287" s="380"/>
      <c r="K287" s="386"/>
      <c r="L287" s="84"/>
      <c r="M287" s="85"/>
      <c r="N287" s="85"/>
      <c r="O287" s="85"/>
      <c r="P287" s="85" t="s">
        <v>1524</v>
      </c>
      <c r="Q287" s="85"/>
      <c r="R287" s="85"/>
      <c r="S287" s="96"/>
      <c r="T287" s="85"/>
      <c r="U287" s="85"/>
      <c r="V287" s="85"/>
      <c r="W287" s="85"/>
      <c r="X287" s="85"/>
      <c r="Y287" s="85" t="s">
        <v>1525</v>
      </c>
      <c r="Z287" s="85"/>
      <c r="AA287" s="85"/>
      <c r="AB287" s="96"/>
      <c r="AC287" s="177"/>
      <c r="AD287" s="96"/>
      <c r="AE287" s="85"/>
      <c r="AF287" s="85"/>
      <c r="AG287" s="85"/>
      <c r="AH287" s="96"/>
      <c r="AI287" s="177"/>
      <c r="AJ287" s="85"/>
      <c r="AK287" s="85"/>
      <c r="AL287" s="85"/>
      <c r="AM287" s="85"/>
      <c r="AN287" s="85"/>
      <c r="AO287" s="85"/>
      <c r="AP287" s="85"/>
      <c r="AQ287" s="85" t="s">
        <v>1526</v>
      </c>
      <c r="AR287" s="128" t="s">
        <v>725</v>
      </c>
      <c r="AS287" s="67"/>
    </row>
    <row r="288" spans="1:45" ht="15">
      <c r="A288" s="379"/>
      <c r="B288" s="70"/>
      <c r="C288" s="72"/>
      <c r="D288" s="74"/>
      <c r="E288" s="104"/>
      <c r="F288" s="104"/>
      <c r="G288" s="104"/>
      <c r="H288" s="104"/>
      <c r="I288" s="129"/>
      <c r="J288" s="380"/>
      <c r="K288" s="386"/>
      <c r="L288" s="84" t="s">
        <v>331</v>
      </c>
      <c r="M288" s="85" t="s">
        <v>382</v>
      </c>
      <c r="N288" s="91" t="s">
        <v>577</v>
      </c>
      <c r="O288" s="85"/>
      <c r="P288" s="85"/>
      <c r="Q288" s="85" t="s">
        <v>385</v>
      </c>
      <c r="R288" s="85"/>
      <c r="S288" s="96"/>
      <c r="T288" s="85" t="s">
        <v>402</v>
      </c>
      <c r="U288" s="85" t="s">
        <v>402</v>
      </c>
      <c r="V288" s="85" t="s">
        <v>402</v>
      </c>
      <c r="W288" s="85" t="s">
        <v>402</v>
      </c>
      <c r="X288" s="85" t="s">
        <v>402</v>
      </c>
      <c r="Y288" s="85" t="s">
        <v>355</v>
      </c>
      <c r="Z288" s="85" t="s">
        <v>402</v>
      </c>
      <c r="AA288" s="85" t="s">
        <v>402</v>
      </c>
      <c r="AB288" s="96"/>
      <c r="AC288" s="177"/>
      <c r="AD288" s="96"/>
      <c r="AE288" s="85" t="s">
        <v>385</v>
      </c>
      <c r="AF288" s="85" t="s">
        <v>385</v>
      </c>
      <c r="AG288" s="85" t="s">
        <v>385</v>
      </c>
      <c r="AH288" s="96"/>
      <c r="AI288" s="177" t="s">
        <v>530</v>
      </c>
      <c r="AJ288" s="85"/>
      <c r="AK288" s="85" t="s">
        <v>402</v>
      </c>
      <c r="AL288" s="85" t="s">
        <v>385</v>
      </c>
      <c r="AM288" s="85"/>
      <c r="AN288" s="85"/>
      <c r="AO288" s="85"/>
      <c r="AP288" s="85"/>
      <c r="AQ288" s="85" t="s">
        <v>1527</v>
      </c>
      <c r="AR288" s="128" t="s">
        <v>725</v>
      </c>
      <c r="AS288" s="67"/>
    </row>
    <row r="289" spans="1:45" ht="43">
      <c r="A289" s="379"/>
      <c r="B289" s="70" t="s">
        <v>356</v>
      </c>
      <c r="C289" s="72">
        <v>43439</v>
      </c>
      <c r="D289" s="74" t="s">
        <v>658</v>
      </c>
      <c r="E289" s="182">
        <v>43574</v>
      </c>
      <c r="F289" s="78" t="s">
        <v>360</v>
      </c>
      <c r="G289" s="182">
        <v>43581</v>
      </c>
      <c r="H289" s="78" t="s">
        <v>355</v>
      </c>
      <c r="I289" s="129" t="s">
        <v>1528</v>
      </c>
      <c r="J289" s="105" t="s">
        <v>194</v>
      </c>
      <c r="K289" s="126" t="s">
        <v>786</v>
      </c>
      <c r="L289" s="84" t="s">
        <v>309</v>
      </c>
      <c r="M289" s="85" t="s">
        <v>382</v>
      </c>
      <c r="N289" s="614" t="s">
        <v>579</v>
      </c>
      <c r="O289" s="613"/>
      <c r="P289" s="613"/>
      <c r="Q289" s="85" t="s">
        <v>355</v>
      </c>
      <c r="R289" s="85" t="s">
        <v>402</v>
      </c>
      <c r="S289" s="96"/>
      <c r="T289" s="85" t="s">
        <v>355</v>
      </c>
      <c r="U289" s="85" t="s">
        <v>355</v>
      </c>
      <c r="V289" s="85" t="s">
        <v>355</v>
      </c>
      <c r="W289" s="85" t="s">
        <v>355</v>
      </c>
      <c r="X289" s="85" t="s">
        <v>355</v>
      </c>
      <c r="Y289" s="85" t="s">
        <v>355</v>
      </c>
      <c r="Z289" s="85" t="s">
        <v>355</v>
      </c>
      <c r="AA289" s="85" t="s">
        <v>355</v>
      </c>
      <c r="AB289" s="96"/>
      <c r="AC289" s="177" t="s">
        <v>402</v>
      </c>
      <c r="AD289" s="96"/>
      <c r="AE289" s="85" t="s">
        <v>385</v>
      </c>
      <c r="AF289" s="85" t="s">
        <v>385</v>
      </c>
      <c r="AG289" s="85" t="s">
        <v>385</v>
      </c>
      <c r="AH289" s="91" t="s">
        <v>1098</v>
      </c>
      <c r="AI289" s="85" t="s">
        <v>1529</v>
      </c>
      <c r="AJ289" s="85" t="s">
        <v>1530</v>
      </c>
      <c r="AK289" s="85" t="s">
        <v>402</v>
      </c>
      <c r="AL289" s="85" t="s">
        <v>355</v>
      </c>
      <c r="AM289" s="85" t="s">
        <v>402</v>
      </c>
      <c r="AN289" s="85" t="s">
        <v>1299</v>
      </c>
      <c r="AO289" s="85" t="s">
        <v>402</v>
      </c>
      <c r="AP289" s="85" t="s">
        <v>402</v>
      </c>
      <c r="AQ289" s="85" t="s">
        <v>1531</v>
      </c>
      <c r="AR289" s="128" t="s">
        <v>748</v>
      </c>
      <c r="AS289" s="67"/>
    </row>
    <row r="290" spans="1:45" ht="15">
      <c r="A290" s="379"/>
      <c r="B290" s="70"/>
      <c r="C290" s="72"/>
      <c r="D290" s="74"/>
      <c r="E290" s="104"/>
      <c r="F290" s="104"/>
      <c r="G290" s="104"/>
      <c r="H290" s="104"/>
      <c r="I290" s="129"/>
      <c r="J290" s="105"/>
      <c r="K290" s="106"/>
      <c r="L290" s="84"/>
      <c r="M290" s="85"/>
      <c r="N290" s="85"/>
      <c r="O290" s="85"/>
      <c r="P290" s="85" t="s">
        <v>402</v>
      </c>
      <c r="Q290" s="85" t="s">
        <v>385</v>
      </c>
      <c r="R290" s="85"/>
      <c r="S290" s="96"/>
      <c r="T290" s="85" t="s">
        <v>402</v>
      </c>
      <c r="U290" s="85" t="s">
        <v>402</v>
      </c>
      <c r="V290" s="85" t="s">
        <v>402</v>
      </c>
      <c r="W290" s="85" t="s">
        <v>402</v>
      </c>
      <c r="X290" s="85" t="s">
        <v>402</v>
      </c>
      <c r="Y290" s="85" t="s">
        <v>1518</v>
      </c>
      <c r="Z290" s="85" t="s">
        <v>402</v>
      </c>
      <c r="AA290" s="85" t="s">
        <v>402</v>
      </c>
      <c r="AB290" s="96"/>
      <c r="AC290" s="85"/>
      <c r="AD290" s="96"/>
      <c r="AE290" s="85"/>
      <c r="AF290" s="85"/>
      <c r="AG290" s="85"/>
      <c r="AH290" s="85"/>
      <c r="AI290" s="85" t="s">
        <v>1156</v>
      </c>
      <c r="AJ290" s="85"/>
      <c r="AK290" s="85"/>
      <c r="AL290" s="85" t="s">
        <v>385</v>
      </c>
      <c r="AM290" s="85"/>
      <c r="AN290" s="85" t="s">
        <v>402</v>
      </c>
      <c r="AO290" s="85"/>
      <c r="AP290" s="85"/>
      <c r="AQ290" s="85"/>
      <c r="AR290" s="128" t="s">
        <v>725</v>
      </c>
      <c r="AS290" s="67"/>
    </row>
    <row r="291" spans="1:45" ht="15">
      <c r="A291" s="388"/>
      <c r="B291" s="164"/>
      <c r="C291" s="165"/>
      <c r="D291" s="166"/>
      <c r="E291" s="167"/>
      <c r="F291" s="167"/>
      <c r="G291" s="167"/>
      <c r="H291" s="167"/>
      <c r="I291" s="168"/>
      <c r="J291" s="169"/>
      <c r="K291" s="170"/>
      <c r="L291" s="124" t="s">
        <v>309</v>
      </c>
      <c r="M291" s="112" t="s">
        <v>382</v>
      </c>
      <c r="N291" s="120" t="s">
        <v>579</v>
      </c>
      <c r="O291" s="112"/>
      <c r="P291" s="112"/>
      <c r="Q291" s="112" t="s">
        <v>355</v>
      </c>
      <c r="R291" s="112"/>
      <c r="S291" s="116"/>
      <c r="T291" s="112" t="s">
        <v>402</v>
      </c>
      <c r="U291" s="112" t="s">
        <v>402</v>
      </c>
      <c r="V291" s="112" t="s">
        <v>402</v>
      </c>
      <c r="W291" s="112" t="s">
        <v>402</v>
      </c>
      <c r="X291" s="112" t="s">
        <v>402</v>
      </c>
      <c r="Y291" s="112" t="s">
        <v>355</v>
      </c>
      <c r="Z291" s="112" t="s">
        <v>402</v>
      </c>
      <c r="AA291" s="112" t="s">
        <v>402</v>
      </c>
      <c r="AB291" s="116"/>
      <c r="AC291" s="178"/>
      <c r="AD291" s="116"/>
      <c r="AE291" s="112" t="s">
        <v>385</v>
      </c>
      <c r="AF291" s="112" t="s">
        <v>385</v>
      </c>
      <c r="AG291" s="112" t="s">
        <v>385</v>
      </c>
      <c r="AH291" s="120" t="s">
        <v>1098</v>
      </c>
      <c r="AI291" s="112" t="s">
        <v>1156</v>
      </c>
      <c r="AJ291" s="112" t="s">
        <v>1190</v>
      </c>
      <c r="AK291" s="112" t="s">
        <v>402</v>
      </c>
      <c r="AL291" s="112" t="s">
        <v>355</v>
      </c>
      <c r="AM291" s="112"/>
      <c r="AN291" s="112"/>
      <c r="AO291" s="112"/>
      <c r="AP291" s="112"/>
      <c r="AQ291" s="112" t="s">
        <v>1531</v>
      </c>
      <c r="AR291" s="139" t="s">
        <v>748</v>
      </c>
      <c r="AS291" s="140"/>
    </row>
    <row r="292" spans="1:45" ht="57">
      <c r="A292" s="238"/>
      <c r="B292" s="70" t="s">
        <v>356</v>
      </c>
      <c r="C292" s="72">
        <v>43439</v>
      </c>
      <c r="D292" s="74" t="s">
        <v>658</v>
      </c>
      <c r="E292" s="182">
        <v>43574</v>
      </c>
      <c r="F292" s="78" t="s">
        <v>360</v>
      </c>
      <c r="G292" s="182">
        <v>43581</v>
      </c>
      <c r="H292" s="78" t="s">
        <v>355</v>
      </c>
      <c r="I292" s="129" t="s">
        <v>1532</v>
      </c>
      <c r="J292" s="105" t="s">
        <v>195</v>
      </c>
      <c r="K292" s="126" t="s">
        <v>994</v>
      </c>
      <c r="L292" s="84" t="s">
        <v>291</v>
      </c>
      <c r="M292" s="85" t="s">
        <v>1533</v>
      </c>
      <c r="N292" s="614" t="s">
        <v>585</v>
      </c>
      <c r="O292" s="613"/>
      <c r="P292" s="96"/>
      <c r="Q292" s="85" t="s">
        <v>385</v>
      </c>
      <c r="R292" s="85" t="s">
        <v>815</v>
      </c>
      <c r="S292" s="91" t="s">
        <v>585</v>
      </c>
      <c r="T292" s="85" t="s">
        <v>402</v>
      </c>
      <c r="U292" s="85" t="s">
        <v>402</v>
      </c>
      <c r="V292" s="85" t="s">
        <v>402</v>
      </c>
      <c r="W292" s="85" t="s">
        <v>402</v>
      </c>
      <c r="X292" s="85" t="s">
        <v>402</v>
      </c>
      <c r="Y292" s="85" t="s">
        <v>402</v>
      </c>
      <c r="Z292" s="85" t="s">
        <v>402</v>
      </c>
      <c r="AA292" s="85" t="s">
        <v>402</v>
      </c>
      <c r="AB292" s="96"/>
      <c r="AC292" s="177" t="s">
        <v>402</v>
      </c>
      <c r="AD292" s="96"/>
      <c r="AE292" s="85" t="s">
        <v>385</v>
      </c>
      <c r="AF292" s="85" t="s">
        <v>385</v>
      </c>
      <c r="AG292" s="85" t="s">
        <v>385</v>
      </c>
      <c r="AH292" s="91" t="s">
        <v>585</v>
      </c>
      <c r="AI292" s="85" t="s">
        <v>460</v>
      </c>
      <c r="AJ292" s="177" t="s">
        <v>1191</v>
      </c>
      <c r="AK292" s="85" t="s">
        <v>1229</v>
      </c>
      <c r="AL292" s="85" t="s">
        <v>385</v>
      </c>
      <c r="AM292" s="177" t="s">
        <v>1255</v>
      </c>
      <c r="AN292" s="85" t="s">
        <v>402</v>
      </c>
      <c r="AO292" s="433" t="s">
        <v>402</v>
      </c>
      <c r="AP292" s="85" t="s">
        <v>402</v>
      </c>
      <c r="AQ292" s="85" t="s">
        <v>1534</v>
      </c>
      <c r="AR292" s="128" t="s">
        <v>1314</v>
      </c>
      <c r="AS292" s="67"/>
    </row>
    <row r="293" spans="1:45" ht="15">
      <c r="A293" s="238"/>
      <c r="B293" s="70"/>
      <c r="C293" s="72"/>
      <c r="D293" s="74"/>
      <c r="E293" s="104"/>
      <c r="F293" s="104"/>
      <c r="G293" s="104"/>
      <c r="H293" s="104"/>
      <c r="I293" s="129"/>
      <c r="J293" s="105"/>
      <c r="K293" s="106"/>
      <c r="L293" s="84"/>
      <c r="M293" s="85" t="s">
        <v>1535</v>
      </c>
      <c r="N293" s="85"/>
      <c r="O293" s="85"/>
      <c r="P293" s="96"/>
      <c r="Q293" s="85"/>
      <c r="R293" s="85"/>
      <c r="S293" s="85"/>
      <c r="T293" s="85"/>
      <c r="U293" s="85"/>
      <c r="V293" s="85"/>
      <c r="W293" s="85"/>
      <c r="X293" s="85"/>
      <c r="Y293" s="85"/>
      <c r="Z293" s="85"/>
      <c r="AA293" s="85"/>
      <c r="AB293" s="96"/>
      <c r="AC293" s="177"/>
      <c r="AD293" s="96"/>
      <c r="AE293" s="85"/>
      <c r="AF293" s="85"/>
      <c r="AG293" s="85"/>
      <c r="AH293" s="85"/>
      <c r="AI293" s="85"/>
      <c r="AJ293" s="177"/>
      <c r="AK293" s="85" t="s">
        <v>1536</v>
      </c>
      <c r="AL293" s="85"/>
      <c r="AM293" s="177"/>
      <c r="AN293" s="85"/>
      <c r="AO293" s="433"/>
      <c r="AP293" s="85"/>
      <c r="AQ293" s="85"/>
      <c r="AR293" s="128" t="s">
        <v>725</v>
      </c>
      <c r="AS293" s="67"/>
    </row>
    <row r="294" spans="1:45" ht="15">
      <c r="A294" s="394"/>
      <c r="B294" s="164"/>
      <c r="C294" s="165"/>
      <c r="D294" s="166"/>
      <c r="E294" s="167"/>
      <c r="F294" s="167"/>
      <c r="G294" s="167"/>
      <c r="H294" s="167"/>
      <c r="I294" s="168"/>
      <c r="J294" s="169"/>
      <c r="K294" s="170"/>
      <c r="L294" s="124" t="s">
        <v>291</v>
      </c>
      <c r="M294" s="112" t="s">
        <v>385</v>
      </c>
      <c r="N294" s="120" t="s">
        <v>585</v>
      </c>
      <c r="O294" s="112"/>
      <c r="P294" s="116"/>
      <c r="Q294" s="112" t="s">
        <v>385</v>
      </c>
      <c r="R294" s="112" t="s">
        <v>815</v>
      </c>
      <c r="S294" s="120" t="s">
        <v>585</v>
      </c>
      <c r="T294" s="112" t="s">
        <v>402</v>
      </c>
      <c r="U294" s="112" t="s">
        <v>402</v>
      </c>
      <c r="V294" s="112" t="s">
        <v>402</v>
      </c>
      <c r="W294" s="112" t="s">
        <v>402</v>
      </c>
      <c r="X294" s="112" t="s">
        <v>402</v>
      </c>
      <c r="Y294" s="112" t="s">
        <v>402</v>
      </c>
      <c r="Z294" s="112" t="s">
        <v>402</v>
      </c>
      <c r="AA294" s="112" t="s">
        <v>402</v>
      </c>
      <c r="AB294" s="116"/>
      <c r="AC294" s="178"/>
      <c r="AD294" s="116"/>
      <c r="AE294" s="112" t="s">
        <v>385</v>
      </c>
      <c r="AF294" s="112" t="s">
        <v>385</v>
      </c>
      <c r="AG294" s="112" t="s">
        <v>385</v>
      </c>
      <c r="AH294" s="120" t="s">
        <v>585</v>
      </c>
      <c r="AI294" s="112" t="s">
        <v>460</v>
      </c>
      <c r="AJ294" s="178" t="s">
        <v>1191</v>
      </c>
      <c r="AK294" s="112" t="s">
        <v>1229</v>
      </c>
      <c r="AL294" s="112" t="s">
        <v>385</v>
      </c>
      <c r="AM294" s="178" t="s">
        <v>1255</v>
      </c>
      <c r="AN294" s="112"/>
      <c r="AO294" s="434"/>
      <c r="AP294" s="112"/>
      <c r="AQ294" s="112" t="s">
        <v>1537</v>
      </c>
      <c r="AR294" s="139" t="s">
        <v>1314</v>
      </c>
      <c r="AS294" s="140"/>
    </row>
    <row r="295" spans="1:45" ht="42">
      <c r="A295" s="238"/>
      <c r="B295" s="70" t="s">
        <v>356</v>
      </c>
      <c r="C295" s="72">
        <v>43439</v>
      </c>
      <c r="D295" s="74" t="s">
        <v>782</v>
      </c>
      <c r="E295" s="76">
        <v>43579</v>
      </c>
      <c r="F295" s="78" t="s">
        <v>363</v>
      </c>
      <c r="G295" s="76">
        <v>43583</v>
      </c>
      <c r="H295" s="78" t="s">
        <v>355</v>
      </c>
      <c r="I295" s="125" t="s">
        <v>1538</v>
      </c>
      <c r="J295" s="82" t="s">
        <v>196</v>
      </c>
      <c r="K295" s="83" t="s">
        <v>851</v>
      </c>
      <c r="L295" s="219" t="s">
        <v>289</v>
      </c>
      <c r="M295" s="220" t="s">
        <v>1539</v>
      </c>
      <c r="N295" s="615" t="s">
        <v>586</v>
      </c>
      <c r="O295" s="613"/>
      <c r="P295" s="221" t="s">
        <v>586</v>
      </c>
      <c r="Q295" s="220" t="s">
        <v>385</v>
      </c>
      <c r="R295" s="220" t="s">
        <v>402</v>
      </c>
      <c r="S295" s="250"/>
      <c r="T295" s="220" t="s">
        <v>402</v>
      </c>
      <c r="U295" s="220" t="s">
        <v>402</v>
      </c>
      <c r="V295" s="220" t="s">
        <v>402</v>
      </c>
      <c r="W295" s="220" t="s">
        <v>402</v>
      </c>
      <c r="X295" s="220" t="s">
        <v>402</v>
      </c>
      <c r="Y295" s="220" t="s">
        <v>402</v>
      </c>
      <c r="Z295" s="220" t="s">
        <v>402</v>
      </c>
      <c r="AA295" s="220" t="s">
        <v>402</v>
      </c>
      <c r="AB295" s="250"/>
      <c r="AC295" s="220" t="s">
        <v>402</v>
      </c>
      <c r="AD295" s="250"/>
      <c r="AE295" s="220" t="s">
        <v>385</v>
      </c>
      <c r="AF295" s="220" t="s">
        <v>385</v>
      </c>
      <c r="AG295" s="220" t="s">
        <v>385</v>
      </c>
      <c r="AH295" s="221" t="s">
        <v>730</v>
      </c>
      <c r="AI295" s="220" t="s">
        <v>731</v>
      </c>
      <c r="AJ295" s="220" t="s">
        <v>732</v>
      </c>
      <c r="AK295" s="220" t="s">
        <v>733</v>
      </c>
      <c r="AL295" s="220" t="s">
        <v>385</v>
      </c>
      <c r="AM295" s="220" t="s">
        <v>734</v>
      </c>
      <c r="AN295" s="220" t="s">
        <v>735</v>
      </c>
      <c r="AO295" s="220" t="s">
        <v>402</v>
      </c>
      <c r="AP295" s="220" t="s">
        <v>402</v>
      </c>
      <c r="AQ295" s="220" t="s">
        <v>1540</v>
      </c>
      <c r="AR295" s="224" t="s">
        <v>674</v>
      </c>
      <c r="AS295" s="395"/>
    </row>
    <row r="296" spans="1:45" ht="13">
      <c r="A296" s="238"/>
      <c r="B296" s="70"/>
      <c r="C296" s="72"/>
      <c r="D296" s="74"/>
      <c r="E296" s="104"/>
      <c r="F296" s="104"/>
      <c r="G296" s="104"/>
      <c r="H296" s="104"/>
      <c r="I296" s="129"/>
      <c r="J296" s="105"/>
      <c r="K296" s="105"/>
      <c r="L296" s="219"/>
      <c r="M296" s="130" t="s">
        <v>1541</v>
      </c>
      <c r="N296" s="220"/>
      <c r="O296" s="220"/>
      <c r="P296" s="220"/>
      <c r="Q296" s="220"/>
      <c r="R296" s="220"/>
      <c r="S296" s="222"/>
      <c r="T296" s="220"/>
      <c r="U296" s="220"/>
      <c r="V296" s="220"/>
      <c r="W296" s="220"/>
      <c r="X296" s="220"/>
      <c r="Y296" s="220"/>
      <c r="Z296" s="220"/>
      <c r="AA296" s="220"/>
      <c r="AB296" s="222"/>
      <c r="AC296" s="253"/>
      <c r="AD296" s="222"/>
      <c r="AE296" s="220"/>
      <c r="AF296" s="220"/>
      <c r="AG296" s="220"/>
      <c r="AH296" s="220"/>
      <c r="AI296" s="220"/>
      <c r="AJ296" s="220"/>
      <c r="AK296" s="130" t="s">
        <v>1542</v>
      </c>
      <c r="AL296" s="220"/>
      <c r="AM296" s="220"/>
      <c r="AN296" s="220"/>
      <c r="AO296" s="220"/>
      <c r="AP296" s="220"/>
      <c r="AQ296" s="220"/>
      <c r="AR296" s="224"/>
      <c r="AS296" s="225"/>
    </row>
    <row r="297" spans="1:45" ht="15">
      <c r="A297" s="238"/>
      <c r="B297" s="70"/>
      <c r="C297" s="72"/>
      <c r="D297" s="74"/>
      <c r="E297" s="104"/>
      <c r="F297" s="104"/>
      <c r="G297" s="104"/>
      <c r="H297" s="78" t="s">
        <v>1543</v>
      </c>
      <c r="I297" s="129"/>
      <c r="J297" s="105"/>
      <c r="K297" s="106"/>
      <c r="L297" s="84"/>
      <c r="M297" s="85" t="s">
        <v>374</v>
      </c>
      <c r="N297" s="615" t="s">
        <v>586</v>
      </c>
      <c r="O297" s="613"/>
      <c r="P297" s="221" t="s">
        <v>586</v>
      </c>
      <c r="Q297" s="220" t="s">
        <v>385</v>
      </c>
      <c r="R297" s="85"/>
      <c r="S297" s="96"/>
      <c r="T297" s="220" t="s">
        <v>402</v>
      </c>
      <c r="U297" s="220" t="s">
        <v>402</v>
      </c>
      <c r="V297" s="220" t="s">
        <v>402</v>
      </c>
      <c r="W297" s="220" t="s">
        <v>402</v>
      </c>
      <c r="X297" s="220" t="s">
        <v>402</v>
      </c>
      <c r="Y297" s="220" t="s">
        <v>402</v>
      </c>
      <c r="Z297" s="220" t="s">
        <v>402</v>
      </c>
      <c r="AA297" s="220" t="s">
        <v>402</v>
      </c>
      <c r="AB297" s="96"/>
      <c r="AC297" s="253"/>
      <c r="AD297" s="96"/>
      <c r="AE297" s="220" t="s">
        <v>385</v>
      </c>
      <c r="AF297" s="220" t="s">
        <v>385</v>
      </c>
      <c r="AG297" s="220" t="s">
        <v>385</v>
      </c>
      <c r="AH297" s="468" t="s">
        <v>1100</v>
      </c>
      <c r="AI297" s="85" t="s">
        <v>652</v>
      </c>
      <c r="AJ297" s="384" t="s">
        <v>1192</v>
      </c>
      <c r="AK297" s="85" t="s">
        <v>1230</v>
      </c>
      <c r="AL297" s="85" t="s">
        <v>385</v>
      </c>
      <c r="AM297" s="85"/>
      <c r="AN297" s="85"/>
      <c r="AO297" s="85"/>
      <c r="AP297" s="85"/>
      <c r="AQ297" s="85"/>
      <c r="AR297" s="128"/>
      <c r="AS297" s="67"/>
    </row>
    <row r="298" spans="1:45" ht="13">
      <c r="A298" s="238"/>
      <c r="B298" s="70" t="s">
        <v>356</v>
      </c>
      <c r="C298" s="72">
        <v>43439</v>
      </c>
      <c r="D298" s="74" t="s">
        <v>782</v>
      </c>
      <c r="E298" s="76">
        <v>43579</v>
      </c>
      <c r="F298" s="78" t="s">
        <v>363</v>
      </c>
      <c r="G298" s="76">
        <v>43583</v>
      </c>
      <c r="H298" s="78" t="s">
        <v>355</v>
      </c>
      <c r="I298" s="129" t="s">
        <v>1544</v>
      </c>
      <c r="J298" s="105" t="s">
        <v>197</v>
      </c>
      <c r="K298" s="105" t="s">
        <v>1050</v>
      </c>
      <c r="L298" s="197" t="s">
        <v>305</v>
      </c>
      <c r="M298" s="198" t="s">
        <v>1545</v>
      </c>
      <c r="N298" s="627" t="s">
        <v>587</v>
      </c>
      <c r="O298" s="613"/>
      <c r="P298" s="204"/>
      <c r="Q298" s="198" t="s">
        <v>385</v>
      </c>
      <c r="R298" s="198" t="s">
        <v>824</v>
      </c>
      <c r="S298" s="199" t="s">
        <v>473</v>
      </c>
      <c r="T298" s="198" t="s">
        <v>402</v>
      </c>
      <c r="U298" s="198" t="s">
        <v>402</v>
      </c>
      <c r="V298" s="198" t="s">
        <v>402</v>
      </c>
      <c r="W298" s="198" t="s">
        <v>402</v>
      </c>
      <c r="X298" s="198" t="s">
        <v>402</v>
      </c>
      <c r="Y298" s="198" t="s">
        <v>402</v>
      </c>
      <c r="Z298" s="198" t="s">
        <v>402</v>
      </c>
      <c r="AA298" s="198" t="s">
        <v>402</v>
      </c>
      <c r="AB298" s="204"/>
      <c r="AC298" s="268" t="s">
        <v>402</v>
      </c>
      <c r="AD298" s="204"/>
      <c r="AE298" s="198" t="s">
        <v>385</v>
      </c>
      <c r="AF298" s="198" t="s">
        <v>385</v>
      </c>
      <c r="AG298" s="198" t="s">
        <v>385</v>
      </c>
      <c r="AH298" s="199" t="s">
        <v>1101</v>
      </c>
      <c r="AI298" s="469" t="s">
        <v>1193</v>
      </c>
      <c r="AJ298" s="198" t="s">
        <v>402</v>
      </c>
      <c r="AK298" s="198" t="s">
        <v>1231</v>
      </c>
      <c r="AL298" s="616" t="s">
        <v>1546</v>
      </c>
      <c r="AM298" s="613"/>
      <c r="AN298" s="198" t="s">
        <v>1547</v>
      </c>
      <c r="AO298" s="198" t="s">
        <v>402</v>
      </c>
      <c r="AP298" s="198" t="s">
        <v>402</v>
      </c>
      <c r="AQ298" s="198" t="s">
        <v>1548</v>
      </c>
      <c r="AR298" s="203" t="s">
        <v>453</v>
      </c>
      <c r="AS298" s="204"/>
    </row>
    <row r="299" spans="1:45" ht="13">
      <c r="A299" s="238"/>
      <c r="B299" s="70"/>
      <c r="C299" s="72"/>
      <c r="D299" s="74"/>
      <c r="E299" s="104"/>
      <c r="F299" s="104"/>
      <c r="G299" s="104"/>
      <c r="H299" s="104"/>
      <c r="I299" s="129"/>
      <c r="J299" s="396"/>
      <c r="K299" s="397"/>
      <c r="L299" s="470"/>
      <c r="M299" s="198"/>
      <c r="N299" s="457"/>
      <c r="O299" s="457"/>
      <c r="P299" s="204"/>
      <c r="Q299" s="198"/>
      <c r="R299" s="198"/>
      <c r="S299" s="198"/>
      <c r="T299" s="198"/>
      <c r="U299" s="198"/>
      <c r="V299" s="198"/>
      <c r="W299" s="198"/>
      <c r="X299" s="198"/>
      <c r="Y299" s="198"/>
      <c r="Z299" s="198"/>
      <c r="AA299" s="198"/>
      <c r="AB299" s="204"/>
      <c r="AC299" s="268"/>
      <c r="AD299" s="204"/>
      <c r="AE299" s="198"/>
      <c r="AF299" s="198"/>
      <c r="AG299" s="198"/>
      <c r="AH299" s="198"/>
      <c r="AI299" s="469"/>
      <c r="AJ299" s="198"/>
      <c r="AK299" s="198"/>
      <c r="AL299" s="198"/>
      <c r="AM299" s="198"/>
      <c r="AN299" s="198"/>
      <c r="AO299" s="198"/>
      <c r="AP299" s="198"/>
      <c r="AQ299" s="198"/>
      <c r="AR299" s="203"/>
      <c r="AS299" s="204"/>
    </row>
    <row r="300" spans="1:45" ht="15">
      <c r="A300" s="238"/>
      <c r="B300" s="70"/>
      <c r="C300" s="72"/>
      <c r="D300" s="74"/>
      <c r="E300" s="104"/>
      <c r="F300" s="104"/>
      <c r="G300" s="104"/>
      <c r="H300" s="78" t="s">
        <v>1549</v>
      </c>
      <c r="I300" s="129"/>
      <c r="J300" s="396"/>
      <c r="K300" s="396"/>
      <c r="L300" s="197" t="s">
        <v>305</v>
      </c>
      <c r="M300" s="85" t="s">
        <v>385</v>
      </c>
      <c r="N300" s="627" t="s">
        <v>587</v>
      </c>
      <c r="O300" s="613"/>
      <c r="P300" s="96"/>
      <c r="Q300" s="198" t="s">
        <v>385</v>
      </c>
      <c r="R300" s="198" t="s">
        <v>824</v>
      </c>
      <c r="S300" s="199" t="s">
        <v>473</v>
      </c>
      <c r="T300" s="198" t="s">
        <v>402</v>
      </c>
      <c r="U300" s="198" t="s">
        <v>402</v>
      </c>
      <c r="V300" s="198" t="s">
        <v>402</v>
      </c>
      <c r="W300" s="198" t="s">
        <v>402</v>
      </c>
      <c r="X300" s="198" t="s">
        <v>402</v>
      </c>
      <c r="Y300" s="198" t="s">
        <v>402</v>
      </c>
      <c r="Z300" s="198" t="s">
        <v>402</v>
      </c>
      <c r="AA300" s="198" t="s">
        <v>402</v>
      </c>
      <c r="AB300" s="96"/>
      <c r="AC300" s="177" t="s">
        <v>970</v>
      </c>
      <c r="AD300" s="15" t="s">
        <v>413</v>
      </c>
      <c r="AE300" s="85" t="s">
        <v>354</v>
      </c>
      <c r="AF300" s="85" t="s">
        <v>385</v>
      </c>
      <c r="AG300" s="85" t="s">
        <v>385</v>
      </c>
      <c r="AH300" s="199" t="s">
        <v>1101</v>
      </c>
      <c r="AI300" s="173" t="s">
        <v>460</v>
      </c>
      <c r="AJ300" s="130" t="s">
        <v>1193</v>
      </c>
      <c r="AK300" s="198" t="s">
        <v>1231</v>
      </c>
      <c r="AL300" s="85"/>
      <c r="AM300" s="85"/>
      <c r="AN300" s="85" t="s">
        <v>402</v>
      </c>
      <c r="AO300" s="85"/>
      <c r="AP300" s="85"/>
      <c r="AQ300" s="85"/>
      <c r="AR300" s="128"/>
      <c r="AS300" s="67"/>
    </row>
    <row r="301" spans="1:45" ht="15">
      <c r="A301" s="238"/>
      <c r="B301" s="70" t="s">
        <v>356</v>
      </c>
      <c r="C301" s="412"/>
      <c r="D301" s="74" t="s">
        <v>782</v>
      </c>
      <c r="E301" s="76">
        <v>43579</v>
      </c>
      <c r="F301" s="78" t="s">
        <v>363</v>
      </c>
      <c r="G301" s="76">
        <v>43583</v>
      </c>
      <c r="H301" s="78" t="s">
        <v>355</v>
      </c>
      <c r="I301" s="129" t="s">
        <v>1553</v>
      </c>
      <c r="J301" s="471" t="s">
        <v>198</v>
      </c>
      <c r="K301" s="401" t="s">
        <v>1050</v>
      </c>
      <c r="L301" s="219" t="s">
        <v>297</v>
      </c>
      <c r="M301" s="220" t="s">
        <v>1554</v>
      </c>
      <c r="N301" s="415" t="s">
        <v>756</v>
      </c>
      <c r="O301" s="220" t="s">
        <v>680</v>
      </c>
      <c r="P301" s="415" t="s">
        <v>756</v>
      </c>
      <c r="Q301" s="220" t="s">
        <v>355</v>
      </c>
      <c r="R301" s="220" t="s">
        <v>402</v>
      </c>
      <c r="S301" s="222"/>
      <c r="T301" s="220" t="s">
        <v>355</v>
      </c>
      <c r="U301" s="220" t="s">
        <v>355</v>
      </c>
      <c r="V301" s="220" t="s">
        <v>355</v>
      </c>
      <c r="W301" s="220" t="s">
        <v>355</v>
      </c>
      <c r="X301" s="220" t="s">
        <v>355</v>
      </c>
      <c r="Y301" s="220" t="s">
        <v>355</v>
      </c>
      <c r="Z301" s="220" t="s">
        <v>355</v>
      </c>
      <c r="AA301" s="220" t="s">
        <v>355</v>
      </c>
      <c r="AB301" s="222"/>
      <c r="AC301" s="253" t="s">
        <v>402</v>
      </c>
      <c r="AD301" s="222"/>
      <c r="AE301" s="220" t="s">
        <v>1558</v>
      </c>
      <c r="AF301" s="220" t="s">
        <v>385</v>
      </c>
      <c r="AG301" s="220" t="s">
        <v>385</v>
      </c>
      <c r="AH301" s="415" t="s">
        <v>1023</v>
      </c>
      <c r="AI301" s="220" t="s">
        <v>1194</v>
      </c>
      <c r="AJ301" s="220" t="s">
        <v>1559</v>
      </c>
      <c r="AK301" s="633" t="s">
        <v>402</v>
      </c>
      <c r="AL301" s="220" t="s">
        <v>402</v>
      </c>
      <c r="AM301" s="220" t="s">
        <v>402</v>
      </c>
      <c r="AN301" s="220" t="s">
        <v>402</v>
      </c>
      <c r="AO301" s="220" t="s">
        <v>402</v>
      </c>
      <c r="AP301" s="220" t="s">
        <v>402</v>
      </c>
      <c r="AQ301" s="220" t="s">
        <v>1560</v>
      </c>
      <c r="AR301" s="224" t="s">
        <v>692</v>
      </c>
      <c r="AS301" s="225"/>
    </row>
    <row r="302" spans="1:45" ht="15">
      <c r="A302" s="238"/>
      <c r="B302" s="70"/>
      <c r="C302" s="412"/>
      <c r="D302" s="74"/>
      <c r="E302" s="104"/>
      <c r="F302" s="104"/>
      <c r="G302" s="104"/>
      <c r="H302" s="104"/>
      <c r="I302" s="129"/>
      <c r="J302" s="418"/>
      <c r="K302" s="401"/>
      <c r="L302" s="219"/>
      <c r="M302" s="220"/>
      <c r="N302" s="415"/>
      <c r="O302" s="220"/>
      <c r="P302" s="415"/>
      <c r="Q302" s="220"/>
      <c r="R302" s="220"/>
      <c r="S302" s="222"/>
      <c r="T302" s="220"/>
      <c r="U302" s="220"/>
      <c r="V302" s="220"/>
      <c r="W302" s="220"/>
      <c r="X302" s="220"/>
      <c r="Y302" s="220"/>
      <c r="Z302" s="220"/>
      <c r="AA302" s="220"/>
      <c r="AB302" s="222"/>
      <c r="AC302" s="472" t="s">
        <v>1561</v>
      </c>
      <c r="AD302" s="473"/>
      <c r="AE302" s="474"/>
      <c r="AF302" s="263"/>
      <c r="AG302" s="263" t="s">
        <v>1562</v>
      </c>
      <c r="AH302" s="415"/>
      <c r="AI302" s="220"/>
      <c r="AJ302" s="220"/>
      <c r="AK302" s="633"/>
      <c r="AL302" s="220"/>
      <c r="AM302" s="220"/>
      <c r="AN302" s="220"/>
      <c r="AO302" s="220"/>
      <c r="AP302" s="220"/>
      <c r="AQ302" s="220"/>
      <c r="AR302" s="224"/>
      <c r="AS302" s="225"/>
    </row>
    <row r="303" spans="1:45" ht="16">
      <c r="A303" s="238"/>
      <c r="B303" s="70"/>
      <c r="C303" s="412"/>
      <c r="D303" s="74"/>
      <c r="E303" s="104"/>
      <c r="F303" s="104"/>
      <c r="G303" s="104"/>
      <c r="H303" s="78" t="s">
        <v>1563</v>
      </c>
      <c r="I303" s="129"/>
      <c r="J303" s="418"/>
      <c r="K303" s="401"/>
      <c r="L303" s="219" t="s">
        <v>297</v>
      </c>
      <c r="M303" s="85" t="s">
        <v>393</v>
      </c>
      <c r="N303" s="15" t="s">
        <v>593</v>
      </c>
      <c r="O303" s="85"/>
      <c r="P303" s="415" t="s">
        <v>756</v>
      </c>
      <c r="Q303" s="220" t="s">
        <v>355</v>
      </c>
      <c r="R303" s="475" t="s">
        <v>825</v>
      </c>
      <c r="S303" s="475" t="s">
        <v>825</v>
      </c>
      <c r="T303" s="220" t="s">
        <v>355</v>
      </c>
      <c r="U303" s="220" t="s">
        <v>355</v>
      </c>
      <c r="V303" s="220" t="s">
        <v>355</v>
      </c>
      <c r="W303" s="220" t="s">
        <v>355</v>
      </c>
      <c r="X303" s="220" t="s">
        <v>355</v>
      </c>
      <c r="Y303" s="220" t="s">
        <v>355</v>
      </c>
      <c r="Z303" s="220" t="s">
        <v>355</v>
      </c>
      <c r="AA303" s="220" t="s">
        <v>355</v>
      </c>
      <c r="AB303" s="96"/>
      <c r="AC303" s="177" t="s">
        <v>971</v>
      </c>
      <c r="AD303" s="15" t="s">
        <v>997</v>
      </c>
      <c r="AE303" s="85" t="s">
        <v>354</v>
      </c>
      <c r="AF303" s="85" t="s">
        <v>385</v>
      </c>
      <c r="AG303" s="85" t="s">
        <v>385</v>
      </c>
      <c r="AH303" s="415" t="s">
        <v>1023</v>
      </c>
      <c r="AI303" s="85" t="s">
        <v>460</v>
      </c>
      <c r="AJ303" s="220" t="s">
        <v>1194</v>
      </c>
      <c r="AK303" s="633"/>
      <c r="AL303" s="85" t="s">
        <v>385</v>
      </c>
      <c r="AM303" s="85"/>
      <c r="AN303" s="85"/>
      <c r="AO303" s="85"/>
      <c r="AP303" s="85"/>
      <c r="AQ303" s="85"/>
      <c r="AR303" s="128"/>
      <c r="AS303" s="67"/>
    </row>
    <row r="304" spans="1:45" ht="57">
      <c r="A304" s="379"/>
      <c r="B304" s="476" t="s">
        <v>356</v>
      </c>
      <c r="C304" s="477"/>
      <c r="D304" s="478" t="s">
        <v>360</v>
      </c>
      <c r="E304" s="479">
        <v>43575</v>
      </c>
      <c r="F304" s="480" t="s">
        <v>363</v>
      </c>
      <c r="G304" s="479">
        <v>43581</v>
      </c>
      <c r="H304" s="480" t="s">
        <v>355</v>
      </c>
      <c r="I304" s="129" t="s">
        <v>1564</v>
      </c>
      <c r="J304" s="481" t="s">
        <v>199</v>
      </c>
      <c r="K304" s="126" t="s">
        <v>994</v>
      </c>
      <c r="L304" s="380" t="s">
        <v>332</v>
      </c>
      <c r="M304" s="177" t="s">
        <v>1565</v>
      </c>
      <c r="N304" s="482" t="s">
        <v>594</v>
      </c>
      <c r="O304" s="177" t="s">
        <v>680</v>
      </c>
      <c r="P304" s="482" t="s">
        <v>594</v>
      </c>
      <c r="Q304" s="177" t="s">
        <v>385</v>
      </c>
      <c r="R304" s="177" t="s">
        <v>826</v>
      </c>
      <c r="S304" s="482" t="s">
        <v>884</v>
      </c>
      <c r="T304" s="177" t="s">
        <v>404</v>
      </c>
      <c r="U304" s="177" t="s">
        <v>402</v>
      </c>
      <c r="V304" s="177" t="s">
        <v>402</v>
      </c>
      <c r="W304" s="177" t="s">
        <v>402</v>
      </c>
      <c r="X304" s="177" t="s">
        <v>402</v>
      </c>
      <c r="Y304" s="177" t="s">
        <v>404</v>
      </c>
      <c r="Z304" s="177" t="s">
        <v>355</v>
      </c>
      <c r="AA304" s="177" t="s">
        <v>402</v>
      </c>
      <c r="AB304" s="422"/>
      <c r="AC304" s="177" t="s">
        <v>402</v>
      </c>
      <c r="AD304" s="422"/>
      <c r="AE304" s="177" t="s">
        <v>385</v>
      </c>
      <c r="AF304" s="177" t="s">
        <v>385</v>
      </c>
      <c r="AG304" s="177" t="s">
        <v>385</v>
      </c>
      <c r="AH304" s="482" t="s">
        <v>1102</v>
      </c>
      <c r="AI304" s="177" t="s">
        <v>1566</v>
      </c>
      <c r="AJ304" s="177" t="s">
        <v>402</v>
      </c>
      <c r="AK304" s="177" t="s">
        <v>1232</v>
      </c>
      <c r="AL304" s="177" t="s">
        <v>354</v>
      </c>
      <c r="AM304" s="483" t="s">
        <v>1256</v>
      </c>
      <c r="AN304" s="177" t="s">
        <v>1567</v>
      </c>
      <c r="AO304" s="483" t="s">
        <v>1568</v>
      </c>
      <c r="AP304" s="177" t="s">
        <v>402</v>
      </c>
      <c r="AQ304" s="177" t="s">
        <v>1569</v>
      </c>
      <c r="AR304" s="484" t="s">
        <v>674</v>
      </c>
      <c r="AS304" s="485"/>
    </row>
    <row r="305" spans="1:45" ht="15">
      <c r="A305" s="238"/>
      <c r="B305" s="70"/>
      <c r="C305" s="412"/>
      <c r="D305" s="74"/>
      <c r="E305" s="104"/>
      <c r="F305" s="104"/>
      <c r="G305" s="104"/>
      <c r="H305" s="104"/>
      <c r="I305" s="129"/>
      <c r="J305" s="418"/>
      <c r="K305" s="401"/>
      <c r="L305" s="82"/>
      <c r="M305" s="85" t="s">
        <v>1570</v>
      </c>
      <c r="N305" s="411"/>
      <c r="O305" s="85"/>
      <c r="P305" s="486" t="s">
        <v>1571</v>
      </c>
      <c r="Q305" s="85"/>
      <c r="R305" s="85"/>
      <c r="S305" s="411"/>
      <c r="T305" s="85" t="s">
        <v>355</v>
      </c>
      <c r="U305" s="85" t="s">
        <v>1572</v>
      </c>
      <c r="V305" s="85" t="s">
        <v>1572</v>
      </c>
      <c r="W305" s="85" t="s">
        <v>1572</v>
      </c>
      <c r="X305" s="85" t="s">
        <v>1572</v>
      </c>
      <c r="Y305" s="85" t="s">
        <v>1572</v>
      </c>
      <c r="Z305" s="85" t="s">
        <v>1572</v>
      </c>
      <c r="AA305" s="85" t="s">
        <v>1572</v>
      </c>
      <c r="AB305" s="96"/>
      <c r="AC305" s="177"/>
      <c r="AD305" s="96"/>
      <c r="AE305" s="85"/>
      <c r="AF305" s="85"/>
      <c r="AG305" s="85"/>
      <c r="AH305" s="411"/>
      <c r="AI305" s="130" t="s">
        <v>460</v>
      </c>
      <c r="AJ305" s="85"/>
      <c r="AK305" s="85"/>
      <c r="AL305" s="85"/>
      <c r="AM305" s="102"/>
      <c r="AN305" s="85" t="s">
        <v>1573</v>
      </c>
      <c r="AO305" s="102" t="s">
        <v>1571</v>
      </c>
      <c r="AP305" s="85"/>
      <c r="AQ305" s="85"/>
      <c r="AR305" s="128"/>
      <c r="AS305" s="67"/>
    </row>
    <row r="306" spans="1:45" ht="15">
      <c r="A306" s="238"/>
      <c r="B306" s="70"/>
      <c r="C306" s="412"/>
      <c r="D306" s="74"/>
      <c r="E306" s="104"/>
      <c r="F306" s="104"/>
      <c r="G306" s="104"/>
      <c r="H306" s="78"/>
      <c r="I306" s="129"/>
      <c r="J306" s="418"/>
      <c r="K306" s="401"/>
      <c r="L306" s="82" t="s">
        <v>332</v>
      </c>
      <c r="M306" s="85" t="s">
        <v>394</v>
      </c>
      <c r="N306" s="411" t="s">
        <v>594</v>
      </c>
      <c r="O306" s="85"/>
      <c r="P306" s="411"/>
      <c r="Q306" s="85" t="s">
        <v>385</v>
      </c>
      <c r="R306" s="85" t="s">
        <v>826</v>
      </c>
      <c r="S306" s="411" t="s">
        <v>884</v>
      </c>
      <c r="T306" s="85" t="s">
        <v>355</v>
      </c>
      <c r="U306" s="85" t="s">
        <v>355</v>
      </c>
      <c r="V306" s="85" t="s">
        <v>355</v>
      </c>
      <c r="W306" s="85" t="s">
        <v>355</v>
      </c>
      <c r="X306" s="85" t="s">
        <v>355</v>
      </c>
      <c r="Y306" s="85" t="s">
        <v>355</v>
      </c>
      <c r="Z306" s="85" t="s">
        <v>355</v>
      </c>
      <c r="AA306" s="85" t="s">
        <v>355</v>
      </c>
      <c r="AB306" s="96"/>
      <c r="AC306" s="177" t="s">
        <v>972</v>
      </c>
      <c r="AD306" s="15" t="s">
        <v>1012</v>
      </c>
      <c r="AE306" s="85" t="s">
        <v>385</v>
      </c>
      <c r="AF306" s="85" t="s">
        <v>385</v>
      </c>
      <c r="AG306" s="85" t="s">
        <v>385</v>
      </c>
      <c r="AH306" s="411" t="s">
        <v>1102</v>
      </c>
      <c r="AI306" s="130" t="s">
        <v>460</v>
      </c>
      <c r="AJ306" s="85"/>
      <c r="AK306" s="85" t="s">
        <v>1232</v>
      </c>
      <c r="AL306" s="85" t="s">
        <v>354</v>
      </c>
      <c r="AM306" s="102" t="s">
        <v>1256</v>
      </c>
      <c r="AN306" s="85"/>
      <c r="AO306" s="102"/>
      <c r="AP306" s="85"/>
      <c r="AQ306" s="85"/>
      <c r="AR306" s="128"/>
      <c r="AS306" s="67"/>
    </row>
    <row r="307" spans="1:45" ht="57">
      <c r="A307" s="238"/>
      <c r="B307" s="70" t="s">
        <v>356</v>
      </c>
      <c r="C307" s="412"/>
      <c r="D307" s="74" t="s">
        <v>360</v>
      </c>
      <c r="E307" s="76">
        <v>43575</v>
      </c>
      <c r="F307" s="78" t="s">
        <v>363</v>
      </c>
      <c r="G307" s="76">
        <v>43581</v>
      </c>
      <c r="H307" s="78" t="s">
        <v>355</v>
      </c>
      <c r="I307" s="125" t="s">
        <v>1574</v>
      </c>
      <c r="J307" s="418" t="s">
        <v>200</v>
      </c>
      <c r="K307" s="83" t="s">
        <v>994</v>
      </c>
      <c r="L307" s="82" t="s">
        <v>332</v>
      </c>
      <c r="M307" s="85" t="s">
        <v>1565</v>
      </c>
      <c r="N307" s="486" t="s">
        <v>594</v>
      </c>
      <c r="O307" s="85" t="s">
        <v>680</v>
      </c>
      <c r="P307" s="486" t="s">
        <v>594</v>
      </c>
      <c r="Q307" s="85" t="s">
        <v>385</v>
      </c>
      <c r="R307" s="85" t="s">
        <v>826</v>
      </c>
      <c r="S307" s="486" t="s">
        <v>884</v>
      </c>
      <c r="T307" s="85" t="s">
        <v>404</v>
      </c>
      <c r="U307" s="85" t="s">
        <v>402</v>
      </c>
      <c r="V307" s="85" t="s">
        <v>402</v>
      </c>
      <c r="W307" s="85" t="s">
        <v>402</v>
      </c>
      <c r="X307" s="85" t="s">
        <v>402</v>
      </c>
      <c r="Y307" s="85" t="s">
        <v>404</v>
      </c>
      <c r="Z307" s="85" t="s">
        <v>355</v>
      </c>
      <c r="AA307" s="85" t="s">
        <v>402</v>
      </c>
      <c r="AB307" s="96"/>
      <c r="AC307" s="85" t="s">
        <v>402</v>
      </c>
      <c r="AD307" s="96"/>
      <c r="AE307" s="85" t="s">
        <v>385</v>
      </c>
      <c r="AF307" s="85" t="s">
        <v>385</v>
      </c>
      <c r="AG307" s="85" t="s">
        <v>385</v>
      </c>
      <c r="AH307" s="486" t="s">
        <v>1102</v>
      </c>
      <c r="AI307" s="85" t="s">
        <v>1566</v>
      </c>
      <c r="AJ307" s="85" t="s">
        <v>402</v>
      </c>
      <c r="AK307" s="85" t="s">
        <v>1232</v>
      </c>
      <c r="AL307" s="85" t="s">
        <v>354</v>
      </c>
      <c r="AM307" s="102" t="s">
        <v>1256</v>
      </c>
      <c r="AN307" s="85" t="s">
        <v>1567</v>
      </c>
      <c r="AO307" s="102" t="s">
        <v>1568</v>
      </c>
      <c r="AP307" s="85" t="s">
        <v>402</v>
      </c>
      <c r="AQ307" s="85" t="s">
        <v>1569</v>
      </c>
      <c r="AR307" s="128" t="s">
        <v>674</v>
      </c>
      <c r="AS307" s="67"/>
    </row>
    <row r="308" spans="1:45" ht="15">
      <c r="A308" s="238"/>
      <c r="B308" s="70"/>
      <c r="C308" s="412"/>
      <c r="D308" s="74"/>
      <c r="E308" s="104"/>
      <c r="F308" s="104"/>
      <c r="G308" s="104"/>
      <c r="H308" s="104"/>
      <c r="I308" s="129"/>
      <c r="J308" s="418"/>
      <c r="K308" s="401"/>
      <c r="L308" s="82"/>
      <c r="M308" s="85" t="s">
        <v>395</v>
      </c>
      <c r="N308" s="411"/>
      <c r="O308" s="85"/>
      <c r="P308" s="486" t="s">
        <v>1571</v>
      </c>
      <c r="Q308" s="85"/>
      <c r="R308" s="85"/>
      <c r="S308" s="411"/>
      <c r="T308" s="177" t="s">
        <v>402</v>
      </c>
      <c r="U308" s="177" t="s">
        <v>402</v>
      </c>
      <c r="V308" s="177" t="s">
        <v>402</v>
      </c>
      <c r="W308" s="177" t="s">
        <v>402</v>
      </c>
      <c r="X308" s="177" t="s">
        <v>402</v>
      </c>
      <c r="Y308" s="85" t="s">
        <v>403</v>
      </c>
      <c r="Z308" s="177" t="s">
        <v>402</v>
      </c>
      <c r="AA308" s="177" t="s">
        <v>402</v>
      </c>
      <c r="AB308" s="96"/>
      <c r="AC308" s="177"/>
      <c r="AD308" s="96"/>
      <c r="AE308" s="85"/>
      <c r="AF308" s="85"/>
      <c r="AG308" s="85"/>
      <c r="AH308" s="411"/>
      <c r="AI308" s="130" t="s">
        <v>460</v>
      </c>
      <c r="AJ308" s="85"/>
      <c r="AK308" s="85"/>
      <c r="AL308" s="85"/>
      <c r="AM308" s="102"/>
      <c r="AN308" s="85" t="s">
        <v>1573</v>
      </c>
      <c r="AO308" s="102" t="s">
        <v>1571</v>
      </c>
      <c r="AP308" s="85"/>
      <c r="AQ308" s="85"/>
      <c r="AR308" s="128"/>
    </row>
    <row r="309" spans="1:45" ht="15">
      <c r="A309" s="238"/>
      <c r="B309" s="70"/>
      <c r="C309" s="412"/>
      <c r="D309" s="74"/>
      <c r="E309" s="104"/>
      <c r="F309" s="104"/>
      <c r="G309" s="104"/>
      <c r="H309" s="78" t="s">
        <v>1575</v>
      </c>
      <c r="I309" s="129"/>
      <c r="J309" s="418"/>
      <c r="K309" s="401"/>
      <c r="L309" s="82" t="s">
        <v>332</v>
      </c>
      <c r="M309" s="85" t="s">
        <v>395</v>
      </c>
      <c r="N309" s="411" t="s">
        <v>594</v>
      </c>
      <c r="O309" s="411"/>
      <c r="P309" s="411" t="s">
        <v>594</v>
      </c>
      <c r="Q309" s="85" t="s">
        <v>385</v>
      </c>
      <c r="R309" s="177" t="s">
        <v>826</v>
      </c>
      <c r="S309" s="482" t="s">
        <v>884</v>
      </c>
      <c r="T309" s="177" t="s">
        <v>402</v>
      </c>
      <c r="U309" s="177" t="s">
        <v>402</v>
      </c>
      <c r="V309" s="177" t="s">
        <v>402</v>
      </c>
      <c r="W309" s="177" t="s">
        <v>402</v>
      </c>
      <c r="X309" s="177" t="s">
        <v>402</v>
      </c>
      <c r="Y309" s="85" t="s">
        <v>403</v>
      </c>
      <c r="Z309" s="85" t="s">
        <v>402</v>
      </c>
      <c r="AA309" s="85" t="s">
        <v>402</v>
      </c>
      <c r="AB309" s="85"/>
      <c r="AC309" s="177" t="s">
        <v>972</v>
      </c>
      <c r="AD309" s="15" t="s">
        <v>1013</v>
      </c>
      <c r="AE309" s="85" t="s">
        <v>385</v>
      </c>
      <c r="AF309" s="85" t="s">
        <v>385</v>
      </c>
      <c r="AG309" s="85" t="s">
        <v>385</v>
      </c>
      <c r="AH309" s="482" t="s">
        <v>1102</v>
      </c>
      <c r="AI309" s="130" t="s">
        <v>460</v>
      </c>
      <c r="AJ309" s="130" t="s">
        <v>402</v>
      </c>
      <c r="AK309" s="85" t="s">
        <v>412</v>
      </c>
      <c r="AL309" s="85"/>
      <c r="AM309" s="102" t="s">
        <v>1256</v>
      </c>
      <c r="AN309" s="102"/>
      <c r="AO309" s="85"/>
      <c r="AP309" s="102"/>
      <c r="AQ309" s="85"/>
      <c r="AR309" s="85"/>
      <c r="AS309" s="488"/>
    </row>
    <row r="310" spans="1:45" ht="57">
      <c r="A310" s="238"/>
      <c r="B310" s="70" t="s">
        <v>356</v>
      </c>
      <c r="C310" s="412"/>
      <c r="D310" s="74" t="s">
        <v>360</v>
      </c>
      <c r="E310" s="76">
        <v>43575</v>
      </c>
      <c r="F310" s="78" t="s">
        <v>363</v>
      </c>
      <c r="G310" s="479">
        <v>43581</v>
      </c>
      <c r="H310" s="78" t="s">
        <v>355</v>
      </c>
      <c r="I310" s="129" t="s">
        <v>1576</v>
      </c>
      <c r="J310" s="418" t="s">
        <v>201</v>
      </c>
      <c r="K310" s="126" t="s">
        <v>994</v>
      </c>
      <c r="L310" s="82" t="s">
        <v>332</v>
      </c>
      <c r="M310" s="85" t="s">
        <v>1565</v>
      </c>
      <c r="N310" s="411" t="s">
        <v>594</v>
      </c>
      <c r="O310" s="85" t="s">
        <v>680</v>
      </c>
      <c r="P310" s="411" t="s">
        <v>594</v>
      </c>
      <c r="Q310" s="85" t="s">
        <v>385</v>
      </c>
      <c r="R310" s="85" t="s">
        <v>826</v>
      </c>
      <c r="S310" s="411" t="s">
        <v>884</v>
      </c>
      <c r="T310" s="85" t="s">
        <v>404</v>
      </c>
      <c r="U310" s="85" t="s">
        <v>402</v>
      </c>
      <c r="V310" s="85" t="s">
        <v>402</v>
      </c>
      <c r="W310" s="85" t="s">
        <v>402</v>
      </c>
      <c r="X310" s="85" t="s">
        <v>402</v>
      </c>
      <c r="Y310" s="85" t="s">
        <v>404</v>
      </c>
      <c r="Z310" s="85" t="s">
        <v>355</v>
      </c>
      <c r="AA310" s="85" t="s">
        <v>402</v>
      </c>
      <c r="AB310" s="96"/>
      <c r="AC310" s="177" t="s">
        <v>402</v>
      </c>
      <c r="AD310" s="96"/>
      <c r="AE310" s="85" t="s">
        <v>385</v>
      </c>
      <c r="AF310" s="85" t="s">
        <v>385</v>
      </c>
      <c r="AG310" s="85" t="s">
        <v>385</v>
      </c>
      <c r="AH310" s="411" t="s">
        <v>1102</v>
      </c>
      <c r="AI310" s="85" t="s">
        <v>1566</v>
      </c>
      <c r="AJ310" s="85" t="s">
        <v>402</v>
      </c>
      <c r="AK310" s="85" t="s">
        <v>1232</v>
      </c>
      <c r="AL310" s="85" t="s">
        <v>354</v>
      </c>
      <c r="AM310" s="102" t="s">
        <v>1256</v>
      </c>
      <c r="AN310" s="85" t="s">
        <v>1567</v>
      </c>
      <c r="AO310" s="102" t="s">
        <v>1568</v>
      </c>
      <c r="AP310" s="85" t="s">
        <v>402</v>
      </c>
      <c r="AQ310" s="85" t="s">
        <v>1569</v>
      </c>
      <c r="AR310" s="128" t="s">
        <v>1363</v>
      </c>
      <c r="AS310" s="67"/>
    </row>
    <row r="311" spans="1:45" ht="15">
      <c r="A311" s="238"/>
      <c r="B311" s="70"/>
      <c r="C311" s="412"/>
      <c r="D311" s="74"/>
      <c r="E311" s="104"/>
      <c r="F311" s="104"/>
      <c r="G311" s="104"/>
      <c r="H311" s="104"/>
      <c r="I311" s="129"/>
      <c r="J311" s="418"/>
      <c r="K311" s="401"/>
      <c r="L311" s="82"/>
      <c r="M311" s="85" t="s">
        <v>1570</v>
      </c>
      <c r="N311" s="411"/>
      <c r="O311" s="85"/>
      <c r="P311" s="486" t="s">
        <v>1571</v>
      </c>
      <c r="Q311" s="85"/>
      <c r="R311" s="85"/>
      <c r="S311" s="411"/>
      <c r="T311" s="85" t="s">
        <v>355</v>
      </c>
      <c r="U311" s="85" t="s">
        <v>1572</v>
      </c>
      <c r="V311" s="85" t="s">
        <v>1572</v>
      </c>
      <c r="W311" s="85" t="s">
        <v>1572</v>
      </c>
      <c r="X311" s="85" t="s">
        <v>1572</v>
      </c>
      <c r="Y311" s="85" t="s">
        <v>1572</v>
      </c>
      <c r="Z311" s="85" t="s">
        <v>1572</v>
      </c>
      <c r="AA311" s="85" t="s">
        <v>1572</v>
      </c>
      <c r="AB311" s="96"/>
      <c r="AC311" s="177"/>
      <c r="AD311" s="96"/>
      <c r="AE311" s="85"/>
      <c r="AF311" s="85"/>
      <c r="AG311" s="85"/>
      <c r="AH311" s="411"/>
      <c r="AI311" s="130" t="s">
        <v>460</v>
      </c>
      <c r="AJ311" s="85"/>
      <c r="AK311" s="85"/>
      <c r="AL311" s="85"/>
      <c r="AM311" s="102"/>
      <c r="AN311" s="85" t="s">
        <v>1573</v>
      </c>
      <c r="AO311" s="102" t="s">
        <v>1571</v>
      </c>
      <c r="AP311" s="85"/>
      <c r="AQ311" s="85"/>
      <c r="AR311" s="128"/>
    </row>
    <row r="312" spans="1:45" ht="15">
      <c r="A312" s="238"/>
      <c r="B312" s="70"/>
      <c r="C312" s="412"/>
      <c r="D312" s="74"/>
      <c r="E312" s="104"/>
      <c r="F312" s="104"/>
      <c r="G312" s="104"/>
      <c r="H312" s="104"/>
      <c r="I312" s="129"/>
      <c r="J312" s="418"/>
      <c r="K312" s="401"/>
      <c r="L312" s="82" t="s">
        <v>332</v>
      </c>
      <c r="M312" s="85" t="s">
        <v>395</v>
      </c>
      <c r="N312" s="411" t="s">
        <v>594</v>
      </c>
      <c r="O312" s="411"/>
      <c r="P312" s="411" t="s">
        <v>594</v>
      </c>
      <c r="Q312" s="85" t="s">
        <v>385</v>
      </c>
      <c r="R312" s="177" t="s">
        <v>826</v>
      </c>
      <c r="S312" s="482" t="s">
        <v>884</v>
      </c>
      <c r="T312" s="177" t="s">
        <v>402</v>
      </c>
      <c r="U312" s="177" t="s">
        <v>402</v>
      </c>
      <c r="V312" s="177" t="s">
        <v>402</v>
      </c>
      <c r="W312" s="177" t="s">
        <v>402</v>
      </c>
      <c r="X312" s="177" t="s">
        <v>402</v>
      </c>
      <c r="Y312" s="85" t="s">
        <v>403</v>
      </c>
      <c r="Z312" s="85" t="s">
        <v>402</v>
      </c>
      <c r="AA312" s="85" t="s">
        <v>402</v>
      </c>
      <c r="AB312" s="85"/>
      <c r="AC312" s="177" t="s">
        <v>972</v>
      </c>
      <c r="AD312" s="15" t="s">
        <v>1014</v>
      </c>
      <c r="AE312" s="85" t="s">
        <v>385</v>
      </c>
      <c r="AF312" s="85" t="s">
        <v>385</v>
      </c>
      <c r="AG312" s="85" t="s">
        <v>385</v>
      </c>
      <c r="AH312" s="482" t="s">
        <v>1102</v>
      </c>
      <c r="AI312" s="130" t="s">
        <v>460</v>
      </c>
      <c r="AJ312" s="130" t="s">
        <v>402</v>
      </c>
      <c r="AK312" s="85" t="s">
        <v>412</v>
      </c>
      <c r="AL312" s="85"/>
      <c r="AM312" s="102" t="s">
        <v>1256</v>
      </c>
      <c r="AN312" s="102"/>
      <c r="AO312" s="85"/>
      <c r="AP312" s="102"/>
      <c r="AQ312" s="85"/>
      <c r="AR312" s="85"/>
      <c r="AS312" s="488"/>
    </row>
    <row r="313" spans="1:45" ht="43">
      <c r="A313" s="238"/>
      <c r="B313" s="70" t="s">
        <v>356</v>
      </c>
      <c r="C313" s="412"/>
      <c r="D313" s="74" t="s">
        <v>360</v>
      </c>
      <c r="E313" s="76">
        <v>43575</v>
      </c>
      <c r="F313" s="78" t="s">
        <v>363</v>
      </c>
      <c r="G313" s="479">
        <v>43581</v>
      </c>
      <c r="H313" s="78" t="s">
        <v>355</v>
      </c>
      <c r="I313" s="129" t="s">
        <v>1577</v>
      </c>
      <c r="J313" s="418" t="s">
        <v>202</v>
      </c>
      <c r="K313" s="126" t="s">
        <v>469</v>
      </c>
      <c r="L313" s="82" t="s">
        <v>332</v>
      </c>
      <c r="M313" s="85" t="s">
        <v>1565</v>
      </c>
      <c r="N313" s="411" t="s">
        <v>594</v>
      </c>
      <c r="O313" s="85" t="s">
        <v>680</v>
      </c>
      <c r="P313" s="411" t="s">
        <v>594</v>
      </c>
      <c r="Q313" s="85" t="s">
        <v>385</v>
      </c>
      <c r="R313" s="85" t="s">
        <v>826</v>
      </c>
      <c r="S313" s="411" t="s">
        <v>884</v>
      </c>
      <c r="T313" s="85" t="s">
        <v>404</v>
      </c>
      <c r="U313" s="85" t="s">
        <v>402</v>
      </c>
      <c r="V313" s="85" t="s">
        <v>402</v>
      </c>
      <c r="W313" s="85" t="s">
        <v>402</v>
      </c>
      <c r="X313" s="85" t="s">
        <v>402</v>
      </c>
      <c r="Y313" s="85" t="s">
        <v>404</v>
      </c>
      <c r="Z313" s="85" t="s">
        <v>355</v>
      </c>
      <c r="AA313" s="85" t="s">
        <v>402</v>
      </c>
      <c r="AB313" s="96"/>
      <c r="AC313" s="177" t="s">
        <v>402</v>
      </c>
      <c r="AD313" s="96"/>
      <c r="AE313" s="85" t="s">
        <v>385</v>
      </c>
      <c r="AF313" s="85" t="s">
        <v>385</v>
      </c>
      <c r="AG313" s="85" t="s">
        <v>385</v>
      </c>
      <c r="AH313" s="411" t="s">
        <v>1102</v>
      </c>
      <c r="AI313" s="85" t="s">
        <v>1566</v>
      </c>
      <c r="AJ313" s="85" t="s">
        <v>402</v>
      </c>
      <c r="AK313" s="85" t="s">
        <v>1232</v>
      </c>
      <c r="AL313" s="85" t="s">
        <v>354</v>
      </c>
      <c r="AM313" s="102" t="s">
        <v>1256</v>
      </c>
      <c r="AN313" s="85" t="s">
        <v>1567</v>
      </c>
      <c r="AO313" s="102" t="s">
        <v>1568</v>
      </c>
      <c r="AP313" s="85" t="s">
        <v>402</v>
      </c>
      <c r="AQ313" s="85" t="s">
        <v>1569</v>
      </c>
      <c r="AR313" s="128" t="s">
        <v>1363</v>
      </c>
      <c r="AS313" s="67"/>
    </row>
    <row r="314" spans="1:45" ht="15">
      <c r="A314" s="238"/>
      <c r="B314" s="70"/>
      <c r="C314" s="412"/>
      <c r="D314" s="74"/>
      <c r="E314" s="104"/>
      <c r="F314" s="104"/>
      <c r="G314" s="104"/>
      <c r="H314" s="104"/>
      <c r="I314" s="129"/>
      <c r="J314" s="418"/>
      <c r="K314" s="401"/>
      <c r="L314" s="82"/>
      <c r="M314" s="85" t="s">
        <v>1570</v>
      </c>
      <c r="N314" s="411"/>
      <c r="O314" s="85"/>
      <c r="P314" s="486" t="s">
        <v>1571</v>
      </c>
      <c r="Q314" s="85"/>
      <c r="R314" s="85"/>
      <c r="S314" s="411"/>
      <c r="T314" s="85" t="s">
        <v>355</v>
      </c>
      <c r="U314" s="85" t="s">
        <v>1572</v>
      </c>
      <c r="V314" s="85" t="s">
        <v>1572</v>
      </c>
      <c r="W314" s="85" t="s">
        <v>1572</v>
      </c>
      <c r="X314" s="85" t="s">
        <v>1572</v>
      </c>
      <c r="Y314" s="85" t="s">
        <v>1572</v>
      </c>
      <c r="Z314" s="85" t="s">
        <v>1572</v>
      </c>
      <c r="AA314" s="85" t="s">
        <v>1572</v>
      </c>
      <c r="AB314" s="96"/>
      <c r="AC314" s="177"/>
      <c r="AD314" s="96"/>
      <c r="AE314" s="85"/>
      <c r="AF314" s="85"/>
      <c r="AG314" s="85"/>
      <c r="AH314" s="411"/>
      <c r="AI314" s="130" t="s">
        <v>460</v>
      </c>
      <c r="AJ314" s="85"/>
      <c r="AK314" s="85"/>
      <c r="AL314" s="85"/>
      <c r="AM314" s="102"/>
      <c r="AN314" s="85" t="s">
        <v>1573</v>
      </c>
      <c r="AO314" s="102" t="s">
        <v>1571</v>
      </c>
      <c r="AP314" s="85"/>
      <c r="AQ314" s="85"/>
      <c r="AR314" s="128"/>
    </row>
    <row r="315" spans="1:45" ht="15">
      <c r="A315" s="238"/>
      <c r="B315" s="70"/>
      <c r="C315" s="412"/>
      <c r="D315" s="74"/>
      <c r="E315" s="104"/>
      <c r="F315" s="104"/>
      <c r="G315" s="104"/>
      <c r="H315" s="104"/>
      <c r="I315" s="129"/>
      <c r="J315" s="418"/>
      <c r="K315" s="401"/>
      <c r="L315" s="82" t="s">
        <v>332</v>
      </c>
      <c r="M315" s="85" t="s">
        <v>395</v>
      </c>
      <c r="N315" s="411" t="s">
        <v>594</v>
      </c>
      <c r="O315" s="411"/>
      <c r="P315" s="411" t="s">
        <v>594</v>
      </c>
      <c r="Q315" s="85" t="s">
        <v>385</v>
      </c>
      <c r="R315" s="177" t="s">
        <v>826</v>
      </c>
      <c r="S315" s="482" t="s">
        <v>884</v>
      </c>
      <c r="T315" s="177" t="s">
        <v>402</v>
      </c>
      <c r="U315" s="177" t="s">
        <v>402</v>
      </c>
      <c r="V315" s="177" t="s">
        <v>402</v>
      </c>
      <c r="W315" s="177" t="s">
        <v>402</v>
      </c>
      <c r="X315" s="177" t="s">
        <v>402</v>
      </c>
      <c r="Y315" s="85" t="s">
        <v>403</v>
      </c>
      <c r="Z315" s="85" t="s">
        <v>402</v>
      </c>
      <c r="AA315" s="85" t="s">
        <v>402</v>
      </c>
      <c r="AB315" s="85"/>
      <c r="AC315" s="177" t="s">
        <v>972</v>
      </c>
      <c r="AD315" s="15" t="s">
        <v>1017</v>
      </c>
      <c r="AE315" s="85" t="s">
        <v>385</v>
      </c>
      <c r="AF315" s="85" t="s">
        <v>385</v>
      </c>
      <c r="AG315" s="85" t="s">
        <v>385</v>
      </c>
      <c r="AH315" s="482" t="s">
        <v>1102</v>
      </c>
      <c r="AI315" s="130" t="s">
        <v>460</v>
      </c>
      <c r="AJ315" s="130" t="s">
        <v>402</v>
      </c>
      <c r="AK315" s="85" t="s">
        <v>412</v>
      </c>
      <c r="AL315" s="85"/>
      <c r="AM315" s="102" t="s">
        <v>1256</v>
      </c>
      <c r="AN315" s="102"/>
      <c r="AO315" s="85"/>
      <c r="AP315" s="102"/>
      <c r="AQ315" s="85"/>
      <c r="AR315" s="85"/>
      <c r="AS315" s="488"/>
    </row>
    <row r="316" spans="1:45" ht="57">
      <c r="A316" s="238"/>
      <c r="B316" s="70" t="s">
        <v>356</v>
      </c>
      <c r="C316" s="412"/>
      <c r="D316" s="74" t="s">
        <v>360</v>
      </c>
      <c r="E316" s="76">
        <v>43575</v>
      </c>
      <c r="F316" s="78" t="s">
        <v>363</v>
      </c>
      <c r="G316" s="479">
        <v>43581</v>
      </c>
      <c r="H316" s="78" t="s">
        <v>355</v>
      </c>
      <c r="I316" s="129" t="s">
        <v>1578</v>
      </c>
      <c r="J316" s="418" t="s">
        <v>203</v>
      </c>
      <c r="K316" s="126" t="s">
        <v>994</v>
      </c>
      <c r="L316" s="82" t="s">
        <v>332</v>
      </c>
      <c r="M316" s="85" t="s">
        <v>1565</v>
      </c>
      <c r="N316" s="411" t="s">
        <v>594</v>
      </c>
      <c r="O316" s="85" t="s">
        <v>680</v>
      </c>
      <c r="P316" s="411" t="s">
        <v>594</v>
      </c>
      <c r="Q316" s="85" t="s">
        <v>385</v>
      </c>
      <c r="R316" s="85" t="s">
        <v>826</v>
      </c>
      <c r="S316" s="411" t="s">
        <v>884</v>
      </c>
      <c r="T316" s="85" t="s">
        <v>404</v>
      </c>
      <c r="U316" s="85" t="s">
        <v>402</v>
      </c>
      <c r="V316" s="85" t="s">
        <v>402</v>
      </c>
      <c r="W316" s="85" t="s">
        <v>402</v>
      </c>
      <c r="X316" s="85" t="s">
        <v>402</v>
      </c>
      <c r="Y316" s="85" t="s">
        <v>404</v>
      </c>
      <c r="Z316" s="85" t="s">
        <v>355</v>
      </c>
      <c r="AA316" s="85" t="s">
        <v>402</v>
      </c>
      <c r="AB316" s="96"/>
      <c r="AC316" s="177" t="s">
        <v>402</v>
      </c>
      <c r="AD316" s="96"/>
      <c r="AE316" s="85" t="s">
        <v>385</v>
      </c>
      <c r="AF316" s="85" t="s">
        <v>385</v>
      </c>
      <c r="AG316" s="85" t="s">
        <v>385</v>
      </c>
      <c r="AH316" s="411" t="s">
        <v>1102</v>
      </c>
      <c r="AI316" s="85" t="s">
        <v>1566</v>
      </c>
      <c r="AJ316" s="85" t="s">
        <v>402</v>
      </c>
      <c r="AK316" s="85" t="s">
        <v>1232</v>
      </c>
      <c r="AL316" s="85" t="s">
        <v>354</v>
      </c>
      <c r="AM316" s="102" t="s">
        <v>1256</v>
      </c>
      <c r="AN316" s="85" t="s">
        <v>1567</v>
      </c>
      <c r="AO316" s="102" t="s">
        <v>1568</v>
      </c>
      <c r="AP316" s="85" t="s">
        <v>402</v>
      </c>
      <c r="AQ316" s="85" t="s">
        <v>1569</v>
      </c>
      <c r="AR316" s="128" t="s">
        <v>1363</v>
      </c>
      <c r="AS316" s="67"/>
    </row>
    <row r="317" spans="1:45" ht="15">
      <c r="A317" s="238"/>
      <c r="B317" s="70"/>
      <c r="C317" s="412"/>
      <c r="D317" s="74"/>
      <c r="E317" s="104"/>
      <c r="F317" s="104"/>
      <c r="G317" s="104"/>
      <c r="H317" s="104"/>
      <c r="I317" s="129"/>
      <c r="J317" s="418"/>
      <c r="K317" s="401"/>
      <c r="L317" s="82"/>
      <c r="M317" s="85" t="s">
        <v>1570</v>
      </c>
      <c r="N317" s="411"/>
      <c r="O317" s="85"/>
      <c r="P317" s="486" t="s">
        <v>1571</v>
      </c>
      <c r="Q317" s="85"/>
      <c r="R317" s="85"/>
      <c r="S317" s="411"/>
      <c r="T317" s="85" t="s">
        <v>355</v>
      </c>
      <c r="U317" s="85" t="s">
        <v>1572</v>
      </c>
      <c r="V317" s="85" t="s">
        <v>1572</v>
      </c>
      <c r="W317" s="85" t="s">
        <v>1572</v>
      </c>
      <c r="X317" s="85" t="s">
        <v>1572</v>
      </c>
      <c r="Y317" s="85" t="s">
        <v>1572</v>
      </c>
      <c r="Z317" s="85" t="s">
        <v>1572</v>
      </c>
      <c r="AA317" s="85" t="s">
        <v>1572</v>
      </c>
      <c r="AB317" s="96"/>
      <c r="AC317" s="177"/>
      <c r="AD317" s="96"/>
      <c r="AE317" s="85"/>
      <c r="AF317" s="85"/>
      <c r="AG317" s="85"/>
      <c r="AH317" s="411"/>
      <c r="AI317" s="130" t="s">
        <v>460</v>
      </c>
      <c r="AJ317" s="85"/>
      <c r="AK317" s="85"/>
      <c r="AL317" s="85"/>
      <c r="AM317" s="102"/>
      <c r="AN317" s="85" t="s">
        <v>1573</v>
      </c>
      <c r="AO317" s="102" t="s">
        <v>1571</v>
      </c>
      <c r="AP317" s="85"/>
      <c r="AQ317" s="85"/>
      <c r="AR317" s="128"/>
    </row>
    <row r="318" spans="1:45" ht="15">
      <c r="A318" s="238"/>
      <c r="B318" s="70"/>
      <c r="C318" s="412"/>
      <c r="D318" s="74"/>
      <c r="E318" s="104"/>
      <c r="F318" s="104"/>
      <c r="G318" s="104"/>
      <c r="H318" s="104"/>
      <c r="I318" s="129"/>
      <c r="J318" s="418"/>
      <c r="K318" s="401"/>
      <c r="L318" s="82" t="s">
        <v>332</v>
      </c>
      <c r="M318" s="85" t="s">
        <v>395</v>
      </c>
      <c r="N318" s="411" t="s">
        <v>594</v>
      </c>
      <c r="O318" s="411"/>
      <c r="P318" s="411" t="s">
        <v>594</v>
      </c>
      <c r="Q318" s="85" t="s">
        <v>385</v>
      </c>
      <c r="R318" s="177" t="s">
        <v>826</v>
      </c>
      <c r="S318" s="482" t="s">
        <v>884</v>
      </c>
      <c r="T318" s="177" t="s">
        <v>402</v>
      </c>
      <c r="U318" s="177" t="s">
        <v>402</v>
      </c>
      <c r="V318" s="177" t="s">
        <v>402</v>
      </c>
      <c r="W318" s="177" t="s">
        <v>402</v>
      </c>
      <c r="X318" s="177" t="s">
        <v>402</v>
      </c>
      <c r="Y318" s="85" t="s">
        <v>403</v>
      </c>
      <c r="Z318" s="85" t="s">
        <v>402</v>
      </c>
      <c r="AA318" s="85" t="s">
        <v>402</v>
      </c>
      <c r="AB318" s="85"/>
      <c r="AC318" s="177" t="s">
        <v>972</v>
      </c>
      <c r="AD318" s="15" t="s">
        <v>1018</v>
      </c>
      <c r="AE318" s="85" t="s">
        <v>385</v>
      </c>
      <c r="AF318" s="85" t="s">
        <v>385</v>
      </c>
      <c r="AG318" s="85" t="s">
        <v>385</v>
      </c>
      <c r="AH318" s="482" t="s">
        <v>1102</v>
      </c>
      <c r="AI318" s="130" t="s">
        <v>460</v>
      </c>
      <c r="AJ318" s="130" t="s">
        <v>402</v>
      </c>
      <c r="AK318" s="85" t="s">
        <v>412</v>
      </c>
      <c r="AL318" s="85"/>
      <c r="AM318" s="102" t="s">
        <v>1256</v>
      </c>
      <c r="AN318" s="102"/>
      <c r="AO318" s="85"/>
      <c r="AP318" s="102"/>
      <c r="AQ318" s="85"/>
      <c r="AR318" s="85"/>
      <c r="AS318" s="488"/>
    </row>
    <row r="319" spans="1:45" ht="57">
      <c r="A319" s="238"/>
      <c r="B319" s="70" t="s">
        <v>356</v>
      </c>
      <c r="C319" s="412"/>
      <c r="D319" s="74" t="s">
        <v>360</v>
      </c>
      <c r="E319" s="76">
        <v>43575</v>
      </c>
      <c r="F319" s="78" t="s">
        <v>363</v>
      </c>
      <c r="G319" s="76">
        <v>43583</v>
      </c>
      <c r="H319" s="78" t="s">
        <v>355</v>
      </c>
      <c r="I319" s="125" t="s">
        <v>1579</v>
      </c>
      <c r="J319" s="418" t="s">
        <v>204</v>
      </c>
      <c r="K319" s="83" t="s">
        <v>994</v>
      </c>
      <c r="L319" s="82" t="s">
        <v>332</v>
      </c>
      <c r="M319" s="85" t="s">
        <v>1565</v>
      </c>
      <c r="N319" s="486" t="s">
        <v>594</v>
      </c>
      <c r="O319" s="85" t="s">
        <v>680</v>
      </c>
      <c r="P319" s="486" t="s">
        <v>594</v>
      </c>
      <c r="Q319" s="85" t="s">
        <v>385</v>
      </c>
      <c r="R319" s="85" t="s">
        <v>826</v>
      </c>
      <c r="S319" s="486" t="s">
        <v>884</v>
      </c>
      <c r="T319" s="85" t="s">
        <v>404</v>
      </c>
      <c r="U319" s="85" t="s">
        <v>402</v>
      </c>
      <c r="V319" s="85" t="s">
        <v>402</v>
      </c>
      <c r="W319" s="85" t="s">
        <v>402</v>
      </c>
      <c r="X319" s="85" t="s">
        <v>402</v>
      </c>
      <c r="Y319" s="85" t="s">
        <v>404</v>
      </c>
      <c r="Z319" s="85" t="s">
        <v>355</v>
      </c>
      <c r="AA319" s="85" t="s">
        <v>402</v>
      </c>
      <c r="AB319" s="96"/>
      <c r="AC319" s="85" t="s">
        <v>402</v>
      </c>
      <c r="AD319" s="96"/>
      <c r="AE319" s="85" t="s">
        <v>385</v>
      </c>
      <c r="AF319" s="85" t="s">
        <v>385</v>
      </c>
      <c r="AG319" s="85" t="s">
        <v>385</v>
      </c>
      <c r="AH319" s="486" t="s">
        <v>1102</v>
      </c>
      <c r="AI319" s="85" t="s">
        <v>1566</v>
      </c>
      <c r="AJ319" s="85" t="s">
        <v>402</v>
      </c>
      <c r="AK319" s="85" t="s">
        <v>1232</v>
      </c>
      <c r="AL319" s="85" t="s">
        <v>354</v>
      </c>
      <c r="AM319" s="102" t="s">
        <v>1256</v>
      </c>
      <c r="AN319" s="85" t="s">
        <v>1567</v>
      </c>
      <c r="AO319" s="102" t="s">
        <v>1568</v>
      </c>
      <c r="AP319" s="85" t="s">
        <v>402</v>
      </c>
      <c r="AQ319" s="85" t="s">
        <v>1569</v>
      </c>
      <c r="AR319" s="128" t="s">
        <v>1363</v>
      </c>
      <c r="AS319" s="67"/>
    </row>
    <row r="320" spans="1:45" ht="15">
      <c r="A320" s="238"/>
      <c r="B320" s="70"/>
      <c r="C320" s="412"/>
      <c r="D320" s="74"/>
      <c r="E320" s="104"/>
      <c r="F320" s="104"/>
      <c r="G320" s="104"/>
      <c r="H320" s="104"/>
      <c r="I320" s="129"/>
      <c r="J320" s="418"/>
      <c r="K320" s="401"/>
      <c r="L320" s="82"/>
      <c r="M320" s="85" t="s">
        <v>395</v>
      </c>
      <c r="N320" s="69" t="s">
        <v>1580</v>
      </c>
      <c r="O320" s="85"/>
      <c r="P320" s="15" t="s">
        <v>762</v>
      </c>
      <c r="Q320" s="85"/>
      <c r="R320" s="85"/>
      <c r="S320" s="411"/>
      <c r="T320" s="85" t="s">
        <v>403</v>
      </c>
      <c r="U320" s="85" t="s">
        <v>403</v>
      </c>
      <c r="V320" s="85" t="s">
        <v>402</v>
      </c>
      <c r="W320" s="85" t="s">
        <v>402</v>
      </c>
      <c r="X320" s="85" t="s">
        <v>403</v>
      </c>
      <c r="Y320" s="85" t="s">
        <v>403</v>
      </c>
      <c r="Z320" s="85" t="s">
        <v>402</v>
      </c>
      <c r="AA320" s="85" t="s">
        <v>402</v>
      </c>
      <c r="AB320" s="96"/>
      <c r="AC320" s="177" t="s">
        <v>973</v>
      </c>
      <c r="AD320" s="15" t="s">
        <v>762</v>
      </c>
      <c r="AE320" s="85" t="s">
        <v>1581</v>
      </c>
      <c r="AF320" s="85"/>
      <c r="AG320" s="85"/>
      <c r="AH320" s="411"/>
      <c r="AI320" s="130" t="s">
        <v>460</v>
      </c>
      <c r="AJ320" s="85"/>
      <c r="AK320" s="85"/>
      <c r="AL320" s="85"/>
      <c r="AM320" s="102"/>
      <c r="AN320" s="85" t="s">
        <v>1573</v>
      </c>
      <c r="AO320" s="102" t="s">
        <v>1571</v>
      </c>
      <c r="AP320" s="85"/>
      <c r="AQ320" s="85"/>
      <c r="AR320" s="128"/>
    </row>
    <row r="321" spans="1:45" ht="15">
      <c r="A321" s="238"/>
      <c r="B321" s="70"/>
      <c r="C321" s="412"/>
      <c r="D321" s="74"/>
      <c r="E321" s="104"/>
      <c r="F321" s="104"/>
      <c r="G321" s="78" t="s">
        <v>1582</v>
      </c>
      <c r="H321" s="104"/>
      <c r="I321" s="129"/>
      <c r="J321" s="418"/>
      <c r="K321" s="401"/>
      <c r="L321" s="82"/>
      <c r="M321" s="85" t="s">
        <v>395</v>
      </c>
      <c r="N321" s="486" t="s">
        <v>594</v>
      </c>
      <c r="O321" s="85" t="s">
        <v>680</v>
      </c>
      <c r="P321" s="15" t="s">
        <v>762</v>
      </c>
      <c r="Q321" s="85" t="s">
        <v>385</v>
      </c>
      <c r="R321" s="85" t="s">
        <v>826</v>
      </c>
      <c r="S321" s="486" t="s">
        <v>884</v>
      </c>
      <c r="T321" s="85" t="s">
        <v>403</v>
      </c>
      <c r="U321" s="85" t="s">
        <v>403</v>
      </c>
      <c r="V321" s="85" t="s">
        <v>402</v>
      </c>
      <c r="W321" s="85" t="s">
        <v>402</v>
      </c>
      <c r="X321" s="85" t="s">
        <v>403</v>
      </c>
      <c r="Y321" s="85" t="s">
        <v>403</v>
      </c>
      <c r="Z321" s="85" t="s">
        <v>402</v>
      </c>
      <c r="AA321" s="85" t="s">
        <v>402</v>
      </c>
      <c r="AB321" s="96"/>
      <c r="AC321" s="177" t="s">
        <v>973</v>
      </c>
      <c r="AD321" s="15" t="s">
        <v>762</v>
      </c>
      <c r="AE321" s="489" t="s">
        <v>385</v>
      </c>
      <c r="AF321" s="85" t="s">
        <v>385</v>
      </c>
      <c r="AG321" s="85" t="s">
        <v>385</v>
      </c>
      <c r="AH321" s="486" t="s">
        <v>1102</v>
      </c>
      <c r="AI321" s="130" t="s">
        <v>460</v>
      </c>
      <c r="AJ321" s="85" t="s">
        <v>402</v>
      </c>
      <c r="AK321" s="85" t="s">
        <v>1232</v>
      </c>
      <c r="AL321" s="85" t="s">
        <v>354</v>
      </c>
      <c r="AM321" s="102" t="s">
        <v>1256</v>
      </c>
      <c r="AN321" s="102"/>
      <c r="AO321" s="85"/>
      <c r="AP321" s="85" t="s">
        <v>402</v>
      </c>
      <c r="AQ321" s="85"/>
      <c r="AR321" s="85"/>
      <c r="AS321" s="488"/>
    </row>
    <row r="322" spans="1:45" ht="15">
      <c r="A322" s="238"/>
      <c r="B322" s="70" t="s">
        <v>356</v>
      </c>
      <c r="C322" s="412"/>
      <c r="D322" s="74" t="s">
        <v>360</v>
      </c>
      <c r="E322" s="76">
        <v>43575</v>
      </c>
      <c r="F322" s="78" t="s">
        <v>363</v>
      </c>
      <c r="G322" s="479">
        <v>43581</v>
      </c>
      <c r="H322" s="78" t="s">
        <v>355</v>
      </c>
      <c r="I322" s="129" t="s">
        <v>1583</v>
      </c>
      <c r="J322" s="418" t="s">
        <v>205</v>
      </c>
      <c r="K322" s="401" t="s">
        <v>1584</v>
      </c>
      <c r="L322" s="82" t="s">
        <v>332</v>
      </c>
      <c r="M322" s="85" t="s">
        <v>1565</v>
      </c>
      <c r="N322" s="411" t="s">
        <v>594</v>
      </c>
      <c r="O322" s="85" t="s">
        <v>680</v>
      </c>
      <c r="P322" s="411" t="s">
        <v>594</v>
      </c>
      <c r="Q322" s="85" t="s">
        <v>385</v>
      </c>
      <c r="R322" s="85" t="s">
        <v>826</v>
      </c>
      <c r="S322" s="411" t="s">
        <v>884</v>
      </c>
      <c r="T322" s="85" t="s">
        <v>404</v>
      </c>
      <c r="U322" s="85" t="s">
        <v>402</v>
      </c>
      <c r="V322" s="85" t="s">
        <v>402</v>
      </c>
      <c r="W322" s="85" t="s">
        <v>402</v>
      </c>
      <c r="X322" s="85" t="s">
        <v>402</v>
      </c>
      <c r="Y322" s="85" t="s">
        <v>404</v>
      </c>
      <c r="Z322" s="85" t="s">
        <v>355</v>
      </c>
      <c r="AA322" s="85" t="s">
        <v>402</v>
      </c>
      <c r="AB322" s="96"/>
      <c r="AC322" s="177" t="s">
        <v>402</v>
      </c>
      <c r="AD322" s="96"/>
      <c r="AE322" s="85" t="s">
        <v>385</v>
      </c>
      <c r="AF322" s="85" t="s">
        <v>385</v>
      </c>
      <c r="AG322" s="85" t="s">
        <v>385</v>
      </c>
      <c r="AH322" s="411" t="s">
        <v>1102</v>
      </c>
      <c r="AI322" s="85" t="s">
        <v>1566</v>
      </c>
      <c r="AJ322" s="85" t="s">
        <v>402</v>
      </c>
      <c r="AK322" s="85" t="s">
        <v>1232</v>
      </c>
      <c r="AL322" s="85" t="s">
        <v>354</v>
      </c>
      <c r="AM322" s="102" t="s">
        <v>1256</v>
      </c>
      <c r="AN322" s="85" t="s">
        <v>1567</v>
      </c>
      <c r="AO322" s="102" t="s">
        <v>1568</v>
      </c>
      <c r="AP322" s="85" t="s">
        <v>402</v>
      </c>
      <c r="AQ322" s="85" t="s">
        <v>1569</v>
      </c>
      <c r="AR322" s="128" t="s">
        <v>1363</v>
      </c>
      <c r="AS322" s="67"/>
    </row>
    <row r="323" spans="1:45" ht="15">
      <c r="A323" s="238"/>
      <c r="B323" s="70"/>
      <c r="C323" s="412"/>
      <c r="D323" s="74"/>
      <c r="E323" s="104"/>
      <c r="F323" s="104"/>
      <c r="G323" s="104"/>
      <c r="H323" s="104"/>
      <c r="I323" s="129"/>
      <c r="J323" s="418"/>
      <c r="K323" s="401"/>
      <c r="L323" s="82"/>
      <c r="M323" s="85" t="s">
        <v>1570</v>
      </c>
      <c r="N323" s="411"/>
      <c r="O323" s="85"/>
      <c r="P323" s="486" t="s">
        <v>1571</v>
      </c>
      <c r="Q323" s="85"/>
      <c r="R323" s="85"/>
      <c r="S323" s="411"/>
      <c r="T323" s="85" t="s">
        <v>355</v>
      </c>
      <c r="U323" s="85" t="s">
        <v>1572</v>
      </c>
      <c r="V323" s="85" t="s">
        <v>1572</v>
      </c>
      <c r="W323" s="85" t="s">
        <v>1572</v>
      </c>
      <c r="X323" s="85" t="s">
        <v>1572</v>
      </c>
      <c r="Y323" s="85" t="s">
        <v>1572</v>
      </c>
      <c r="Z323" s="85" t="s">
        <v>1572</v>
      </c>
      <c r="AA323" s="85" t="s">
        <v>1572</v>
      </c>
      <c r="AB323" s="96"/>
      <c r="AC323" s="177"/>
      <c r="AD323" s="96"/>
      <c r="AE323" s="85"/>
      <c r="AF323" s="85"/>
      <c r="AG323" s="85"/>
      <c r="AH323" s="411"/>
      <c r="AI323" s="130" t="s">
        <v>460</v>
      </c>
      <c r="AJ323" s="85"/>
      <c r="AK323" s="85"/>
      <c r="AL323" s="85"/>
      <c r="AM323" s="102"/>
      <c r="AN323" s="85" t="s">
        <v>1573</v>
      </c>
      <c r="AO323" s="102" t="s">
        <v>1571</v>
      </c>
      <c r="AP323" s="85"/>
      <c r="AQ323" s="85"/>
      <c r="AR323" s="128"/>
    </row>
    <row r="324" spans="1:45" ht="15">
      <c r="A324" s="238"/>
      <c r="B324" s="70"/>
      <c r="C324" s="412"/>
      <c r="D324" s="74"/>
      <c r="E324" s="104"/>
      <c r="F324" s="104"/>
      <c r="G324" s="104"/>
      <c r="H324" s="104"/>
      <c r="I324" s="129"/>
      <c r="J324" s="418"/>
      <c r="K324" s="401"/>
      <c r="L324" s="82" t="s">
        <v>332</v>
      </c>
      <c r="M324" s="85" t="s">
        <v>395</v>
      </c>
      <c r="N324" s="411" t="s">
        <v>594</v>
      </c>
      <c r="O324" s="411"/>
      <c r="P324" s="411" t="s">
        <v>594</v>
      </c>
      <c r="Q324" s="85" t="s">
        <v>385</v>
      </c>
      <c r="R324" s="177" t="s">
        <v>826</v>
      </c>
      <c r="S324" s="482" t="s">
        <v>884</v>
      </c>
      <c r="T324" s="177" t="s">
        <v>402</v>
      </c>
      <c r="U324" s="177" t="s">
        <v>402</v>
      </c>
      <c r="V324" s="177" t="s">
        <v>402</v>
      </c>
      <c r="W324" s="177" t="s">
        <v>402</v>
      </c>
      <c r="X324" s="177" t="s">
        <v>402</v>
      </c>
      <c r="Y324" s="85" t="s">
        <v>403</v>
      </c>
      <c r="Z324" s="85" t="s">
        <v>402</v>
      </c>
      <c r="AA324" s="85" t="s">
        <v>402</v>
      </c>
      <c r="AB324" s="85"/>
      <c r="AC324" s="177" t="s">
        <v>972</v>
      </c>
      <c r="AD324" s="15" t="s">
        <v>1019</v>
      </c>
      <c r="AE324" s="85" t="s">
        <v>385</v>
      </c>
      <c r="AF324" s="85" t="s">
        <v>385</v>
      </c>
      <c r="AG324" s="85" t="s">
        <v>385</v>
      </c>
      <c r="AH324" s="482" t="s">
        <v>1102</v>
      </c>
      <c r="AI324" s="130" t="s">
        <v>460</v>
      </c>
      <c r="AJ324" s="130" t="s">
        <v>402</v>
      </c>
      <c r="AK324" s="85" t="s">
        <v>412</v>
      </c>
      <c r="AL324" s="85"/>
      <c r="AM324" s="102" t="s">
        <v>1256</v>
      </c>
      <c r="AN324" s="102"/>
      <c r="AO324" s="85"/>
      <c r="AP324" s="102"/>
      <c r="AQ324" s="85"/>
      <c r="AR324" s="85"/>
      <c r="AS324" s="488"/>
    </row>
    <row r="325" spans="1:45" ht="15">
      <c r="A325" s="238"/>
      <c r="B325" s="70" t="s">
        <v>356</v>
      </c>
      <c r="C325" s="412"/>
      <c r="D325" s="74" t="s">
        <v>360</v>
      </c>
      <c r="E325" s="76">
        <v>43575</v>
      </c>
      <c r="F325" s="78" t="s">
        <v>363</v>
      </c>
      <c r="G325" s="479">
        <v>43581</v>
      </c>
      <c r="H325" s="78" t="s">
        <v>355</v>
      </c>
      <c r="I325" s="129" t="s">
        <v>1585</v>
      </c>
      <c r="J325" s="418" t="s">
        <v>206</v>
      </c>
      <c r="K325" s="401"/>
      <c r="L325" s="82" t="s">
        <v>332</v>
      </c>
      <c r="M325" s="85" t="s">
        <v>1565</v>
      </c>
      <c r="N325" s="411" t="s">
        <v>594</v>
      </c>
      <c r="O325" s="85" t="s">
        <v>680</v>
      </c>
      <c r="P325" s="411" t="s">
        <v>594</v>
      </c>
      <c r="Q325" s="85" t="s">
        <v>385</v>
      </c>
      <c r="R325" s="85" t="s">
        <v>826</v>
      </c>
      <c r="S325" s="411" t="s">
        <v>884</v>
      </c>
      <c r="T325" s="85" t="s">
        <v>404</v>
      </c>
      <c r="U325" s="85" t="s">
        <v>402</v>
      </c>
      <c r="V325" s="85" t="s">
        <v>402</v>
      </c>
      <c r="W325" s="85" t="s">
        <v>402</v>
      </c>
      <c r="X325" s="85" t="s">
        <v>402</v>
      </c>
      <c r="Y325" s="85" t="s">
        <v>404</v>
      </c>
      <c r="Z325" s="85" t="s">
        <v>355</v>
      </c>
      <c r="AA325" s="85" t="s">
        <v>402</v>
      </c>
      <c r="AB325" s="96"/>
      <c r="AC325" s="177" t="s">
        <v>402</v>
      </c>
      <c r="AD325" s="96"/>
      <c r="AE325" s="85" t="s">
        <v>385</v>
      </c>
      <c r="AF325" s="85" t="s">
        <v>385</v>
      </c>
      <c r="AG325" s="85" t="s">
        <v>385</v>
      </c>
      <c r="AH325" s="411" t="s">
        <v>1102</v>
      </c>
      <c r="AI325" s="85" t="s">
        <v>1566</v>
      </c>
      <c r="AJ325" s="85" t="s">
        <v>402</v>
      </c>
      <c r="AK325" s="85" t="s">
        <v>1232</v>
      </c>
      <c r="AL325" s="85" t="s">
        <v>354</v>
      </c>
      <c r="AM325" s="102" t="s">
        <v>1256</v>
      </c>
      <c r="AN325" s="85" t="s">
        <v>1567</v>
      </c>
      <c r="AO325" s="102" t="s">
        <v>1568</v>
      </c>
      <c r="AP325" s="85" t="s">
        <v>402</v>
      </c>
      <c r="AQ325" s="85" t="s">
        <v>1569</v>
      </c>
      <c r="AR325" s="128" t="s">
        <v>1363</v>
      </c>
      <c r="AS325" s="67"/>
    </row>
    <row r="326" spans="1:45" ht="15">
      <c r="A326" s="238"/>
      <c r="B326" s="70"/>
      <c r="C326" s="412"/>
      <c r="D326" s="74"/>
      <c r="E326" s="104"/>
      <c r="F326" s="104"/>
      <c r="G326" s="104"/>
      <c r="H326" s="104"/>
      <c r="I326" s="129"/>
      <c r="J326" s="418"/>
      <c r="K326" s="401"/>
      <c r="L326" s="82"/>
      <c r="M326" s="85" t="s">
        <v>1570</v>
      </c>
      <c r="N326" s="411"/>
      <c r="O326" s="85"/>
      <c r="P326" s="486" t="s">
        <v>1571</v>
      </c>
      <c r="Q326" s="85"/>
      <c r="R326" s="85"/>
      <c r="S326" s="411"/>
      <c r="T326" s="85" t="s">
        <v>355</v>
      </c>
      <c r="U326" s="85" t="s">
        <v>1572</v>
      </c>
      <c r="V326" s="85" t="s">
        <v>1572</v>
      </c>
      <c r="W326" s="85" t="s">
        <v>1572</v>
      </c>
      <c r="X326" s="85" t="s">
        <v>1572</v>
      </c>
      <c r="Y326" s="85" t="s">
        <v>1572</v>
      </c>
      <c r="Z326" s="85" t="s">
        <v>1572</v>
      </c>
      <c r="AA326" s="85" t="s">
        <v>1572</v>
      </c>
      <c r="AB326" s="96"/>
      <c r="AC326" s="177"/>
      <c r="AD326" s="96"/>
      <c r="AE326" s="85"/>
      <c r="AF326" s="85"/>
      <c r="AG326" s="85"/>
      <c r="AH326" s="411"/>
      <c r="AI326" s="130" t="s">
        <v>460</v>
      </c>
      <c r="AJ326" s="85"/>
      <c r="AK326" s="85"/>
      <c r="AL326" s="85"/>
      <c r="AM326" s="102"/>
      <c r="AN326" s="85" t="s">
        <v>1573</v>
      </c>
      <c r="AO326" s="102" t="s">
        <v>1571</v>
      </c>
      <c r="AP326" s="85"/>
      <c r="AQ326" s="85"/>
      <c r="AR326" s="128"/>
    </row>
    <row r="327" spans="1:45" ht="15">
      <c r="A327" s="238"/>
      <c r="B327" s="70"/>
      <c r="C327" s="412"/>
      <c r="D327" s="74"/>
      <c r="E327" s="104"/>
      <c r="F327" s="104"/>
      <c r="G327" s="104"/>
      <c r="H327" s="104"/>
      <c r="I327" s="129"/>
      <c r="J327" s="418"/>
      <c r="K327" s="401"/>
      <c r="L327" s="82" t="s">
        <v>332</v>
      </c>
      <c r="M327" s="85" t="s">
        <v>395</v>
      </c>
      <c r="N327" s="411" t="s">
        <v>594</v>
      </c>
      <c r="O327" s="411"/>
      <c r="P327" s="411" t="s">
        <v>594</v>
      </c>
      <c r="Q327" s="85" t="s">
        <v>385</v>
      </c>
      <c r="R327" s="177" t="s">
        <v>826</v>
      </c>
      <c r="S327" s="482" t="s">
        <v>884</v>
      </c>
      <c r="T327" s="177" t="s">
        <v>402</v>
      </c>
      <c r="U327" s="177" t="s">
        <v>402</v>
      </c>
      <c r="V327" s="177" t="s">
        <v>402</v>
      </c>
      <c r="W327" s="177" t="s">
        <v>402</v>
      </c>
      <c r="X327" s="177" t="s">
        <v>402</v>
      </c>
      <c r="Y327" s="85" t="s">
        <v>403</v>
      </c>
      <c r="Z327" s="85" t="s">
        <v>402</v>
      </c>
      <c r="AA327" s="85" t="s">
        <v>402</v>
      </c>
      <c r="AB327" s="85"/>
      <c r="AC327" s="177" t="s">
        <v>972</v>
      </c>
      <c r="AD327" s="15" t="s">
        <v>1020</v>
      </c>
      <c r="AE327" s="85" t="s">
        <v>385</v>
      </c>
      <c r="AF327" s="85" t="s">
        <v>385</v>
      </c>
      <c r="AG327" s="85" t="s">
        <v>385</v>
      </c>
      <c r="AH327" s="482" t="s">
        <v>1102</v>
      </c>
      <c r="AI327" s="130" t="s">
        <v>460</v>
      </c>
      <c r="AJ327" s="130" t="s">
        <v>402</v>
      </c>
      <c r="AK327" s="85" t="s">
        <v>412</v>
      </c>
      <c r="AL327" s="85"/>
      <c r="AM327" s="102" t="s">
        <v>1256</v>
      </c>
      <c r="AN327" s="102"/>
      <c r="AO327" s="85"/>
      <c r="AP327" s="102"/>
      <c r="AQ327" s="85"/>
      <c r="AR327" s="85"/>
      <c r="AS327" s="488"/>
    </row>
    <row r="328" spans="1:45" ht="15">
      <c r="A328" s="238"/>
      <c r="B328" s="70" t="s">
        <v>356</v>
      </c>
      <c r="C328" s="412"/>
      <c r="D328" s="74" t="s">
        <v>360</v>
      </c>
      <c r="E328" s="76">
        <v>43575</v>
      </c>
      <c r="F328" s="78" t="s">
        <v>363</v>
      </c>
      <c r="G328" s="479">
        <v>43581</v>
      </c>
      <c r="H328" s="78" t="s">
        <v>355</v>
      </c>
      <c r="I328" s="129" t="s">
        <v>1586</v>
      </c>
      <c r="J328" s="418" t="s">
        <v>207</v>
      </c>
      <c r="K328" s="401" t="s">
        <v>1050</v>
      </c>
      <c r="L328" s="82" t="s">
        <v>332</v>
      </c>
      <c r="M328" s="85" t="s">
        <v>1565</v>
      </c>
      <c r="N328" s="411" t="s">
        <v>594</v>
      </c>
      <c r="O328" s="85" t="s">
        <v>680</v>
      </c>
      <c r="P328" s="411" t="s">
        <v>594</v>
      </c>
      <c r="Q328" s="85" t="s">
        <v>385</v>
      </c>
      <c r="R328" s="85" t="s">
        <v>826</v>
      </c>
      <c r="S328" s="411" t="s">
        <v>884</v>
      </c>
      <c r="T328" s="85" t="s">
        <v>404</v>
      </c>
      <c r="U328" s="85" t="s">
        <v>402</v>
      </c>
      <c r="V328" s="85" t="s">
        <v>402</v>
      </c>
      <c r="W328" s="85" t="s">
        <v>402</v>
      </c>
      <c r="X328" s="85" t="s">
        <v>402</v>
      </c>
      <c r="Y328" s="85" t="s">
        <v>404</v>
      </c>
      <c r="Z328" s="85" t="s">
        <v>355</v>
      </c>
      <c r="AA328" s="85" t="s">
        <v>402</v>
      </c>
      <c r="AB328" s="96"/>
      <c r="AC328" s="177" t="s">
        <v>402</v>
      </c>
      <c r="AD328" s="96"/>
      <c r="AE328" s="85" t="s">
        <v>385</v>
      </c>
      <c r="AF328" s="85" t="s">
        <v>385</v>
      </c>
      <c r="AG328" s="85" t="s">
        <v>385</v>
      </c>
      <c r="AH328" s="411" t="s">
        <v>1102</v>
      </c>
      <c r="AI328" s="85" t="s">
        <v>1566</v>
      </c>
      <c r="AJ328" s="85" t="s">
        <v>402</v>
      </c>
      <c r="AK328" s="85" t="s">
        <v>1232</v>
      </c>
      <c r="AL328" s="85" t="s">
        <v>354</v>
      </c>
      <c r="AM328" s="102" t="s">
        <v>1256</v>
      </c>
      <c r="AN328" s="85" t="s">
        <v>1567</v>
      </c>
      <c r="AO328" s="102" t="s">
        <v>1568</v>
      </c>
      <c r="AP328" s="85" t="s">
        <v>402</v>
      </c>
      <c r="AQ328" s="85" t="s">
        <v>1569</v>
      </c>
      <c r="AR328" s="128" t="s">
        <v>1363</v>
      </c>
      <c r="AS328" s="67"/>
    </row>
    <row r="329" spans="1:45" ht="15">
      <c r="A329" s="238"/>
      <c r="B329" s="70"/>
      <c r="C329" s="412"/>
      <c r="D329" s="74"/>
      <c r="E329" s="104"/>
      <c r="F329" s="104"/>
      <c r="G329" s="104"/>
      <c r="H329" s="104"/>
      <c r="I329" s="129"/>
      <c r="J329" s="418"/>
      <c r="K329" s="401"/>
      <c r="L329" s="82"/>
      <c r="M329" s="85" t="s">
        <v>1570</v>
      </c>
      <c r="N329" s="411"/>
      <c r="O329" s="85"/>
      <c r="P329" s="486" t="s">
        <v>1571</v>
      </c>
      <c r="Q329" s="85"/>
      <c r="R329" s="85"/>
      <c r="S329" s="411"/>
      <c r="T329" s="85" t="s">
        <v>355</v>
      </c>
      <c r="U329" s="85" t="s">
        <v>1572</v>
      </c>
      <c r="V329" s="85" t="s">
        <v>1572</v>
      </c>
      <c r="W329" s="85" t="s">
        <v>1572</v>
      </c>
      <c r="X329" s="85" t="s">
        <v>1572</v>
      </c>
      <c r="Y329" s="85" t="s">
        <v>1572</v>
      </c>
      <c r="Z329" s="85" t="s">
        <v>1572</v>
      </c>
      <c r="AA329" s="85" t="s">
        <v>1572</v>
      </c>
      <c r="AB329" s="96"/>
      <c r="AC329" s="177"/>
      <c r="AD329" s="96"/>
      <c r="AE329" s="85"/>
      <c r="AF329" s="85"/>
      <c r="AG329" s="85"/>
      <c r="AH329" s="411"/>
      <c r="AI329" s="130" t="s">
        <v>460</v>
      </c>
      <c r="AJ329" s="85"/>
      <c r="AK329" s="85"/>
      <c r="AL329" s="85"/>
      <c r="AM329" s="102"/>
      <c r="AN329" s="85" t="s">
        <v>1573</v>
      </c>
      <c r="AO329" s="102" t="s">
        <v>1571</v>
      </c>
      <c r="AP329" s="85"/>
      <c r="AQ329" s="85"/>
      <c r="AR329" s="128"/>
    </row>
    <row r="330" spans="1:45" ht="15">
      <c r="A330" s="238"/>
      <c r="B330" s="70"/>
      <c r="C330" s="412"/>
      <c r="D330" s="74"/>
      <c r="E330" s="104"/>
      <c r="F330" s="104"/>
      <c r="G330" s="104"/>
      <c r="H330" s="104"/>
      <c r="I330" s="129"/>
      <c r="J330" s="418"/>
      <c r="K330" s="401"/>
      <c r="L330" s="82" t="s">
        <v>332</v>
      </c>
      <c r="M330" s="85" t="s">
        <v>395</v>
      </c>
      <c r="N330" s="411" t="s">
        <v>594</v>
      </c>
      <c r="O330" s="411"/>
      <c r="P330" s="411" t="s">
        <v>594</v>
      </c>
      <c r="Q330" s="85" t="s">
        <v>385</v>
      </c>
      <c r="R330" s="177" t="s">
        <v>826</v>
      </c>
      <c r="S330" s="482" t="s">
        <v>884</v>
      </c>
      <c r="T330" s="177" t="s">
        <v>402</v>
      </c>
      <c r="U330" s="177" t="s">
        <v>402</v>
      </c>
      <c r="V330" s="177" t="s">
        <v>402</v>
      </c>
      <c r="W330" s="177" t="s">
        <v>402</v>
      </c>
      <c r="X330" s="177" t="s">
        <v>402</v>
      </c>
      <c r="Y330" s="85" t="s">
        <v>403</v>
      </c>
      <c r="Z330" s="85" t="s">
        <v>402</v>
      </c>
      <c r="AA330" s="85" t="s">
        <v>402</v>
      </c>
      <c r="AB330" s="85"/>
      <c r="AC330" s="177" t="s">
        <v>972</v>
      </c>
      <c r="AD330" s="15" t="s">
        <v>1021</v>
      </c>
      <c r="AE330" s="85" t="s">
        <v>385</v>
      </c>
      <c r="AF330" s="85" t="s">
        <v>385</v>
      </c>
      <c r="AG330" s="85" t="s">
        <v>385</v>
      </c>
      <c r="AH330" s="482" t="s">
        <v>1102</v>
      </c>
      <c r="AI330" s="130" t="s">
        <v>460</v>
      </c>
      <c r="AJ330" s="130" t="s">
        <v>402</v>
      </c>
      <c r="AK330" s="85" t="s">
        <v>412</v>
      </c>
      <c r="AL330" s="85"/>
      <c r="AM330" s="102" t="s">
        <v>1256</v>
      </c>
      <c r="AN330" s="102"/>
      <c r="AO330" s="85"/>
      <c r="AP330" s="102"/>
      <c r="AQ330" s="85"/>
      <c r="AR330" s="85"/>
      <c r="AS330" s="488"/>
    </row>
    <row r="331" spans="1:45" ht="43">
      <c r="A331" s="238"/>
      <c r="B331" s="70" t="s">
        <v>356</v>
      </c>
      <c r="C331" s="412"/>
      <c r="D331" s="74" t="s">
        <v>658</v>
      </c>
      <c r="E331" s="76">
        <v>43574</v>
      </c>
      <c r="F331" s="78" t="s">
        <v>360</v>
      </c>
      <c r="G331" s="479">
        <v>43581</v>
      </c>
      <c r="H331" s="78" t="s">
        <v>355</v>
      </c>
      <c r="I331" s="129" t="s">
        <v>1587</v>
      </c>
      <c r="J331" s="418" t="s">
        <v>208</v>
      </c>
      <c r="K331" s="126" t="s">
        <v>876</v>
      </c>
      <c r="L331" s="82" t="s">
        <v>332</v>
      </c>
      <c r="M331" s="85" t="s">
        <v>1565</v>
      </c>
      <c r="N331" s="411" t="s">
        <v>594</v>
      </c>
      <c r="O331" s="85" t="s">
        <v>680</v>
      </c>
      <c r="P331" s="411" t="s">
        <v>594</v>
      </c>
      <c r="Q331" s="85" t="s">
        <v>385</v>
      </c>
      <c r="R331" s="85" t="s">
        <v>826</v>
      </c>
      <c r="S331" s="411" t="s">
        <v>884</v>
      </c>
      <c r="T331" s="85" t="s">
        <v>404</v>
      </c>
      <c r="U331" s="85" t="s">
        <v>402</v>
      </c>
      <c r="V331" s="85" t="s">
        <v>402</v>
      </c>
      <c r="W331" s="85" t="s">
        <v>402</v>
      </c>
      <c r="X331" s="85" t="s">
        <v>402</v>
      </c>
      <c r="Y331" s="85" t="s">
        <v>404</v>
      </c>
      <c r="Z331" s="85" t="s">
        <v>355</v>
      </c>
      <c r="AA331" s="85" t="s">
        <v>402</v>
      </c>
      <c r="AB331" s="96"/>
      <c r="AC331" s="177" t="s">
        <v>402</v>
      </c>
      <c r="AD331" s="96"/>
      <c r="AE331" s="85" t="s">
        <v>385</v>
      </c>
      <c r="AF331" s="85" t="s">
        <v>385</v>
      </c>
      <c r="AG331" s="85" t="s">
        <v>385</v>
      </c>
      <c r="AH331" s="411" t="s">
        <v>1102</v>
      </c>
      <c r="AI331" s="85" t="s">
        <v>1566</v>
      </c>
      <c r="AJ331" s="85" t="s">
        <v>402</v>
      </c>
      <c r="AK331" s="85" t="s">
        <v>1232</v>
      </c>
      <c r="AL331" s="85" t="s">
        <v>354</v>
      </c>
      <c r="AM331" s="102" t="s">
        <v>1256</v>
      </c>
      <c r="AN331" s="85" t="s">
        <v>1567</v>
      </c>
      <c r="AO331" s="102" t="s">
        <v>1568</v>
      </c>
      <c r="AP331" s="85" t="s">
        <v>402</v>
      </c>
      <c r="AQ331" s="85" t="s">
        <v>1569</v>
      </c>
      <c r="AR331" s="128" t="s">
        <v>1363</v>
      </c>
      <c r="AS331" s="67"/>
    </row>
    <row r="332" spans="1:45" ht="15">
      <c r="A332" s="238"/>
      <c r="B332" s="70"/>
      <c r="C332" s="412"/>
      <c r="D332" s="74"/>
      <c r="E332" s="76"/>
      <c r="F332" s="76"/>
      <c r="G332" s="76"/>
      <c r="H332" s="76"/>
      <c r="I332" s="129"/>
      <c r="J332" s="418"/>
      <c r="K332" s="401"/>
      <c r="L332" s="82"/>
      <c r="M332" s="85" t="s">
        <v>1588</v>
      </c>
      <c r="N332" s="411"/>
      <c r="O332" s="85"/>
      <c r="P332" s="15" t="s">
        <v>1589</v>
      </c>
      <c r="Q332" s="85" t="s">
        <v>1590</v>
      </c>
      <c r="R332" s="85"/>
      <c r="S332" s="411"/>
      <c r="T332" s="85"/>
      <c r="U332" s="85"/>
      <c r="V332" s="85"/>
      <c r="W332" s="85"/>
      <c r="X332" s="85" t="s">
        <v>1591</v>
      </c>
      <c r="Y332" s="85" t="s">
        <v>403</v>
      </c>
      <c r="Z332" s="85" t="s">
        <v>402</v>
      </c>
      <c r="AA332" s="85"/>
      <c r="AB332" s="96"/>
      <c r="AC332" s="177"/>
      <c r="AD332" s="96"/>
      <c r="AE332" s="85"/>
      <c r="AF332" s="85"/>
      <c r="AG332" s="85"/>
      <c r="AH332" s="411"/>
      <c r="AI332" s="85" t="s">
        <v>460</v>
      </c>
      <c r="AJ332" s="85"/>
      <c r="AK332" s="85"/>
      <c r="AL332" s="85" t="s">
        <v>1592</v>
      </c>
      <c r="AM332" s="102"/>
      <c r="AN332" s="85"/>
      <c r="AO332" s="102" t="s">
        <v>402</v>
      </c>
      <c r="AP332" s="85"/>
      <c r="AQ332" s="85"/>
      <c r="AR332" s="128" t="s">
        <v>1074</v>
      </c>
      <c r="AS332" s="67"/>
    </row>
    <row r="333" spans="1:45" ht="15">
      <c r="A333" s="238"/>
      <c r="B333" s="70"/>
      <c r="C333" s="412"/>
      <c r="D333" s="74"/>
      <c r="E333" s="76"/>
      <c r="F333" s="76"/>
      <c r="G333" s="76"/>
      <c r="H333" s="76"/>
      <c r="I333" s="129"/>
      <c r="J333" s="418"/>
      <c r="K333" s="401"/>
      <c r="L333" s="82" t="s">
        <v>332</v>
      </c>
      <c r="M333" s="85" t="s">
        <v>395</v>
      </c>
      <c r="N333" s="411" t="s">
        <v>594</v>
      </c>
      <c r="O333" s="411"/>
      <c r="P333" s="411" t="s">
        <v>594</v>
      </c>
      <c r="Q333" s="85" t="s">
        <v>385</v>
      </c>
      <c r="R333" s="177" t="s">
        <v>826</v>
      </c>
      <c r="S333" s="482" t="s">
        <v>884</v>
      </c>
      <c r="T333" s="177" t="s">
        <v>402</v>
      </c>
      <c r="U333" s="177" t="s">
        <v>402</v>
      </c>
      <c r="V333" s="177" t="s">
        <v>402</v>
      </c>
      <c r="W333" s="177" t="s">
        <v>402</v>
      </c>
      <c r="X333" s="177" t="s">
        <v>402</v>
      </c>
      <c r="Y333" s="85" t="s">
        <v>403</v>
      </c>
      <c r="Z333" s="85" t="s">
        <v>402</v>
      </c>
      <c r="AA333" s="85" t="s">
        <v>402</v>
      </c>
      <c r="AB333" s="85"/>
      <c r="AC333" s="177" t="s">
        <v>972</v>
      </c>
      <c r="AD333" s="15" t="s">
        <v>1022</v>
      </c>
      <c r="AE333" s="85" t="s">
        <v>385</v>
      </c>
      <c r="AF333" s="85" t="s">
        <v>385</v>
      </c>
      <c r="AG333" s="85" t="s">
        <v>385</v>
      </c>
      <c r="AH333" s="482" t="s">
        <v>1102</v>
      </c>
      <c r="AI333" s="130" t="s">
        <v>460</v>
      </c>
      <c r="AJ333" s="130" t="s">
        <v>402</v>
      </c>
      <c r="AK333" s="85" t="s">
        <v>412</v>
      </c>
      <c r="AL333" s="85"/>
      <c r="AM333" s="102" t="s">
        <v>1256</v>
      </c>
      <c r="AN333" s="102"/>
      <c r="AO333" s="85"/>
      <c r="AP333" s="102"/>
      <c r="AQ333" s="85"/>
      <c r="AR333" s="128"/>
      <c r="AS333" s="67"/>
    </row>
    <row r="334" spans="1:45" ht="57">
      <c r="A334" s="238"/>
      <c r="B334" s="70" t="s">
        <v>356</v>
      </c>
      <c r="C334" s="412"/>
      <c r="D334" s="74" t="s">
        <v>658</v>
      </c>
      <c r="E334" s="76">
        <v>43574</v>
      </c>
      <c r="F334" s="78" t="s">
        <v>360</v>
      </c>
      <c r="G334" s="479">
        <v>43581</v>
      </c>
      <c r="H334" s="78" t="s">
        <v>355</v>
      </c>
      <c r="I334" s="129" t="s">
        <v>1593</v>
      </c>
      <c r="J334" s="418" t="s">
        <v>209</v>
      </c>
      <c r="K334" s="126" t="s">
        <v>994</v>
      </c>
      <c r="L334" s="82" t="s">
        <v>332</v>
      </c>
      <c r="M334" s="85" t="s">
        <v>1565</v>
      </c>
      <c r="N334" s="411" t="s">
        <v>594</v>
      </c>
      <c r="O334" s="85" t="s">
        <v>680</v>
      </c>
      <c r="P334" s="411" t="s">
        <v>594</v>
      </c>
      <c r="Q334" s="85" t="s">
        <v>385</v>
      </c>
      <c r="R334" s="85" t="s">
        <v>826</v>
      </c>
      <c r="S334" s="411" t="s">
        <v>884</v>
      </c>
      <c r="T334" s="85" t="s">
        <v>404</v>
      </c>
      <c r="U334" s="85" t="s">
        <v>402</v>
      </c>
      <c r="V334" s="85" t="s">
        <v>402</v>
      </c>
      <c r="W334" s="85" t="s">
        <v>402</v>
      </c>
      <c r="X334" s="85" t="s">
        <v>402</v>
      </c>
      <c r="Y334" s="85" t="s">
        <v>404</v>
      </c>
      <c r="Z334" s="85" t="s">
        <v>355</v>
      </c>
      <c r="AA334" s="85" t="s">
        <v>402</v>
      </c>
      <c r="AB334" s="96"/>
      <c r="AC334" s="177" t="s">
        <v>402</v>
      </c>
      <c r="AD334" s="96"/>
      <c r="AE334" s="85" t="s">
        <v>385</v>
      </c>
      <c r="AF334" s="85" t="s">
        <v>385</v>
      </c>
      <c r="AG334" s="85" t="s">
        <v>385</v>
      </c>
      <c r="AH334" s="411" t="s">
        <v>1102</v>
      </c>
      <c r="AI334" s="85" t="s">
        <v>1566</v>
      </c>
      <c r="AJ334" s="85" t="s">
        <v>402</v>
      </c>
      <c r="AK334" s="85" t="s">
        <v>1232</v>
      </c>
      <c r="AL334" s="85" t="s">
        <v>354</v>
      </c>
      <c r="AM334" s="102" t="s">
        <v>1256</v>
      </c>
      <c r="AN334" s="85" t="s">
        <v>1567</v>
      </c>
      <c r="AO334" s="102" t="s">
        <v>1568</v>
      </c>
      <c r="AP334" s="85" t="s">
        <v>402</v>
      </c>
      <c r="AQ334" s="85" t="s">
        <v>1569</v>
      </c>
      <c r="AR334" s="128" t="s">
        <v>1363</v>
      </c>
      <c r="AS334" s="67"/>
    </row>
    <row r="335" spans="1:45" ht="15">
      <c r="A335" s="238"/>
      <c r="B335" s="70"/>
      <c r="C335" s="412"/>
      <c r="D335" s="74"/>
      <c r="E335" s="76"/>
      <c r="F335" s="76"/>
      <c r="G335" s="76"/>
      <c r="H335" s="76"/>
      <c r="I335" s="129"/>
      <c r="J335" s="418"/>
      <c r="K335" s="401"/>
      <c r="L335" s="82"/>
      <c r="M335" s="85" t="s">
        <v>1588</v>
      </c>
      <c r="N335" s="411"/>
      <c r="O335" s="85"/>
      <c r="P335" s="196" t="s">
        <v>1589</v>
      </c>
      <c r="Q335" s="85" t="s">
        <v>1590</v>
      </c>
      <c r="R335" s="85"/>
      <c r="S335" s="411"/>
      <c r="T335" s="85"/>
      <c r="U335" s="85"/>
      <c r="V335" s="85"/>
      <c r="W335" s="85"/>
      <c r="X335" s="85" t="s">
        <v>1591</v>
      </c>
      <c r="Y335" s="85" t="s">
        <v>403</v>
      </c>
      <c r="Z335" s="85" t="s">
        <v>402</v>
      </c>
      <c r="AA335" s="85"/>
      <c r="AB335" s="96"/>
      <c r="AC335" s="177"/>
      <c r="AD335" s="96"/>
      <c r="AE335" s="85"/>
      <c r="AF335" s="85"/>
      <c r="AG335" s="85"/>
      <c r="AH335" s="411"/>
      <c r="AI335" s="85" t="s">
        <v>460</v>
      </c>
      <c r="AJ335" s="85"/>
      <c r="AK335" s="85"/>
      <c r="AL335" s="85" t="s">
        <v>1592</v>
      </c>
      <c r="AM335" s="102"/>
      <c r="AN335" s="85"/>
      <c r="AO335" s="102" t="s">
        <v>402</v>
      </c>
      <c r="AP335" s="85"/>
      <c r="AQ335" s="85"/>
      <c r="AR335" s="128" t="s">
        <v>1363</v>
      </c>
      <c r="AS335" s="67"/>
    </row>
    <row r="336" spans="1:45" ht="15">
      <c r="A336" s="238"/>
      <c r="B336" s="70"/>
      <c r="C336" s="412"/>
      <c r="D336" s="74"/>
      <c r="E336" s="76"/>
      <c r="F336" s="76"/>
      <c r="G336" s="76"/>
      <c r="H336" s="76"/>
      <c r="I336" s="129"/>
      <c r="J336" s="418"/>
      <c r="K336" s="401"/>
      <c r="L336" s="82" t="s">
        <v>332</v>
      </c>
      <c r="M336" s="85" t="s">
        <v>395</v>
      </c>
      <c r="N336" s="411" t="s">
        <v>594</v>
      </c>
      <c r="O336" s="411"/>
      <c r="P336" s="411" t="s">
        <v>594</v>
      </c>
      <c r="Q336" s="85" t="s">
        <v>385</v>
      </c>
      <c r="R336" s="177" t="s">
        <v>826</v>
      </c>
      <c r="S336" s="482" t="s">
        <v>884</v>
      </c>
      <c r="T336" s="177" t="s">
        <v>402</v>
      </c>
      <c r="U336" s="177" t="s">
        <v>402</v>
      </c>
      <c r="V336" s="177" t="s">
        <v>402</v>
      </c>
      <c r="W336" s="177" t="s">
        <v>402</v>
      </c>
      <c r="X336" s="177" t="s">
        <v>402</v>
      </c>
      <c r="Y336" s="85" t="s">
        <v>403</v>
      </c>
      <c r="Z336" s="85" t="s">
        <v>402</v>
      </c>
      <c r="AA336" s="85" t="s">
        <v>402</v>
      </c>
      <c r="AB336" s="85"/>
      <c r="AC336" s="177" t="s">
        <v>972</v>
      </c>
      <c r="AD336" s="15" t="s">
        <v>1024</v>
      </c>
      <c r="AE336" s="85" t="s">
        <v>385</v>
      </c>
      <c r="AF336" s="85" t="s">
        <v>385</v>
      </c>
      <c r="AG336" s="85" t="s">
        <v>385</v>
      </c>
      <c r="AH336" s="482" t="s">
        <v>1102</v>
      </c>
      <c r="AI336" s="130" t="s">
        <v>460</v>
      </c>
      <c r="AJ336" s="130" t="s">
        <v>402</v>
      </c>
      <c r="AK336" s="85" t="s">
        <v>412</v>
      </c>
      <c r="AL336" s="85"/>
      <c r="AM336" s="102" t="s">
        <v>1256</v>
      </c>
      <c r="AN336" s="102"/>
      <c r="AO336" s="85"/>
      <c r="AP336" s="102"/>
      <c r="AQ336" s="85"/>
      <c r="AR336" s="128"/>
      <c r="AS336" s="67"/>
    </row>
    <row r="337" spans="1:45" ht="99">
      <c r="A337" s="238"/>
      <c r="B337" s="70" t="s">
        <v>356</v>
      </c>
      <c r="C337" s="412"/>
      <c r="D337" s="74" t="s">
        <v>658</v>
      </c>
      <c r="E337" s="76">
        <v>43574</v>
      </c>
      <c r="F337" s="78" t="s">
        <v>360</v>
      </c>
      <c r="G337" s="479">
        <v>43581</v>
      </c>
      <c r="H337" s="78" t="s">
        <v>355</v>
      </c>
      <c r="I337" s="129" t="s">
        <v>1594</v>
      </c>
      <c r="J337" s="418" t="s">
        <v>210</v>
      </c>
      <c r="K337" s="126" t="s">
        <v>1050</v>
      </c>
      <c r="L337" s="82" t="s">
        <v>332</v>
      </c>
      <c r="M337" s="85" t="s">
        <v>1565</v>
      </c>
      <c r="N337" s="411" t="s">
        <v>594</v>
      </c>
      <c r="O337" s="85" t="s">
        <v>680</v>
      </c>
      <c r="P337" s="411" t="s">
        <v>594</v>
      </c>
      <c r="Q337" s="85" t="s">
        <v>385</v>
      </c>
      <c r="R337" s="85" t="s">
        <v>826</v>
      </c>
      <c r="S337" s="411" t="s">
        <v>884</v>
      </c>
      <c r="T337" s="85" t="s">
        <v>404</v>
      </c>
      <c r="U337" s="85" t="s">
        <v>402</v>
      </c>
      <c r="V337" s="85" t="s">
        <v>402</v>
      </c>
      <c r="W337" s="85" t="s">
        <v>402</v>
      </c>
      <c r="X337" s="85" t="s">
        <v>402</v>
      </c>
      <c r="Y337" s="85" t="s">
        <v>404</v>
      </c>
      <c r="Z337" s="85" t="s">
        <v>355</v>
      </c>
      <c r="AA337" s="85" t="s">
        <v>402</v>
      </c>
      <c r="AB337" s="96"/>
      <c r="AC337" s="177" t="s">
        <v>402</v>
      </c>
      <c r="AD337" s="96"/>
      <c r="AE337" s="85" t="s">
        <v>385</v>
      </c>
      <c r="AF337" s="85" t="s">
        <v>385</v>
      </c>
      <c r="AG337" s="85" t="s">
        <v>385</v>
      </c>
      <c r="AH337" s="411" t="s">
        <v>1102</v>
      </c>
      <c r="AI337" s="85" t="s">
        <v>1566</v>
      </c>
      <c r="AJ337" s="85" t="s">
        <v>402</v>
      </c>
      <c r="AK337" s="85" t="s">
        <v>1232</v>
      </c>
      <c r="AL337" s="85" t="s">
        <v>354</v>
      </c>
      <c r="AM337" s="102" t="s">
        <v>1256</v>
      </c>
      <c r="AN337" s="85" t="s">
        <v>1567</v>
      </c>
      <c r="AO337" s="102" t="s">
        <v>1568</v>
      </c>
      <c r="AP337" s="85" t="s">
        <v>402</v>
      </c>
      <c r="AQ337" s="85" t="s">
        <v>1569</v>
      </c>
      <c r="AR337" s="128" t="s">
        <v>1363</v>
      </c>
      <c r="AS337" s="67"/>
    </row>
    <row r="338" spans="1:45" ht="15">
      <c r="A338" s="238"/>
      <c r="B338" s="70"/>
      <c r="C338" s="412"/>
      <c r="D338" s="74"/>
      <c r="E338" s="76"/>
      <c r="F338" s="76"/>
      <c r="G338" s="76"/>
      <c r="H338" s="76"/>
      <c r="I338" s="129"/>
      <c r="J338" s="418"/>
      <c r="K338" s="401"/>
      <c r="L338" s="82"/>
      <c r="M338" s="85" t="s">
        <v>1588</v>
      </c>
      <c r="N338" s="411"/>
      <c r="O338" s="85"/>
      <c r="P338" s="196" t="s">
        <v>1589</v>
      </c>
      <c r="Q338" s="85" t="s">
        <v>1590</v>
      </c>
      <c r="R338" s="85"/>
      <c r="S338" s="411"/>
      <c r="T338" s="85"/>
      <c r="U338" s="85"/>
      <c r="V338" s="85"/>
      <c r="W338" s="85"/>
      <c r="X338" s="85" t="s">
        <v>1591</v>
      </c>
      <c r="Y338" s="85" t="s">
        <v>403</v>
      </c>
      <c r="Z338" s="85" t="s">
        <v>402</v>
      </c>
      <c r="AA338" s="85"/>
      <c r="AB338" s="96"/>
      <c r="AC338" s="177"/>
      <c r="AD338" s="96"/>
      <c r="AE338" s="85"/>
      <c r="AF338" s="85"/>
      <c r="AG338" s="85"/>
      <c r="AH338" s="411"/>
      <c r="AI338" s="85" t="s">
        <v>460</v>
      </c>
      <c r="AJ338" s="85"/>
      <c r="AK338" s="85"/>
      <c r="AL338" s="85" t="s">
        <v>1592</v>
      </c>
      <c r="AM338" s="102"/>
      <c r="AN338" s="85"/>
      <c r="AO338" s="102" t="s">
        <v>402</v>
      </c>
      <c r="AP338" s="85"/>
      <c r="AQ338" s="85"/>
      <c r="AR338" s="128" t="s">
        <v>1363</v>
      </c>
      <c r="AS338" s="67"/>
    </row>
    <row r="339" spans="1:45" ht="15">
      <c r="A339" s="238"/>
      <c r="B339" s="70"/>
      <c r="C339" s="412"/>
      <c r="D339" s="74"/>
      <c r="E339" s="76"/>
      <c r="F339" s="76"/>
      <c r="G339" s="76"/>
      <c r="H339" s="76"/>
      <c r="I339" s="129"/>
      <c r="J339" s="418"/>
      <c r="K339" s="401"/>
      <c r="L339" s="82" t="s">
        <v>332</v>
      </c>
      <c r="M339" s="85" t="s">
        <v>395</v>
      </c>
      <c r="N339" s="411" t="s">
        <v>594</v>
      </c>
      <c r="O339" s="411"/>
      <c r="P339" s="411" t="s">
        <v>594</v>
      </c>
      <c r="Q339" s="85" t="s">
        <v>385</v>
      </c>
      <c r="R339" s="177" t="s">
        <v>826</v>
      </c>
      <c r="S339" s="482" t="s">
        <v>884</v>
      </c>
      <c r="T339" s="177" t="s">
        <v>402</v>
      </c>
      <c r="U339" s="177" t="s">
        <v>402</v>
      </c>
      <c r="V339" s="177" t="s">
        <v>402</v>
      </c>
      <c r="W339" s="177" t="s">
        <v>402</v>
      </c>
      <c r="X339" s="177" t="s">
        <v>402</v>
      </c>
      <c r="Y339" s="85" t="s">
        <v>403</v>
      </c>
      <c r="Z339" s="85" t="s">
        <v>402</v>
      </c>
      <c r="AA339" s="85" t="s">
        <v>402</v>
      </c>
      <c r="AB339" s="85"/>
      <c r="AC339" s="177" t="s">
        <v>972</v>
      </c>
      <c r="AD339" s="15" t="s">
        <v>1025</v>
      </c>
      <c r="AE339" s="85" t="s">
        <v>385</v>
      </c>
      <c r="AF339" s="85" t="s">
        <v>385</v>
      </c>
      <c r="AG339" s="85" t="s">
        <v>385</v>
      </c>
      <c r="AH339" s="482" t="s">
        <v>1102</v>
      </c>
      <c r="AI339" s="130" t="s">
        <v>460</v>
      </c>
      <c r="AJ339" s="130" t="s">
        <v>402</v>
      </c>
      <c r="AK339" s="85" t="s">
        <v>412</v>
      </c>
      <c r="AL339" s="85"/>
      <c r="AM339" s="102" t="s">
        <v>1256</v>
      </c>
      <c r="AN339" s="102"/>
      <c r="AO339" s="85"/>
      <c r="AP339" s="102"/>
      <c r="AQ339" s="85"/>
      <c r="AR339" s="128"/>
      <c r="AS339" s="67"/>
    </row>
    <row r="340" spans="1:45" ht="43">
      <c r="A340" s="238"/>
      <c r="B340" s="70" t="s">
        <v>356</v>
      </c>
      <c r="C340" s="412"/>
      <c r="D340" s="74" t="s">
        <v>658</v>
      </c>
      <c r="E340" s="76">
        <v>43574</v>
      </c>
      <c r="F340" s="78" t="s">
        <v>360</v>
      </c>
      <c r="G340" s="479">
        <v>43581</v>
      </c>
      <c r="H340" s="78" t="s">
        <v>355</v>
      </c>
      <c r="I340" s="129" t="s">
        <v>1595</v>
      </c>
      <c r="J340" s="418" t="s">
        <v>211</v>
      </c>
      <c r="K340" s="126" t="s">
        <v>876</v>
      </c>
      <c r="L340" s="82" t="s">
        <v>332</v>
      </c>
      <c r="M340" s="85" t="s">
        <v>1565</v>
      </c>
      <c r="N340" s="411" t="s">
        <v>594</v>
      </c>
      <c r="O340" s="85" t="s">
        <v>680</v>
      </c>
      <c r="P340" s="411" t="s">
        <v>594</v>
      </c>
      <c r="Q340" s="85" t="s">
        <v>385</v>
      </c>
      <c r="R340" s="85" t="s">
        <v>826</v>
      </c>
      <c r="S340" s="411" t="s">
        <v>884</v>
      </c>
      <c r="T340" s="85" t="s">
        <v>404</v>
      </c>
      <c r="U340" s="85" t="s">
        <v>402</v>
      </c>
      <c r="V340" s="85" t="s">
        <v>402</v>
      </c>
      <c r="W340" s="85" t="s">
        <v>402</v>
      </c>
      <c r="X340" s="85" t="s">
        <v>402</v>
      </c>
      <c r="Y340" s="85" t="s">
        <v>404</v>
      </c>
      <c r="Z340" s="85" t="s">
        <v>355</v>
      </c>
      <c r="AA340" s="85" t="s">
        <v>402</v>
      </c>
      <c r="AB340" s="96"/>
      <c r="AC340" s="177" t="s">
        <v>402</v>
      </c>
      <c r="AD340" s="96"/>
      <c r="AE340" s="85" t="s">
        <v>385</v>
      </c>
      <c r="AF340" s="85" t="s">
        <v>385</v>
      </c>
      <c r="AG340" s="85" t="s">
        <v>385</v>
      </c>
      <c r="AH340" s="411" t="s">
        <v>1102</v>
      </c>
      <c r="AI340" s="85" t="s">
        <v>1566</v>
      </c>
      <c r="AJ340" s="85" t="s">
        <v>402</v>
      </c>
      <c r="AK340" s="85" t="s">
        <v>1232</v>
      </c>
      <c r="AL340" s="85" t="s">
        <v>354</v>
      </c>
      <c r="AM340" s="102" t="s">
        <v>1256</v>
      </c>
      <c r="AN340" s="85" t="s">
        <v>1567</v>
      </c>
      <c r="AO340" s="102" t="s">
        <v>1568</v>
      </c>
      <c r="AP340" s="85" t="s">
        <v>402</v>
      </c>
      <c r="AQ340" s="85" t="s">
        <v>1569</v>
      </c>
      <c r="AR340" s="128" t="s">
        <v>1363</v>
      </c>
      <c r="AS340" s="67"/>
    </row>
    <row r="341" spans="1:45" ht="15">
      <c r="A341" s="238"/>
      <c r="B341" s="70"/>
      <c r="C341" s="412"/>
      <c r="D341" s="74"/>
      <c r="E341" s="76"/>
      <c r="F341" s="76"/>
      <c r="G341" s="76"/>
      <c r="H341" s="76"/>
      <c r="I341" s="129"/>
      <c r="J341" s="418"/>
      <c r="K341" s="401"/>
      <c r="L341" s="82"/>
      <c r="M341" s="85" t="s">
        <v>1588</v>
      </c>
      <c r="N341" s="411"/>
      <c r="O341" s="85"/>
      <c r="P341" s="196" t="s">
        <v>1589</v>
      </c>
      <c r="Q341" s="85" t="s">
        <v>1590</v>
      </c>
      <c r="R341" s="85"/>
      <c r="S341" s="411"/>
      <c r="T341" s="85"/>
      <c r="U341" s="85"/>
      <c r="V341" s="85"/>
      <c r="W341" s="85"/>
      <c r="X341" s="85" t="s">
        <v>1591</v>
      </c>
      <c r="Y341" s="85" t="s">
        <v>403</v>
      </c>
      <c r="Z341" s="85" t="s">
        <v>402</v>
      </c>
      <c r="AA341" s="85"/>
      <c r="AB341" s="96"/>
      <c r="AC341" s="177"/>
      <c r="AD341" s="96"/>
      <c r="AE341" s="85"/>
      <c r="AF341" s="85"/>
      <c r="AG341" s="85"/>
      <c r="AH341" s="411"/>
      <c r="AI341" s="85" t="s">
        <v>460</v>
      </c>
      <c r="AJ341" s="85"/>
      <c r="AK341" s="85"/>
      <c r="AL341" s="85" t="s">
        <v>1592</v>
      </c>
      <c r="AM341" s="102"/>
      <c r="AN341" s="85"/>
      <c r="AO341" s="102" t="s">
        <v>402</v>
      </c>
      <c r="AP341" s="85"/>
      <c r="AQ341" s="85"/>
      <c r="AR341" s="128" t="s">
        <v>1363</v>
      </c>
      <c r="AS341" s="67"/>
    </row>
    <row r="342" spans="1:45" ht="15">
      <c r="A342" s="238"/>
      <c r="B342" s="70"/>
      <c r="C342" s="412"/>
      <c r="D342" s="74"/>
      <c r="E342" s="76"/>
      <c r="F342" s="76"/>
      <c r="G342" s="76"/>
      <c r="H342" s="76"/>
      <c r="I342" s="129"/>
      <c r="J342" s="418"/>
      <c r="K342" s="401"/>
      <c r="L342" s="82" t="s">
        <v>332</v>
      </c>
      <c r="M342" s="85" t="s">
        <v>395</v>
      </c>
      <c r="N342" s="411" t="s">
        <v>594</v>
      </c>
      <c r="O342" s="411"/>
      <c r="P342" s="411" t="s">
        <v>594</v>
      </c>
      <c r="Q342" s="85" t="s">
        <v>385</v>
      </c>
      <c r="R342" s="177" t="s">
        <v>826</v>
      </c>
      <c r="S342" s="482" t="s">
        <v>884</v>
      </c>
      <c r="T342" s="177" t="s">
        <v>402</v>
      </c>
      <c r="U342" s="177" t="s">
        <v>402</v>
      </c>
      <c r="V342" s="177" t="s">
        <v>402</v>
      </c>
      <c r="W342" s="177" t="s">
        <v>402</v>
      </c>
      <c r="X342" s="177" t="s">
        <v>402</v>
      </c>
      <c r="Y342" s="85" t="s">
        <v>403</v>
      </c>
      <c r="Z342" s="85" t="s">
        <v>402</v>
      </c>
      <c r="AA342" s="85" t="s">
        <v>402</v>
      </c>
      <c r="AB342" s="85"/>
      <c r="AC342" s="177" t="s">
        <v>972</v>
      </c>
      <c r="AD342" s="15" t="s">
        <v>1027</v>
      </c>
      <c r="AE342" s="85" t="s">
        <v>385</v>
      </c>
      <c r="AF342" s="85" t="s">
        <v>385</v>
      </c>
      <c r="AG342" s="85" t="s">
        <v>385</v>
      </c>
      <c r="AH342" s="482" t="s">
        <v>1102</v>
      </c>
      <c r="AI342" s="130" t="s">
        <v>460</v>
      </c>
      <c r="AJ342" s="130" t="s">
        <v>402</v>
      </c>
      <c r="AK342" s="85" t="s">
        <v>412</v>
      </c>
      <c r="AL342" s="85"/>
      <c r="AM342" s="102" t="s">
        <v>1256</v>
      </c>
      <c r="AN342" s="102"/>
      <c r="AO342" s="85"/>
      <c r="AP342" s="102"/>
      <c r="AQ342" s="85"/>
      <c r="AR342" s="128"/>
      <c r="AS342" s="67"/>
    </row>
    <row r="343" spans="1:45" ht="99">
      <c r="A343" s="238"/>
      <c r="B343" s="70" t="s">
        <v>356</v>
      </c>
      <c r="C343" s="412"/>
      <c r="D343" s="74" t="s">
        <v>492</v>
      </c>
      <c r="E343" s="76">
        <v>43575</v>
      </c>
      <c r="F343" s="78" t="s">
        <v>363</v>
      </c>
      <c r="G343" s="479">
        <v>43583</v>
      </c>
      <c r="H343" s="78" t="s">
        <v>355</v>
      </c>
      <c r="I343" s="129" t="s">
        <v>1596</v>
      </c>
      <c r="J343" s="418" t="s">
        <v>212</v>
      </c>
      <c r="K343" s="126" t="s">
        <v>1597</v>
      </c>
      <c r="L343" s="82" t="s">
        <v>332</v>
      </c>
      <c r="M343" s="85" t="s">
        <v>1565</v>
      </c>
      <c r="N343" s="411" t="s">
        <v>594</v>
      </c>
      <c r="O343" s="85" t="s">
        <v>680</v>
      </c>
      <c r="P343" s="411" t="s">
        <v>594</v>
      </c>
      <c r="Q343" s="85" t="s">
        <v>385</v>
      </c>
      <c r="R343" s="85" t="s">
        <v>826</v>
      </c>
      <c r="S343" s="411" t="s">
        <v>884</v>
      </c>
      <c r="T343" s="85" t="s">
        <v>404</v>
      </c>
      <c r="U343" s="85" t="s">
        <v>402</v>
      </c>
      <c r="V343" s="85" t="s">
        <v>402</v>
      </c>
      <c r="W343" s="85" t="s">
        <v>402</v>
      </c>
      <c r="X343" s="85" t="s">
        <v>402</v>
      </c>
      <c r="Y343" s="85" t="s">
        <v>404</v>
      </c>
      <c r="Z343" s="85" t="s">
        <v>355</v>
      </c>
      <c r="AA343" s="85" t="s">
        <v>402</v>
      </c>
      <c r="AB343" s="96"/>
      <c r="AC343" s="177" t="s">
        <v>402</v>
      </c>
      <c r="AD343" s="96"/>
      <c r="AE343" s="85" t="s">
        <v>385</v>
      </c>
      <c r="AF343" s="85" t="s">
        <v>385</v>
      </c>
      <c r="AG343" s="85" t="s">
        <v>385</v>
      </c>
      <c r="AH343" s="411" t="s">
        <v>1102</v>
      </c>
      <c r="AI343" s="85" t="s">
        <v>1566</v>
      </c>
      <c r="AJ343" s="85" t="s">
        <v>402</v>
      </c>
      <c r="AK343" s="85" t="s">
        <v>1232</v>
      </c>
      <c r="AL343" s="85" t="s">
        <v>354</v>
      </c>
      <c r="AM343" s="102" t="s">
        <v>1256</v>
      </c>
      <c r="AN343" s="85" t="s">
        <v>1567</v>
      </c>
      <c r="AO343" s="102" t="s">
        <v>1568</v>
      </c>
      <c r="AP343" s="85" t="s">
        <v>402</v>
      </c>
      <c r="AQ343" s="85" t="s">
        <v>1569</v>
      </c>
      <c r="AR343" s="128" t="s">
        <v>1363</v>
      </c>
      <c r="AS343" s="67"/>
    </row>
    <row r="344" spans="1:45" ht="15">
      <c r="A344" s="238"/>
      <c r="B344" s="70"/>
      <c r="C344" s="412"/>
      <c r="D344" s="74"/>
      <c r="E344" s="104"/>
      <c r="F344" s="104"/>
      <c r="G344" s="104"/>
      <c r="H344" s="104"/>
      <c r="I344" s="129"/>
      <c r="J344" s="401"/>
      <c r="K344" s="384"/>
      <c r="L344" s="84"/>
      <c r="M344" s="85" t="s">
        <v>1588</v>
      </c>
      <c r="N344" s="69" t="s">
        <v>1598</v>
      </c>
      <c r="O344" s="85" t="s">
        <v>1599</v>
      </c>
      <c r="P344" s="15" t="s">
        <v>1589</v>
      </c>
      <c r="Q344" s="85"/>
      <c r="R344" s="85" t="s">
        <v>1600</v>
      </c>
      <c r="S344" s="69" t="s">
        <v>1601</v>
      </c>
      <c r="T344" s="85" t="s">
        <v>402</v>
      </c>
      <c r="U344" s="85"/>
      <c r="V344" s="85"/>
      <c r="W344" s="85"/>
      <c r="X344" s="85"/>
      <c r="Y344" s="85" t="s">
        <v>924</v>
      </c>
      <c r="Z344" s="85" t="s">
        <v>402</v>
      </c>
      <c r="AA344" s="85" t="s">
        <v>1602</v>
      </c>
      <c r="AB344" s="96"/>
      <c r="AC344" s="177" t="s">
        <v>972</v>
      </c>
      <c r="AD344" s="15" t="s">
        <v>1029</v>
      </c>
      <c r="AE344" s="85" t="s">
        <v>354</v>
      </c>
      <c r="AF344" s="85"/>
      <c r="AG344" s="85"/>
      <c r="AH344" s="69" t="s">
        <v>1603</v>
      </c>
      <c r="AI344" s="130" t="s">
        <v>1604</v>
      </c>
      <c r="AJ344" s="85" t="s">
        <v>1605</v>
      </c>
      <c r="AK344" s="85"/>
      <c r="AL344" s="85" t="s">
        <v>385</v>
      </c>
      <c r="AM344" s="102" t="s">
        <v>1606</v>
      </c>
      <c r="AN344" s="85" t="s">
        <v>1607</v>
      </c>
      <c r="AO344" s="102" t="s">
        <v>402</v>
      </c>
      <c r="AP344" s="85"/>
      <c r="AQ344" s="85" t="s">
        <v>1608</v>
      </c>
      <c r="AR344" s="128"/>
      <c r="AS344" s="67"/>
    </row>
    <row r="345" spans="1:45" ht="15">
      <c r="A345" s="238"/>
      <c r="B345" s="70"/>
      <c r="C345" s="412"/>
      <c r="D345" s="74"/>
      <c r="E345" s="104"/>
      <c r="F345" s="104"/>
      <c r="G345" s="104"/>
      <c r="H345" s="104"/>
      <c r="I345" s="129"/>
      <c r="J345" s="401"/>
      <c r="K345" s="401"/>
      <c r="L345" s="82" t="s">
        <v>332</v>
      </c>
      <c r="M345" s="85" t="s">
        <v>395</v>
      </c>
      <c r="N345" s="411" t="s">
        <v>594</v>
      </c>
      <c r="O345" s="411"/>
      <c r="P345" s="411" t="s">
        <v>594</v>
      </c>
      <c r="Q345" s="85" t="s">
        <v>385</v>
      </c>
      <c r="R345" s="177" t="s">
        <v>826</v>
      </c>
      <c r="S345" s="482" t="s">
        <v>884</v>
      </c>
      <c r="T345" s="177" t="s">
        <v>402</v>
      </c>
      <c r="U345" s="177" t="s">
        <v>402</v>
      </c>
      <c r="V345" s="177" t="s">
        <v>402</v>
      </c>
      <c r="W345" s="177" t="s">
        <v>402</v>
      </c>
      <c r="X345" s="177" t="s">
        <v>402</v>
      </c>
      <c r="Y345" s="85" t="s">
        <v>403</v>
      </c>
      <c r="Z345" s="85" t="s">
        <v>402</v>
      </c>
      <c r="AA345" s="85" t="s">
        <v>402</v>
      </c>
      <c r="AB345" s="85"/>
      <c r="AC345" s="177" t="s">
        <v>972</v>
      </c>
      <c r="AD345" s="15" t="s">
        <v>1029</v>
      </c>
      <c r="AE345" s="85" t="s">
        <v>385</v>
      </c>
      <c r="AF345" s="85" t="s">
        <v>385</v>
      </c>
      <c r="AG345" s="85" t="s">
        <v>385</v>
      </c>
      <c r="AH345" s="482" t="s">
        <v>1102</v>
      </c>
      <c r="AI345" s="130" t="s">
        <v>460</v>
      </c>
      <c r="AJ345" s="130" t="s">
        <v>402</v>
      </c>
      <c r="AK345" s="85" t="s">
        <v>412</v>
      </c>
      <c r="AL345" s="85"/>
      <c r="AM345" s="102" t="s">
        <v>1256</v>
      </c>
      <c r="AN345" s="102"/>
      <c r="AO345" s="85"/>
      <c r="AP345" s="102"/>
      <c r="AQ345" s="85"/>
      <c r="AR345" s="128"/>
      <c r="AS345" s="67"/>
    </row>
    <row r="346" spans="1:45" ht="43">
      <c r="A346" s="379"/>
      <c r="B346" s="70" t="s">
        <v>356</v>
      </c>
      <c r="C346" s="72">
        <v>43444</v>
      </c>
      <c r="D346" s="74" t="s">
        <v>492</v>
      </c>
      <c r="E346" s="76">
        <v>43575</v>
      </c>
      <c r="F346" s="78" t="s">
        <v>363</v>
      </c>
      <c r="G346" s="479">
        <v>43583</v>
      </c>
      <c r="H346" s="78" t="s">
        <v>355</v>
      </c>
      <c r="I346" s="129" t="s">
        <v>1609</v>
      </c>
      <c r="J346" s="380" t="s">
        <v>213</v>
      </c>
      <c r="K346" s="126" t="s">
        <v>851</v>
      </c>
      <c r="L346" s="84" t="s">
        <v>320</v>
      </c>
      <c r="M346" s="85" t="s">
        <v>1565</v>
      </c>
      <c r="N346" s="614" t="s">
        <v>594</v>
      </c>
      <c r="O346" s="613"/>
      <c r="P346" s="15" t="s">
        <v>1589</v>
      </c>
      <c r="Q346" s="85" t="s">
        <v>355</v>
      </c>
      <c r="R346" s="177" t="s">
        <v>836</v>
      </c>
      <c r="S346" s="91" t="s">
        <v>884</v>
      </c>
      <c r="T346" s="85" t="s">
        <v>404</v>
      </c>
      <c r="U346" s="85" t="s">
        <v>354</v>
      </c>
      <c r="V346" s="85" t="s">
        <v>402</v>
      </c>
      <c r="W346" s="85" t="s">
        <v>402</v>
      </c>
      <c r="X346" s="85" t="s">
        <v>404</v>
      </c>
      <c r="Y346" s="85" t="s">
        <v>404</v>
      </c>
      <c r="Z346" s="85" t="s">
        <v>402</v>
      </c>
      <c r="AA346" s="85" t="s">
        <v>355</v>
      </c>
      <c r="AB346" s="96"/>
      <c r="AC346" s="177" t="s">
        <v>1610</v>
      </c>
      <c r="AD346" s="91" t="s">
        <v>594</v>
      </c>
      <c r="AE346" s="85" t="s">
        <v>354</v>
      </c>
      <c r="AF346" s="85" t="s">
        <v>385</v>
      </c>
      <c r="AG346" s="85" t="s">
        <v>385</v>
      </c>
      <c r="AH346" s="91" t="s">
        <v>1102</v>
      </c>
      <c r="AI346" s="85" t="s">
        <v>1611</v>
      </c>
      <c r="AJ346" s="177" t="s">
        <v>1612</v>
      </c>
      <c r="AK346" s="490" t="s">
        <v>1237</v>
      </c>
      <c r="AL346" s="491" t="s">
        <v>354</v>
      </c>
      <c r="AM346" s="96"/>
      <c r="AN346" s="85" t="s">
        <v>529</v>
      </c>
      <c r="AO346" s="85" t="s">
        <v>402</v>
      </c>
      <c r="AP346" s="85" t="s">
        <v>402</v>
      </c>
      <c r="AQ346" s="85" t="s">
        <v>1613</v>
      </c>
      <c r="AR346" s="128" t="s">
        <v>1614</v>
      </c>
      <c r="AS346" s="67"/>
    </row>
    <row r="347" spans="1:45" ht="15">
      <c r="A347" s="379"/>
      <c r="B347" s="70"/>
      <c r="C347" s="72"/>
      <c r="D347" s="74"/>
      <c r="E347" s="104"/>
      <c r="F347" s="104"/>
      <c r="G347" s="104"/>
      <c r="H347" s="104"/>
      <c r="I347" s="129"/>
      <c r="J347" s="380"/>
      <c r="K347" s="386"/>
      <c r="L347" s="84"/>
      <c r="M347" s="85" t="s">
        <v>1588</v>
      </c>
      <c r="N347" s="85" t="s">
        <v>1615</v>
      </c>
      <c r="O347" s="69" t="s">
        <v>1616</v>
      </c>
      <c r="P347" s="96"/>
      <c r="Q347" s="85" t="s">
        <v>385</v>
      </c>
      <c r="R347" s="177"/>
      <c r="S347" s="85"/>
      <c r="T347" s="85" t="s">
        <v>402</v>
      </c>
      <c r="U347" s="85" t="s">
        <v>402</v>
      </c>
      <c r="V347" s="85"/>
      <c r="W347" s="85"/>
      <c r="X347" s="85" t="s">
        <v>403</v>
      </c>
      <c r="Y347" s="85" t="s">
        <v>924</v>
      </c>
      <c r="Z347" s="85"/>
      <c r="AA347" s="85" t="s">
        <v>402</v>
      </c>
      <c r="AB347" s="96"/>
      <c r="AC347" s="177" t="s">
        <v>972</v>
      </c>
      <c r="AD347" s="15" t="s">
        <v>1030</v>
      </c>
      <c r="AE347" s="85"/>
      <c r="AF347" s="85"/>
      <c r="AG347" s="85"/>
      <c r="AH347" s="69" t="s">
        <v>1617</v>
      </c>
      <c r="AI347" s="130" t="s">
        <v>1604</v>
      </c>
      <c r="AJ347" s="177" t="s">
        <v>1618</v>
      </c>
      <c r="AK347" s="490" t="s">
        <v>412</v>
      </c>
      <c r="AL347" s="491" t="s">
        <v>385</v>
      </c>
      <c r="AM347" s="102" t="s">
        <v>1606</v>
      </c>
      <c r="AN347" s="85" t="s">
        <v>1607</v>
      </c>
      <c r="AO347" s="85"/>
      <c r="AP347" s="85"/>
      <c r="AQ347" s="85" t="s">
        <v>1608</v>
      </c>
      <c r="AR347" s="128"/>
      <c r="AS347" s="67"/>
    </row>
    <row r="348" spans="1:45" ht="15">
      <c r="A348" s="379"/>
      <c r="B348" s="70"/>
      <c r="C348" s="72"/>
      <c r="D348" s="74"/>
      <c r="E348" s="104"/>
      <c r="F348" s="104"/>
      <c r="G348" s="104"/>
      <c r="H348" s="104"/>
      <c r="I348" s="129"/>
      <c r="J348" s="380"/>
      <c r="K348" s="380"/>
      <c r="L348" s="82" t="s">
        <v>332</v>
      </c>
      <c r="M348" s="85" t="s">
        <v>395</v>
      </c>
      <c r="N348" s="411" t="s">
        <v>594</v>
      </c>
      <c r="O348" s="411"/>
      <c r="P348" s="411" t="s">
        <v>594</v>
      </c>
      <c r="Q348" s="85" t="s">
        <v>385</v>
      </c>
      <c r="R348" s="177" t="s">
        <v>826</v>
      </c>
      <c r="S348" s="482" t="s">
        <v>884</v>
      </c>
      <c r="T348" s="177" t="s">
        <v>402</v>
      </c>
      <c r="U348" s="177" t="s">
        <v>402</v>
      </c>
      <c r="V348" s="177" t="s">
        <v>402</v>
      </c>
      <c r="W348" s="177" t="s">
        <v>402</v>
      </c>
      <c r="X348" s="177" t="s">
        <v>402</v>
      </c>
      <c r="Y348" s="85" t="s">
        <v>403</v>
      </c>
      <c r="Z348" s="85" t="s">
        <v>402</v>
      </c>
      <c r="AA348" s="85" t="s">
        <v>402</v>
      </c>
      <c r="AB348" s="85"/>
      <c r="AC348" s="177" t="s">
        <v>972</v>
      </c>
      <c r="AD348" s="15" t="s">
        <v>1030</v>
      </c>
      <c r="AE348" s="85" t="s">
        <v>385</v>
      </c>
      <c r="AF348" s="85" t="s">
        <v>385</v>
      </c>
      <c r="AG348" s="85" t="s">
        <v>385</v>
      </c>
      <c r="AH348" s="482" t="s">
        <v>1102</v>
      </c>
      <c r="AI348" s="130" t="s">
        <v>460</v>
      </c>
      <c r="AJ348" s="130" t="s">
        <v>402</v>
      </c>
      <c r="AK348" s="85" t="s">
        <v>412</v>
      </c>
      <c r="AL348" s="85"/>
      <c r="AM348" s="102" t="s">
        <v>1256</v>
      </c>
      <c r="AN348" s="102"/>
      <c r="AO348" s="85"/>
      <c r="AP348" s="102"/>
      <c r="AQ348" s="85"/>
      <c r="AR348" s="128"/>
      <c r="AS348" s="67"/>
    </row>
    <row r="349" spans="1:45" ht="15">
      <c r="A349" s="379"/>
      <c r="B349" s="70" t="s">
        <v>356</v>
      </c>
      <c r="C349" s="72">
        <v>43444</v>
      </c>
      <c r="D349" s="74" t="s">
        <v>492</v>
      </c>
      <c r="E349" s="76">
        <v>43575</v>
      </c>
      <c r="F349" s="78" t="s">
        <v>363</v>
      </c>
      <c r="G349" s="76">
        <v>43581</v>
      </c>
      <c r="H349" s="78" t="s">
        <v>355</v>
      </c>
      <c r="I349" s="129" t="s">
        <v>1619</v>
      </c>
      <c r="J349" s="380" t="s">
        <v>214</v>
      </c>
      <c r="K349" s="386"/>
      <c r="L349" s="84" t="s">
        <v>320</v>
      </c>
      <c r="M349" s="85" t="s">
        <v>1565</v>
      </c>
      <c r="N349" s="614" t="s">
        <v>594</v>
      </c>
      <c r="O349" s="613"/>
      <c r="P349" s="96"/>
      <c r="Q349" s="85" t="s">
        <v>355</v>
      </c>
      <c r="R349" s="177" t="s">
        <v>836</v>
      </c>
      <c r="S349" s="91" t="s">
        <v>884</v>
      </c>
      <c r="T349" s="85" t="s">
        <v>404</v>
      </c>
      <c r="U349" s="85" t="s">
        <v>354</v>
      </c>
      <c r="V349" s="85" t="s">
        <v>402</v>
      </c>
      <c r="W349" s="85" t="s">
        <v>402</v>
      </c>
      <c r="X349" s="85" t="s">
        <v>404</v>
      </c>
      <c r="Y349" s="85" t="s">
        <v>404</v>
      </c>
      <c r="Z349" s="85" t="s">
        <v>402</v>
      </c>
      <c r="AA349" s="85" t="s">
        <v>355</v>
      </c>
      <c r="AB349" s="96"/>
      <c r="AC349" s="177" t="s">
        <v>1610</v>
      </c>
      <c r="AD349" s="91" t="s">
        <v>594</v>
      </c>
      <c r="AE349" s="85" t="s">
        <v>354</v>
      </c>
      <c r="AF349" s="85" t="s">
        <v>385</v>
      </c>
      <c r="AG349" s="85" t="s">
        <v>385</v>
      </c>
      <c r="AH349" s="91" t="s">
        <v>1102</v>
      </c>
      <c r="AI349" s="85" t="s">
        <v>1611</v>
      </c>
      <c r="AJ349" s="177" t="s">
        <v>1612</v>
      </c>
      <c r="AK349" s="490" t="s">
        <v>1237</v>
      </c>
      <c r="AL349" s="491" t="s">
        <v>354</v>
      </c>
      <c r="AM349" s="96"/>
      <c r="AN349" s="85" t="s">
        <v>529</v>
      </c>
      <c r="AO349" s="85" t="s">
        <v>402</v>
      </c>
      <c r="AP349" s="85" t="s">
        <v>402</v>
      </c>
      <c r="AQ349" s="85" t="s">
        <v>1620</v>
      </c>
      <c r="AR349" s="128" t="s">
        <v>725</v>
      </c>
      <c r="AS349" s="67"/>
    </row>
    <row r="350" spans="1:45" ht="15">
      <c r="A350" s="379"/>
      <c r="B350" s="70"/>
      <c r="C350" s="72"/>
      <c r="D350" s="74"/>
      <c r="E350" s="104"/>
      <c r="F350" s="104"/>
      <c r="G350" s="104"/>
      <c r="H350" s="104"/>
      <c r="I350" s="129"/>
      <c r="J350" s="380"/>
      <c r="K350" s="386"/>
      <c r="L350" s="84"/>
      <c r="M350" s="85" t="s">
        <v>1621</v>
      </c>
      <c r="N350" s="15" t="s">
        <v>597</v>
      </c>
      <c r="O350" s="85" t="s">
        <v>511</v>
      </c>
      <c r="P350" s="85" t="s">
        <v>402</v>
      </c>
      <c r="Q350" s="85" t="s">
        <v>385</v>
      </c>
      <c r="R350" s="177" t="s">
        <v>402</v>
      </c>
      <c r="S350" s="85" t="s">
        <v>680</v>
      </c>
      <c r="T350" s="85" t="s">
        <v>402</v>
      </c>
      <c r="U350" s="85" t="s">
        <v>402</v>
      </c>
      <c r="V350" s="85"/>
      <c r="W350" s="85"/>
      <c r="X350" s="85" t="s">
        <v>402</v>
      </c>
      <c r="Y350" s="85" t="s">
        <v>924</v>
      </c>
      <c r="Z350" s="85" t="s">
        <v>402</v>
      </c>
      <c r="AA350" s="85" t="s">
        <v>402</v>
      </c>
      <c r="AB350" s="96"/>
      <c r="AC350" s="177" t="s">
        <v>974</v>
      </c>
      <c r="AD350" s="15" t="s">
        <v>597</v>
      </c>
      <c r="AE350" s="85"/>
      <c r="AF350" s="85"/>
      <c r="AG350" s="85"/>
      <c r="AH350" s="85" t="s">
        <v>680</v>
      </c>
      <c r="AI350" s="85" t="s">
        <v>530</v>
      </c>
      <c r="AJ350" s="177" t="s">
        <v>402</v>
      </c>
      <c r="AK350" s="177" t="s">
        <v>402</v>
      </c>
      <c r="AL350" s="177" t="s">
        <v>402</v>
      </c>
      <c r="AM350" s="177" t="s">
        <v>402</v>
      </c>
      <c r="AN350" s="177" t="s">
        <v>402</v>
      </c>
      <c r="AO350" s="177" t="s">
        <v>402</v>
      </c>
      <c r="AP350" s="85"/>
      <c r="AQ350" s="85" t="s">
        <v>1622</v>
      </c>
      <c r="AR350" s="128"/>
      <c r="AS350" s="67"/>
    </row>
    <row r="351" spans="1:45" ht="15">
      <c r="A351" s="379"/>
      <c r="B351" s="70"/>
      <c r="C351" s="72"/>
      <c r="D351" s="74"/>
      <c r="E351" s="104"/>
      <c r="F351" s="104"/>
      <c r="G351" s="104"/>
      <c r="H351" s="104"/>
      <c r="I351" s="129"/>
      <c r="J351" s="380"/>
      <c r="K351" s="386"/>
      <c r="L351" s="84"/>
      <c r="M351" s="85" t="s">
        <v>385</v>
      </c>
      <c r="N351" s="15" t="s">
        <v>597</v>
      </c>
      <c r="O351" s="85"/>
      <c r="P351" s="85"/>
      <c r="Q351" s="85" t="s">
        <v>385</v>
      </c>
      <c r="R351" s="177"/>
      <c r="S351" s="85"/>
      <c r="T351" s="85" t="s">
        <v>402</v>
      </c>
      <c r="U351" s="85" t="s">
        <v>402</v>
      </c>
      <c r="V351" s="85" t="s">
        <v>402</v>
      </c>
      <c r="W351" s="85" t="s">
        <v>402</v>
      </c>
      <c r="X351" s="85" t="s">
        <v>402</v>
      </c>
      <c r="Y351" s="85" t="s">
        <v>924</v>
      </c>
      <c r="Z351" s="85" t="s">
        <v>402</v>
      </c>
      <c r="AA351" s="85" t="s">
        <v>402</v>
      </c>
      <c r="AB351" s="96"/>
      <c r="AC351" s="177" t="s">
        <v>974</v>
      </c>
      <c r="AD351" s="15" t="s">
        <v>597</v>
      </c>
      <c r="AE351" s="85" t="s">
        <v>354</v>
      </c>
      <c r="AF351" s="85" t="s">
        <v>385</v>
      </c>
      <c r="AG351" s="85" t="s">
        <v>385</v>
      </c>
      <c r="AH351" s="85"/>
      <c r="AI351" s="85" t="s">
        <v>530</v>
      </c>
      <c r="AJ351" s="177"/>
      <c r="AK351" s="177" t="s">
        <v>402</v>
      </c>
      <c r="AL351" s="177" t="s">
        <v>385</v>
      </c>
      <c r="AM351" s="177"/>
      <c r="AN351" s="177"/>
      <c r="AO351" s="177"/>
      <c r="AP351" s="85"/>
      <c r="AQ351" s="85"/>
      <c r="AR351" s="128"/>
      <c r="AS351" s="67"/>
    </row>
    <row r="352" spans="1:45" ht="57">
      <c r="A352" s="379"/>
      <c r="B352" s="70" t="s">
        <v>356</v>
      </c>
      <c r="C352" s="72">
        <v>43444</v>
      </c>
      <c r="D352" s="74" t="s">
        <v>492</v>
      </c>
      <c r="E352" s="76">
        <v>43575</v>
      </c>
      <c r="F352" s="78" t="s">
        <v>363</v>
      </c>
      <c r="G352" s="76">
        <v>43581</v>
      </c>
      <c r="H352" s="78" t="s">
        <v>355</v>
      </c>
      <c r="I352" s="129" t="s">
        <v>1623</v>
      </c>
      <c r="J352" s="380" t="s">
        <v>215</v>
      </c>
      <c r="K352" s="126" t="s">
        <v>994</v>
      </c>
      <c r="L352" s="84" t="s">
        <v>320</v>
      </c>
      <c r="M352" s="85" t="s">
        <v>1565</v>
      </c>
      <c r="N352" s="614" t="s">
        <v>594</v>
      </c>
      <c r="O352" s="613"/>
      <c r="P352" s="96"/>
      <c r="Q352" s="85" t="s">
        <v>355</v>
      </c>
      <c r="R352" s="177" t="s">
        <v>836</v>
      </c>
      <c r="S352" s="91" t="s">
        <v>884</v>
      </c>
      <c r="T352" s="85" t="s">
        <v>404</v>
      </c>
      <c r="U352" s="85" t="s">
        <v>354</v>
      </c>
      <c r="V352" s="85" t="s">
        <v>402</v>
      </c>
      <c r="W352" s="85" t="s">
        <v>402</v>
      </c>
      <c r="X352" s="85" t="s">
        <v>404</v>
      </c>
      <c r="Y352" s="85" t="s">
        <v>404</v>
      </c>
      <c r="Z352" s="85" t="s">
        <v>402</v>
      </c>
      <c r="AA352" s="85" t="s">
        <v>355</v>
      </c>
      <c r="AB352" s="96"/>
      <c r="AC352" s="177" t="s">
        <v>1610</v>
      </c>
      <c r="AD352" s="91" t="s">
        <v>594</v>
      </c>
      <c r="AE352" s="85" t="s">
        <v>354</v>
      </c>
      <c r="AF352" s="85" t="s">
        <v>385</v>
      </c>
      <c r="AG352" s="85" t="s">
        <v>385</v>
      </c>
      <c r="AH352" s="91" t="s">
        <v>1102</v>
      </c>
      <c r="AI352" s="85" t="s">
        <v>1611</v>
      </c>
      <c r="AJ352" s="177" t="s">
        <v>1612</v>
      </c>
      <c r="AK352" s="490" t="s">
        <v>1237</v>
      </c>
      <c r="AL352" s="491" t="s">
        <v>354</v>
      </c>
      <c r="AM352" s="96"/>
      <c r="AN352" s="85" t="s">
        <v>529</v>
      </c>
      <c r="AO352" s="85" t="s">
        <v>402</v>
      </c>
      <c r="AP352" s="85" t="s">
        <v>402</v>
      </c>
      <c r="AQ352" s="85" t="s">
        <v>1624</v>
      </c>
      <c r="AR352" s="128" t="s">
        <v>1106</v>
      </c>
      <c r="AS352" s="67"/>
    </row>
    <row r="353" spans="1:45" ht="15">
      <c r="A353" s="379"/>
      <c r="B353" s="70"/>
      <c r="C353" s="72"/>
      <c r="D353" s="74"/>
      <c r="E353" s="104"/>
      <c r="F353" s="104"/>
      <c r="G353" s="104"/>
      <c r="H353" s="104"/>
      <c r="I353" s="129"/>
      <c r="J353" s="380"/>
      <c r="K353" s="386"/>
      <c r="L353" s="84"/>
      <c r="M353" s="85" t="s">
        <v>1621</v>
      </c>
      <c r="N353" s="15" t="s">
        <v>598</v>
      </c>
      <c r="O353" s="85" t="s">
        <v>511</v>
      </c>
      <c r="P353" s="85" t="s">
        <v>402</v>
      </c>
      <c r="Q353" s="85" t="s">
        <v>385</v>
      </c>
      <c r="R353" s="177" t="s">
        <v>402</v>
      </c>
      <c r="S353" s="85" t="s">
        <v>680</v>
      </c>
      <c r="T353" s="85" t="s">
        <v>402</v>
      </c>
      <c r="U353" s="85" t="s">
        <v>402</v>
      </c>
      <c r="V353" s="85"/>
      <c r="W353" s="85"/>
      <c r="X353" s="85" t="s">
        <v>402</v>
      </c>
      <c r="Y353" s="85" t="s">
        <v>924</v>
      </c>
      <c r="Z353" s="85"/>
      <c r="AA353" s="85" t="s">
        <v>402</v>
      </c>
      <c r="AB353" s="96"/>
      <c r="AC353" s="177" t="s">
        <v>974</v>
      </c>
      <c r="AD353" s="15" t="s">
        <v>598</v>
      </c>
      <c r="AE353" s="85"/>
      <c r="AF353" s="85"/>
      <c r="AG353" s="85"/>
      <c r="AH353" s="85" t="s">
        <v>680</v>
      </c>
      <c r="AI353" s="85" t="s">
        <v>530</v>
      </c>
      <c r="AJ353" s="177" t="s">
        <v>402</v>
      </c>
      <c r="AK353" s="490" t="s">
        <v>402</v>
      </c>
      <c r="AL353" s="491" t="s">
        <v>402</v>
      </c>
      <c r="AM353" s="492" t="s">
        <v>402</v>
      </c>
      <c r="AN353" s="85" t="s">
        <v>402</v>
      </c>
      <c r="AO353" s="85" t="s">
        <v>402</v>
      </c>
      <c r="AP353" s="85"/>
      <c r="AQ353" s="85" t="s">
        <v>1622</v>
      </c>
      <c r="AR353" s="128"/>
      <c r="AS353" s="67"/>
    </row>
    <row r="354" spans="1:45" ht="15">
      <c r="A354" s="379"/>
      <c r="B354" s="70"/>
      <c r="C354" s="72"/>
      <c r="D354" s="74"/>
      <c r="E354" s="104"/>
      <c r="F354" s="104"/>
      <c r="G354" s="104"/>
      <c r="H354" s="104"/>
      <c r="I354" s="129"/>
      <c r="J354" s="380"/>
      <c r="K354" s="386"/>
      <c r="L354" s="84"/>
      <c r="M354" s="85" t="s">
        <v>385</v>
      </c>
      <c r="N354" s="15" t="s">
        <v>598</v>
      </c>
      <c r="O354" s="85"/>
      <c r="P354" s="85"/>
      <c r="Q354" s="85" t="s">
        <v>385</v>
      </c>
      <c r="R354" s="177"/>
      <c r="S354" s="85"/>
      <c r="T354" s="85" t="s">
        <v>402</v>
      </c>
      <c r="U354" s="85" t="s">
        <v>402</v>
      </c>
      <c r="V354" s="85" t="s">
        <v>402</v>
      </c>
      <c r="W354" s="85" t="s">
        <v>402</v>
      </c>
      <c r="X354" s="85" t="s">
        <v>402</v>
      </c>
      <c r="Y354" s="85" t="s">
        <v>924</v>
      </c>
      <c r="Z354" s="85" t="s">
        <v>402</v>
      </c>
      <c r="AA354" s="85" t="s">
        <v>402</v>
      </c>
      <c r="AB354" s="96"/>
      <c r="AC354" s="177" t="s">
        <v>974</v>
      </c>
      <c r="AD354" s="15" t="s">
        <v>598</v>
      </c>
      <c r="AE354" s="85" t="s">
        <v>354</v>
      </c>
      <c r="AF354" s="85" t="s">
        <v>385</v>
      </c>
      <c r="AG354" s="85" t="s">
        <v>385</v>
      </c>
      <c r="AH354" s="85"/>
      <c r="AI354" s="85" t="s">
        <v>530</v>
      </c>
      <c r="AJ354" s="177"/>
      <c r="AK354" s="490" t="s">
        <v>402</v>
      </c>
      <c r="AL354" s="177" t="s">
        <v>385</v>
      </c>
      <c r="AM354" s="492"/>
      <c r="AN354" s="85"/>
      <c r="AO354" s="85"/>
      <c r="AP354" s="85"/>
      <c r="AQ354" s="85"/>
      <c r="AR354" s="128"/>
      <c r="AS354" s="67"/>
    </row>
    <row r="355" spans="1:45" ht="15.75" customHeight="1">
      <c r="A355" s="379"/>
      <c r="B355" s="70" t="s">
        <v>356</v>
      </c>
      <c r="C355" s="72">
        <v>43444</v>
      </c>
      <c r="D355" s="74" t="s">
        <v>363</v>
      </c>
      <c r="E355" s="76">
        <v>43566</v>
      </c>
      <c r="F355" s="78" t="s">
        <v>360</v>
      </c>
      <c r="G355" s="76">
        <v>43583</v>
      </c>
      <c r="H355" s="78" t="s">
        <v>355</v>
      </c>
      <c r="I355" s="129" t="s">
        <v>1625</v>
      </c>
      <c r="J355" s="380" t="s">
        <v>216</v>
      </c>
      <c r="K355" s="386"/>
      <c r="L355" s="84" t="s">
        <v>320</v>
      </c>
      <c r="M355" s="85" t="s">
        <v>1565</v>
      </c>
      <c r="N355" s="614" t="s">
        <v>594</v>
      </c>
      <c r="O355" s="613"/>
      <c r="P355" s="96"/>
      <c r="Q355" s="85" t="s">
        <v>355</v>
      </c>
      <c r="R355" s="177" t="s">
        <v>836</v>
      </c>
      <c r="S355" s="91" t="s">
        <v>884</v>
      </c>
      <c r="T355" s="85" t="s">
        <v>404</v>
      </c>
      <c r="U355" s="85" t="s">
        <v>354</v>
      </c>
      <c r="V355" s="85" t="s">
        <v>402</v>
      </c>
      <c r="W355" s="85" t="s">
        <v>402</v>
      </c>
      <c r="X355" s="85" t="s">
        <v>404</v>
      </c>
      <c r="Y355" s="85" t="s">
        <v>404</v>
      </c>
      <c r="Z355" s="85" t="s">
        <v>402</v>
      </c>
      <c r="AA355" s="85" t="s">
        <v>355</v>
      </c>
      <c r="AB355" s="96"/>
      <c r="AC355" s="177" t="s">
        <v>1610</v>
      </c>
      <c r="AD355" s="91" t="s">
        <v>594</v>
      </c>
      <c r="AE355" s="85" t="s">
        <v>354</v>
      </c>
      <c r="AF355" s="85" t="s">
        <v>385</v>
      </c>
      <c r="AG355" s="85" t="s">
        <v>385</v>
      </c>
      <c r="AH355" s="91" t="s">
        <v>1102</v>
      </c>
      <c r="AI355" s="85" t="s">
        <v>1611</v>
      </c>
      <c r="AJ355" s="177" t="s">
        <v>1612</v>
      </c>
      <c r="AK355" s="490" t="s">
        <v>1237</v>
      </c>
      <c r="AL355" s="491" t="s">
        <v>354</v>
      </c>
      <c r="AM355" s="96"/>
      <c r="AN355" s="85" t="s">
        <v>529</v>
      </c>
      <c r="AO355" s="85" t="s">
        <v>402</v>
      </c>
      <c r="AP355" s="85" t="s">
        <v>402</v>
      </c>
      <c r="AQ355" s="85" t="s">
        <v>1624</v>
      </c>
      <c r="AR355" s="128" t="s">
        <v>1106</v>
      </c>
      <c r="AS355" s="29" t="s">
        <v>1627</v>
      </c>
    </row>
    <row r="356" spans="1:45" ht="20.25" customHeight="1">
      <c r="A356" s="379"/>
      <c r="B356" s="70"/>
      <c r="C356" s="72"/>
      <c r="D356" s="74"/>
      <c r="E356" s="76"/>
      <c r="F356" s="76"/>
      <c r="G356" s="76"/>
      <c r="H356" s="76"/>
      <c r="I356" s="129"/>
      <c r="J356" s="380"/>
      <c r="K356" s="386"/>
      <c r="L356" s="84"/>
      <c r="M356" s="85" t="s">
        <v>382</v>
      </c>
      <c r="N356" s="85" t="s">
        <v>1628</v>
      </c>
      <c r="O356" s="85"/>
      <c r="P356" s="96"/>
      <c r="Q356" s="85"/>
      <c r="R356" s="177" t="s">
        <v>1629</v>
      </c>
      <c r="S356" s="85"/>
      <c r="T356" s="85" t="s">
        <v>1630</v>
      </c>
      <c r="U356" s="85" t="s">
        <v>1630</v>
      </c>
      <c r="V356" s="85" t="s">
        <v>1630</v>
      </c>
      <c r="W356" s="85" t="s">
        <v>1630</v>
      </c>
      <c r="X356" s="85" t="s">
        <v>1630</v>
      </c>
      <c r="Y356" s="85" t="s">
        <v>1630</v>
      </c>
      <c r="Z356" s="85" t="s">
        <v>1630</v>
      </c>
      <c r="AA356" s="85" t="s">
        <v>1630</v>
      </c>
      <c r="AB356" s="85" t="s">
        <v>1630</v>
      </c>
      <c r="AC356" s="177" t="s">
        <v>1631</v>
      </c>
      <c r="AD356" s="85" t="s">
        <v>1632</v>
      </c>
      <c r="AE356" s="85"/>
      <c r="AF356" s="85"/>
      <c r="AG356" s="85"/>
      <c r="AH356" s="85" t="s">
        <v>1633</v>
      </c>
      <c r="AI356" s="85" t="s">
        <v>1634</v>
      </c>
      <c r="AJ356" s="177" t="s">
        <v>1634</v>
      </c>
      <c r="AK356" s="490" t="s">
        <v>1634</v>
      </c>
      <c r="AL356" s="491" t="s">
        <v>1634</v>
      </c>
      <c r="AM356" s="85" t="s">
        <v>1634</v>
      </c>
      <c r="AN356" s="85" t="s">
        <v>1634</v>
      </c>
      <c r="AO356" s="85" t="s">
        <v>1634</v>
      </c>
      <c r="AP356" s="85" t="s">
        <v>1634</v>
      </c>
      <c r="AQ356" s="85"/>
      <c r="AR356" s="128"/>
      <c r="AS356" s="29"/>
    </row>
    <row r="357" spans="1:45" ht="15">
      <c r="A357" s="379"/>
      <c r="B357" s="70"/>
      <c r="C357" s="72"/>
      <c r="D357" s="74"/>
      <c r="E357" s="104"/>
      <c r="F357" s="104"/>
      <c r="G357" s="104"/>
      <c r="H357" s="104"/>
      <c r="I357" s="129"/>
      <c r="J357" s="380"/>
      <c r="K357" s="386"/>
      <c r="L357" s="84"/>
      <c r="M357" s="85" t="s">
        <v>385</v>
      </c>
      <c r="N357" s="15" t="s">
        <v>597</v>
      </c>
      <c r="O357" s="85"/>
      <c r="P357" s="85"/>
      <c r="Q357" s="85" t="s">
        <v>385</v>
      </c>
      <c r="R357" s="177"/>
      <c r="S357" s="85"/>
      <c r="T357" s="85" t="s">
        <v>402</v>
      </c>
      <c r="U357" s="85" t="s">
        <v>402</v>
      </c>
      <c r="V357" s="85" t="s">
        <v>402</v>
      </c>
      <c r="W357" s="85" t="s">
        <v>402</v>
      </c>
      <c r="X357" s="85" t="s">
        <v>402</v>
      </c>
      <c r="Y357" s="85" t="s">
        <v>924</v>
      </c>
      <c r="Z357" s="85" t="s">
        <v>402</v>
      </c>
      <c r="AA357" s="85" t="s">
        <v>402</v>
      </c>
      <c r="AB357" s="96"/>
      <c r="AC357" s="177" t="s">
        <v>974</v>
      </c>
      <c r="AD357" s="15" t="s">
        <v>597</v>
      </c>
      <c r="AE357" s="85" t="s">
        <v>354</v>
      </c>
      <c r="AF357" s="85" t="s">
        <v>385</v>
      </c>
      <c r="AG357" s="85" t="s">
        <v>385</v>
      </c>
      <c r="AH357" s="85"/>
      <c r="AI357" s="85" t="s">
        <v>530</v>
      </c>
      <c r="AJ357" s="177"/>
      <c r="AK357" s="177" t="s">
        <v>402</v>
      </c>
      <c r="AL357" s="177" t="s">
        <v>385</v>
      </c>
      <c r="AM357" s="177"/>
      <c r="AN357" s="177"/>
      <c r="AO357" s="177"/>
      <c r="AP357" s="85"/>
      <c r="AQ357" s="85"/>
      <c r="AR357" s="128"/>
      <c r="AS357" s="67"/>
    </row>
    <row r="358" spans="1:45" ht="15">
      <c r="A358" s="379"/>
      <c r="B358" s="70" t="s">
        <v>356</v>
      </c>
      <c r="C358" s="72">
        <v>43444</v>
      </c>
      <c r="D358" s="74" t="s">
        <v>363</v>
      </c>
      <c r="E358" s="76">
        <v>43566</v>
      </c>
      <c r="F358" s="78" t="s">
        <v>360</v>
      </c>
      <c r="G358" s="76">
        <v>43583</v>
      </c>
      <c r="H358" s="78" t="s">
        <v>355</v>
      </c>
      <c r="I358" s="80" t="s">
        <v>1636</v>
      </c>
      <c r="J358" s="380" t="s">
        <v>217</v>
      </c>
      <c r="K358" s="386"/>
      <c r="L358" s="84" t="s">
        <v>320</v>
      </c>
      <c r="M358" s="85" t="s">
        <v>1565</v>
      </c>
      <c r="N358" s="614" t="s">
        <v>594</v>
      </c>
      <c r="O358" s="613"/>
      <c r="P358" s="96"/>
      <c r="Q358" s="85" t="s">
        <v>355</v>
      </c>
      <c r="R358" s="177" t="s">
        <v>836</v>
      </c>
      <c r="S358" s="91" t="s">
        <v>884</v>
      </c>
      <c r="T358" s="85" t="s">
        <v>404</v>
      </c>
      <c r="U358" s="85" t="s">
        <v>354</v>
      </c>
      <c r="V358" s="85" t="s">
        <v>402</v>
      </c>
      <c r="W358" s="85" t="s">
        <v>402</v>
      </c>
      <c r="X358" s="85" t="s">
        <v>404</v>
      </c>
      <c r="Y358" s="85" t="s">
        <v>404</v>
      </c>
      <c r="Z358" s="85" t="s">
        <v>402</v>
      </c>
      <c r="AA358" s="85" t="s">
        <v>355</v>
      </c>
      <c r="AB358" s="96"/>
      <c r="AC358" s="177" t="s">
        <v>1610</v>
      </c>
      <c r="AD358" s="91" t="s">
        <v>594</v>
      </c>
      <c r="AE358" s="85" t="s">
        <v>354</v>
      </c>
      <c r="AF358" s="85" t="s">
        <v>385</v>
      </c>
      <c r="AG358" s="85" t="s">
        <v>385</v>
      </c>
      <c r="AH358" s="91" t="s">
        <v>1102</v>
      </c>
      <c r="AI358" s="85" t="s">
        <v>1611</v>
      </c>
      <c r="AJ358" s="177" t="s">
        <v>1612</v>
      </c>
      <c r="AK358" s="490" t="s">
        <v>1237</v>
      </c>
      <c r="AL358" s="491" t="s">
        <v>354</v>
      </c>
      <c r="AM358" s="96"/>
      <c r="AN358" s="85" t="s">
        <v>529</v>
      </c>
      <c r="AO358" s="85" t="s">
        <v>402</v>
      </c>
      <c r="AP358" s="85" t="s">
        <v>402</v>
      </c>
      <c r="AQ358" s="85" t="s">
        <v>1624</v>
      </c>
      <c r="AR358" s="128" t="s">
        <v>1106</v>
      </c>
      <c r="AS358" s="29"/>
    </row>
    <row r="359" spans="1:45" ht="13">
      <c r="A359" s="240"/>
      <c r="B359" s="227"/>
      <c r="C359" s="228"/>
      <c r="D359" s="229"/>
      <c r="E359" s="493"/>
      <c r="F359" s="493"/>
      <c r="G359" s="493"/>
      <c r="H359" s="493"/>
      <c r="I359" s="231"/>
      <c r="J359" s="232"/>
      <c r="K359" s="232"/>
      <c r="L359" s="232"/>
      <c r="M359" s="220" t="s">
        <v>382</v>
      </c>
      <c r="N359" s="494" t="s">
        <v>1628</v>
      </c>
      <c r="O359" s="495"/>
      <c r="P359" s="473"/>
      <c r="Q359" s="220"/>
      <c r="R359" s="472" t="s">
        <v>1629</v>
      </c>
      <c r="S359" s="220"/>
      <c r="T359" s="220" t="s">
        <v>1630</v>
      </c>
      <c r="U359" s="220" t="s">
        <v>1630</v>
      </c>
      <c r="V359" s="220" t="s">
        <v>1630</v>
      </c>
      <c r="W359" s="220" t="s">
        <v>1630</v>
      </c>
      <c r="X359" s="220" t="s">
        <v>1630</v>
      </c>
      <c r="Y359" s="220" t="s">
        <v>1630</v>
      </c>
      <c r="Z359" s="220" t="s">
        <v>1630</v>
      </c>
      <c r="AA359" s="220" t="s">
        <v>1630</v>
      </c>
      <c r="AB359" s="496" t="s">
        <v>1630</v>
      </c>
      <c r="AC359" s="253" t="s">
        <v>1631</v>
      </c>
      <c r="AD359" s="494" t="s">
        <v>1632</v>
      </c>
      <c r="AE359" s="495"/>
      <c r="AF359" s="495"/>
      <c r="AG359" s="220"/>
      <c r="AH359" s="220" t="s">
        <v>1633</v>
      </c>
      <c r="AI359" s="220" t="s">
        <v>1634</v>
      </c>
      <c r="AJ359" s="497" t="s">
        <v>1634</v>
      </c>
      <c r="AK359" s="498" t="s">
        <v>1634</v>
      </c>
      <c r="AL359" s="499" t="s">
        <v>1634</v>
      </c>
      <c r="AM359" s="496" t="s">
        <v>1634</v>
      </c>
      <c r="AN359" s="220" t="s">
        <v>1634</v>
      </c>
      <c r="AO359" s="220" t="s">
        <v>1634</v>
      </c>
      <c r="AP359" s="494" t="s">
        <v>1634</v>
      </c>
      <c r="AQ359" s="495"/>
      <c r="AR359" s="474"/>
      <c r="AS359" s="500"/>
    </row>
    <row r="360" spans="1:45" ht="13">
      <c r="A360" s="240"/>
      <c r="B360" s="227"/>
      <c r="C360" s="228"/>
      <c r="D360" s="241"/>
      <c r="E360" s="501"/>
      <c r="F360" s="501"/>
      <c r="G360" s="501"/>
      <c r="H360" s="501"/>
      <c r="I360" s="244"/>
      <c r="J360" s="244"/>
      <c r="K360" s="244"/>
      <c r="L360" s="244"/>
      <c r="M360" s="198" t="s">
        <v>385</v>
      </c>
      <c r="N360" s="502" t="s">
        <v>598</v>
      </c>
      <c r="O360" s="198"/>
      <c r="P360" s="503"/>
      <c r="Q360" s="198" t="s">
        <v>385</v>
      </c>
      <c r="R360" s="241"/>
      <c r="S360" s="198"/>
      <c r="T360" s="198" t="s">
        <v>402</v>
      </c>
      <c r="U360" s="198" t="s">
        <v>402</v>
      </c>
      <c r="V360" s="198" t="s">
        <v>402</v>
      </c>
      <c r="W360" s="198" t="s">
        <v>402</v>
      </c>
      <c r="X360" s="198" t="s">
        <v>402</v>
      </c>
      <c r="Y360" s="198" t="s">
        <v>924</v>
      </c>
      <c r="Z360" s="198" t="s">
        <v>402</v>
      </c>
      <c r="AA360" s="198" t="s">
        <v>402</v>
      </c>
      <c r="AB360" s="204"/>
      <c r="AC360" s="241" t="s">
        <v>974</v>
      </c>
      <c r="AD360" s="504" t="s">
        <v>598</v>
      </c>
      <c r="AE360" s="198" t="s">
        <v>354</v>
      </c>
      <c r="AF360" s="198" t="s">
        <v>385</v>
      </c>
      <c r="AG360" s="198" t="s">
        <v>385</v>
      </c>
      <c r="AH360" s="198"/>
      <c r="AI360" s="198" t="s">
        <v>530</v>
      </c>
      <c r="AJ360" s="505"/>
      <c r="AK360" s="268" t="s">
        <v>402</v>
      </c>
      <c r="AL360" s="506" t="s">
        <v>385</v>
      </c>
      <c r="AM360" s="204"/>
      <c r="AN360" s="198"/>
      <c r="AO360" s="198"/>
      <c r="AP360" s="198"/>
      <c r="AQ360" s="198"/>
      <c r="AR360" s="244"/>
      <c r="AS360" s="241"/>
    </row>
    <row r="361" spans="1:45" ht="15">
      <c r="A361" s="238"/>
      <c r="B361" s="70" t="s">
        <v>356</v>
      </c>
      <c r="C361" s="72">
        <v>43440</v>
      </c>
      <c r="D361" s="74" t="s">
        <v>363</v>
      </c>
      <c r="E361" s="76">
        <v>43566</v>
      </c>
      <c r="F361" s="78" t="s">
        <v>360</v>
      </c>
      <c r="G361" s="76">
        <v>43583</v>
      </c>
      <c r="H361" s="78" t="s">
        <v>355</v>
      </c>
      <c r="I361" s="80" t="s">
        <v>1638</v>
      </c>
      <c r="J361" s="105" t="s">
        <v>218</v>
      </c>
      <c r="K361" s="106"/>
      <c r="L361" s="84" t="s">
        <v>332</v>
      </c>
      <c r="M361" s="85" t="s">
        <v>1565</v>
      </c>
      <c r="N361" s="614" t="s">
        <v>594</v>
      </c>
      <c r="O361" s="613"/>
      <c r="P361" s="96"/>
      <c r="Q361" s="85" t="s">
        <v>355</v>
      </c>
      <c r="R361" s="177" t="s">
        <v>836</v>
      </c>
      <c r="S361" s="91" t="s">
        <v>884</v>
      </c>
      <c r="T361" s="85" t="s">
        <v>404</v>
      </c>
      <c r="U361" s="85" t="s">
        <v>354</v>
      </c>
      <c r="V361" s="85" t="s">
        <v>402</v>
      </c>
      <c r="W361" s="85" t="s">
        <v>402</v>
      </c>
      <c r="X361" s="85" t="s">
        <v>404</v>
      </c>
      <c r="Y361" s="85" t="s">
        <v>404</v>
      </c>
      <c r="Z361" s="85" t="s">
        <v>402</v>
      </c>
      <c r="AA361" s="85" t="s">
        <v>355</v>
      </c>
      <c r="AB361" s="96"/>
      <c r="AC361" s="177" t="s">
        <v>1610</v>
      </c>
      <c r="AD361" s="91" t="s">
        <v>594</v>
      </c>
      <c r="AE361" s="85" t="s">
        <v>354</v>
      </c>
      <c r="AF361" s="85" t="s">
        <v>385</v>
      </c>
      <c r="AG361" s="85" t="s">
        <v>385</v>
      </c>
      <c r="AH361" s="91" t="s">
        <v>1102</v>
      </c>
      <c r="AI361" s="85" t="s">
        <v>1611</v>
      </c>
      <c r="AJ361" s="177" t="s">
        <v>1612</v>
      </c>
      <c r="AK361" s="490" t="s">
        <v>1237</v>
      </c>
      <c r="AL361" s="491" t="s">
        <v>354</v>
      </c>
      <c r="AM361" s="96"/>
      <c r="AN361" s="85" t="s">
        <v>529</v>
      </c>
      <c r="AO361" s="85" t="s">
        <v>402</v>
      </c>
      <c r="AP361" s="85" t="s">
        <v>402</v>
      </c>
      <c r="AQ361" s="85" t="s">
        <v>1639</v>
      </c>
      <c r="AR361" s="128" t="s">
        <v>1614</v>
      </c>
      <c r="AS361" s="29"/>
    </row>
    <row r="362" spans="1:45" ht="13">
      <c r="A362" s="240"/>
      <c r="B362" s="227"/>
      <c r="C362" s="228"/>
      <c r="D362" s="229"/>
      <c r="E362" s="493"/>
      <c r="F362" s="493"/>
      <c r="G362" s="493"/>
      <c r="H362" s="493"/>
      <c r="I362" s="231"/>
      <c r="J362" s="232"/>
      <c r="K362" s="232"/>
      <c r="L362" s="232"/>
      <c r="M362" s="220" t="s">
        <v>382</v>
      </c>
      <c r="N362" s="507" t="s">
        <v>1640</v>
      </c>
      <c r="O362" s="495"/>
      <c r="P362" s="473"/>
      <c r="Q362" s="220"/>
      <c r="R362" s="472" t="s">
        <v>1629</v>
      </c>
      <c r="S362" s="220"/>
      <c r="T362" s="220" t="s">
        <v>1630</v>
      </c>
      <c r="U362" s="220" t="s">
        <v>1630</v>
      </c>
      <c r="V362" s="220" t="s">
        <v>1630</v>
      </c>
      <c r="W362" s="220" t="s">
        <v>1630</v>
      </c>
      <c r="X362" s="220" t="s">
        <v>1630</v>
      </c>
      <c r="Y362" s="220" t="s">
        <v>1630</v>
      </c>
      <c r="Z362" s="220" t="s">
        <v>1630</v>
      </c>
      <c r="AA362" s="220" t="s">
        <v>1630</v>
      </c>
      <c r="AB362" s="496" t="s">
        <v>1630</v>
      </c>
      <c r="AC362" s="253" t="s">
        <v>1631</v>
      </c>
      <c r="AD362" s="507" t="s">
        <v>1641</v>
      </c>
      <c r="AE362" s="495"/>
      <c r="AF362" s="495"/>
      <c r="AG362" s="220"/>
      <c r="AH362" s="220" t="s">
        <v>1633</v>
      </c>
      <c r="AI362" s="220" t="s">
        <v>1634</v>
      </c>
      <c r="AJ362" s="497" t="s">
        <v>1634</v>
      </c>
      <c r="AK362" s="498" t="s">
        <v>1634</v>
      </c>
      <c r="AL362" s="499" t="s">
        <v>1634</v>
      </c>
      <c r="AM362" s="496" t="s">
        <v>1634</v>
      </c>
      <c r="AN362" s="220" t="s">
        <v>1634</v>
      </c>
      <c r="AO362" s="220" t="s">
        <v>1634</v>
      </c>
      <c r="AP362" s="494" t="s">
        <v>1634</v>
      </c>
      <c r="AQ362" s="495"/>
      <c r="AR362" s="474"/>
      <c r="AS362" s="500"/>
    </row>
    <row r="363" spans="1:45" ht="13">
      <c r="A363" s="240"/>
      <c r="B363" s="227"/>
      <c r="C363" s="228"/>
      <c r="D363" s="241"/>
      <c r="E363" s="501"/>
      <c r="F363" s="501"/>
      <c r="G363" s="501"/>
      <c r="H363" s="501"/>
      <c r="I363" s="244"/>
      <c r="J363" s="244"/>
      <c r="K363" s="244"/>
      <c r="L363" s="244"/>
      <c r="M363" s="198" t="s">
        <v>385</v>
      </c>
      <c r="N363" s="502" t="s">
        <v>598</v>
      </c>
      <c r="O363" s="198"/>
      <c r="P363" s="503"/>
      <c r="Q363" s="198" t="s">
        <v>385</v>
      </c>
      <c r="R363" s="241"/>
      <c r="S363" s="198"/>
      <c r="T363" s="198" t="s">
        <v>402</v>
      </c>
      <c r="U363" s="198" t="s">
        <v>402</v>
      </c>
      <c r="V363" s="198" t="s">
        <v>402</v>
      </c>
      <c r="W363" s="198" t="s">
        <v>402</v>
      </c>
      <c r="X363" s="198" t="s">
        <v>402</v>
      </c>
      <c r="Y363" s="198" t="s">
        <v>924</v>
      </c>
      <c r="Z363" s="198" t="s">
        <v>402</v>
      </c>
      <c r="AA363" s="198" t="s">
        <v>402</v>
      </c>
      <c r="AB363" s="204"/>
      <c r="AC363" s="241" t="s">
        <v>974</v>
      </c>
      <c r="AD363" s="504" t="s">
        <v>598</v>
      </c>
      <c r="AE363" s="198" t="s">
        <v>354</v>
      </c>
      <c r="AF363" s="198" t="s">
        <v>385</v>
      </c>
      <c r="AG363" s="198" t="s">
        <v>385</v>
      </c>
      <c r="AH363" s="198"/>
      <c r="AI363" s="198" t="s">
        <v>530</v>
      </c>
      <c r="AJ363" s="505"/>
      <c r="AK363" s="268" t="s">
        <v>402</v>
      </c>
      <c r="AL363" s="506" t="s">
        <v>385</v>
      </c>
      <c r="AM363" s="204"/>
      <c r="AN363" s="198"/>
      <c r="AO363" s="198"/>
      <c r="AP363" s="198"/>
      <c r="AQ363" s="198"/>
      <c r="AR363" s="244"/>
      <c r="AS363" s="241"/>
    </row>
    <row r="364" spans="1:45" ht="57">
      <c r="A364" s="238"/>
      <c r="B364" s="70" t="s">
        <v>356</v>
      </c>
      <c r="C364" s="72">
        <v>43440</v>
      </c>
      <c r="D364" s="74" t="s">
        <v>363</v>
      </c>
      <c r="E364" s="76">
        <v>43566</v>
      </c>
      <c r="F364" s="78" t="s">
        <v>360</v>
      </c>
      <c r="G364" s="76">
        <v>43583</v>
      </c>
      <c r="H364" s="78" t="s">
        <v>355</v>
      </c>
      <c r="I364" s="129" t="s">
        <v>1642</v>
      </c>
      <c r="J364" s="105" t="s">
        <v>219</v>
      </c>
      <c r="K364" s="126" t="s">
        <v>994</v>
      </c>
      <c r="L364" s="84" t="s">
        <v>332</v>
      </c>
      <c r="M364" s="85" t="s">
        <v>1565</v>
      </c>
      <c r="N364" s="614" t="s">
        <v>594</v>
      </c>
      <c r="O364" s="613"/>
      <c r="P364" s="96"/>
      <c r="Q364" s="85" t="s">
        <v>355</v>
      </c>
      <c r="R364" s="177" t="s">
        <v>836</v>
      </c>
      <c r="S364" s="91" t="s">
        <v>884</v>
      </c>
      <c r="T364" s="85" t="s">
        <v>404</v>
      </c>
      <c r="U364" s="85" t="s">
        <v>354</v>
      </c>
      <c r="V364" s="85" t="s">
        <v>402</v>
      </c>
      <c r="W364" s="85" t="s">
        <v>402</v>
      </c>
      <c r="X364" s="85" t="s">
        <v>404</v>
      </c>
      <c r="Y364" s="85" t="s">
        <v>404</v>
      </c>
      <c r="Z364" s="85" t="s">
        <v>402</v>
      </c>
      <c r="AA364" s="85" t="s">
        <v>355</v>
      </c>
      <c r="AB364" s="96"/>
      <c r="AC364" s="177" t="s">
        <v>1610</v>
      </c>
      <c r="AD364" s="91" t="s">
        <v>594</v>
      </c>
      <c r="AE364" s="85" t="s">
        <v>354</v>
      </c>
      <c r="AF364" s="85" t="s">
        <v>385</v>
      </c>
      <c r="AG364" s="85" t="s">
        <v>385</v>
      </c>
      <c r="AH364" s="91" t="s">
        <v>1102</v>
      </c>
      <c r="AI364" s="85" t="s">
        <v>1611</v>
      </c>
      <c r="AJ364" s="177" t="s">
        <v>1612</v>
      </c>
      <c r="AK364" s="490" t="s">
        <v>1237</v>
      </c>
      <c r="AL364" s="491" t="s">
        <v>354</v>
      </c>
      <c r="AM364" s="96"/>
      <c r="AN364" s="85" t="s">
        <v>529</v>
      </c>
      <c r="AO364" s="85" t="s">
        <v>402</v>
      </c>
      <c r="AP364" s="85" t="s">
        <v>402</v>
      </c>
      <c r="AQ364" s="85" t="s">
        <v>1643</v>
      </c>
      <c r="AR364" s="128" t="s">
        <v>1449</v>
      </c>
      <c r="AS364" s="29"/>
    </row>
    <row r="365" spans="1:45" ht="13">
      <c r="A365" s="240"/>
      <c r="B365" s="227"/>
      <c r="C365" s="228"/>
      <c r="D365" s="229"/>
      <c r="E365" s="493"/>
      <c r="F365" s="493"/>
      <c r="G365" s="493"/>
      <c r="H365" s="493"/>
      <c r="I365" s="231"/>
      <c r="J365" s="232"/>
      <c r="K365" s="232"/>
      <c r="L365" s="232"/>
      <c r="M365" s="220" t="s">
        <v>382</v>
      </c>
      <c r="N365" s="507" t="s">
        <v>1644</v>
      </c>
      <c r="O365" s="495"/>
      <c r="P365" s="473"/>
      <c r="Q365" s="220"/>
      <c r="R365" s="472" t="s">
        <v>1629</v>
      </c>
      <c r="S365" s="220"/>
      <c r="T365" s="220" t="s">
        <v>1630</v>
      </c>
      <c r="U365" s="220" t="s">
        <v>1630</v>
      </c>
      <c r="V365" s="220" t="s">
        <v>1630</v>
      </c>
      <c r="W365" s="220" t="s">
        <v>1630</v>
      </c>
      <c r="X365" s="220" t="s">
        <v>1630</v>
      </c>
      <c r="Y365" s="220" t="s">
        <v>1630</v>
      </c>
      <c r="Z365" s="220" t="s">
        <v>1630</v>
      </c>
      <c r="AA365" s="220" t="s">
        <v>1630</v>
      </c>
      <c r="AB365" s="496" t="s">
        <v>1630</v>
      </c>
      <c r="AC365" s="253" t="s">
        <v>1631</v>
      </c>
      <c r="AD365" s="507" t="s">
        <v>1645</v>
      </c>
      <c r="AE365" s="495"/>
      <c r="AF365" s="495"/>
      <c r="AG365" s="220"/>
      <c r="AH365" s="220" t="s">
        <v>1633</v>
      </c>
      <c r="AI365" s="220" t="s">
        <v>1634</v>
      </c>
      <c r="AJ365" s="497" t="s">
        <v>1634</v>
      </c>
      <c r="AK365" s="498" t="s">
        <v>1634</v>
      </c>
      <c r="AL365" s="499" t="s">
        <v>1634</v>
      </c>
      <c r="AM365" s="496" t="s">
        <v>1634</v>
      </c>
      <c r="AN365" s="220" t="s">
        <v>1634</v>
      </c>
      <c r="AO365" s="220" t="s">
        <v>1634</v>
      </c>
      <c r="AP365" s="494" t="s">
        <v>1634</v>
      </c>
      <c r="AQ365" s="495"/>
      <c r="AR365" s="474"/>
      <c r="AS365" s="500"/>
    </row>
    <row r="366" spans="1:45" ht="13">
      <c r="A366" s="240"/>
      <c r="B366" s="227"/>
      <c r="C366" s="228"/>
      <c r="D366" s="241"/>
      <c r="E366" s="501"/>
      <c r="F366" s="501"/>
      <c r="G366" s="501"/>
      <c r="H366" s="501"/>
      <c r="I366" s="244"/>
      <c r="J366" s="244"/>
      <c r="K366" s="244"/>
      <c r="L366" s="244"/>
      <c r="M366" s="198" t="s">
        <v>385</v>
      </c>
      <c r="N366" s="502" t="s">
        <v>598</v>
      </c>
      <c r="O366" s="198"/>
      <c r="P366" s="503"/>
      <c r="Q366" s="198" t="s">
        <v>385</v>
      </c>
      <c r="R366" s="241"/>
      <c r="S366" s="198"/>
      <c r="T366" s="198" t="s">
        <v>402</v>
      </c>
      <c r="U366" s="198" t="s">
        <v>402</v>
      </c>
      <c r="V366" s="198" t="s">
        <v>402</v>
      </c>
      <c r="W366" s="198" t="s">
        <v>402</v>
      </c>
      <c r="X366" s="198" t="s">
        <v>402</v>
      </c>
      <c r="Y366" s="198" t="s">
        <v>924</v>
      </c>
      <c r="Z366" s="198" t="s">
        <v>402</v>
      </c>
      <c r="AA366" s="198" t="s">
        <v>402</v>
      </c>
      <c r="AB366" s="204"/>
      <c r="AC366" s="241" t="s">
        <v>974</v>
      </c>
      <c r="AD366" s="504" t="s">
        <v>598</v>
      </c>
      <c r="AE366" s="198" t="s">
        <v>354</v>
      </c>
      <c r="AF366" s="198" t="s">
        <v>385</v>
      </c>
      <c r="AG366" s="198" t="s">
        <v>385</v>
      </c>
      <c r="AH366" s="198"/>
      <c r="AI366" s="198" t="s">
        <v>530</v>
      </c>
      <c r="AJ366" s="505"/>
      <c r="AK366" s="268" t="s">
        <v>402</v>
      </c>
      <c r="AL366" s="506" t="s">
        <v>385</v>
      </c>
      <c r="AM366" s="204"/>
      <c r="AN366" s="198"/>
      <c r="AO366" s="198"/>
      <c r="AP366" s="198"/>
      <c r="AQ366" s="198"/>
      <c r="AR366" s="244"/>
      <c r="AS366" s="241"/>
    </row>
    <row r="367" spans="1:45" ht="57">
      <c r="A367" s="379"/>
      <c r="B367" s="70" t="s">
        <v>356</v>
      </c>
      <c r="C367" s="72">
        <v>43440</v>
      </c>
      <c r="D367" s="74" t="s">
        <v>363</v>
      </c>
      <c r="E367" s="76">
        <v>43572</v>
      </c>
      <c r="F367" s="78" t="s">
        <v>360</v>
      </c>
      <c r="G367" s="76">
        <v>43583</v>
      </c>
      <c r="H367" s="78" t="s">
        <v>355</v>
      </c>
      <c r="I367" s="96"/>
      <c r="J367" s="105" t="s">
        <v>220</v>
      </c>
      <c r="K367" s="126" t="s">
        <v>1350</v>
      </c>
      <c r="L367" s="508"/>
      <c r="M367" s="96"/>
      <c r="N367" s="96"/>
      <c r="O367" s="96"/>
      <c r="P367" s="96"/>
      <c r="Q367" s="633"/>
      <c r="R367" s="96"/>
      <c r="S367" s="96"/>
      <c r="T367" s="96"/>
      <c r="U367" s="96"/>
      <c r="V367" s="96"/>
      <c r="W367" s="96"/>
      <c r="X367" s="96"/>
      <c r="Y367" s="96"/>
      <c r="Z367" s="96"/>
      <c r="AA367" s="96"/>
      <c r="AB367" s="96"/>
      <c r="AC367" s="422"/>
      <c r="AD367" s="96"/>
      <c r="AE367" s="96"/>
      <c r="AF367" s="96"/>
      <c r="AG367" s="96"/>
      <c r="AH367" s="96"/>
      <c r="AI367" s="96"/>
      <c r="AJ367" s="422"/>
      <c r="AK367" s="509"/>
      <c r="AL367" s="96"/>
      <c r="AM367" s="96"/>
      <c r="AN367" s="96"/>
      <c r="AO367" s="96"/>
      <c r="AP367" s="96"/>
      <c r="AQ367" s="96"/>
      <c r="AR367" s="510"/>
      <c r="AS367" s="67"/>
    </row>
    <row r="368" spans="1:45" ht="15">
      <c r="A368" s="379"/>
      <c r="B368" s="70"/>
      <c r="C368" s="72"/>
      <c r="D368" s="74"/>
      <c r="E368" s="104"/>
      <c r="F368" s="104"/>
      <c r="G368" s="104"/>
      <c r="H368" s="104"/>
      <c r="I368" s="96"/>
      <c r="J368" s="105"/>
      <c r="K368" s="106"/>
      <c r="L368" s="508"/>
      <c r="M368" s="85" t="s">
        <v>382</v>
      </c>
      <c r="N368" s="15" t="s">
        <v>599</v>
      </c>
      <c r="O368" s="96"/>
      <c r="P368" s="96"/>
      <c r="Q368" s="633"/>
      <c r="R368" s="96"/>
      <c r="S368" s="96"/>
      <c r="T368" s="85" t="s">
        <v>892</v>
      </c>
      <c r="U368" s="85" t="s">
        <v>892</v>
      </c>
      <c r="V368" s="85" t="s">
        <v>892</v>
      </c>
      <c r="W368" s="85" t="s">
        <v>402</v>
      </c>
      <c r="X368" s="85" t="s">
        <v>355</v>
      </c>
      <c r="Y368" s="85" t="s">
        <v>355</v>
      </c>
      <c r="Z368" s="85" t="s">
        <v>402</v>
      </c>
      <c r="AA368" s="85" t="s">
        <v>402</v>
      </c>
      <c r="AB368" s="85" t="s">
        <v>943</v>
      </c>
      <c r="AC368" s="422"/>
      <c r="AD368" s="96"/>
      <c r="AE368" s="85" t="s">
        <v>385</v>
      </c>
      <c r="AF368" s="85" t="s">
        <v>385</v>
      </c>
      <c r="AG368" s="85" t="s">
        <v>385</v>
      </c>
      <c r="AH368" s="15" t="s">
        <v>599</v>
      </c>
      <c r="AI368" s="85" t="s">
        <v>1157</v>
      </c>
      <c r="AJ368" s="177" t="s">
        <v>1195</v>
      </c>
      <c r="AK368" s="85" t="s">
        <v>1233</v>
      </c>
      <c r="AL368" s="85" t="s">
        <v>385</v>
      </c>
      <c r="AM368" s="96"/>
      <c r="AN368" s="96"/>
      <c r="AO368" s="96"/>
      <c r="AP368" s="85" t="s">
        <v>1276</v>
      </c>
      <c r="AQ368" s="96"/>
      <c r="AR368" s="510"/>
      <c r="AS368" s="67"/>
    </row>
    <row r="369" spans="1:45" ht="15">
      <c r="A369" s="379"/>
      <c r="B369" s="70"/>
      <c r="C369" s="72"/>
      <c r="D369" s="74"/>
      <c r="E369" s="104"/>
      <c r="F369" s="104"/>
      <c r="G369" s="104"/>
      <c r="H369" s="104"/>
      <c r="I369" s="96"/>
      <c r="J369" s="105"/>
      <c r="K369" s="106"/>
      <c r="L369" s="508"/>
      <c r="M369" s="85" t="s">
        <v>382</v>
      </c>
      <c r="N369" s="15" t="s">
        <v>599</v>
      </c>
      <c r="O369" s="96"/>
      <c r="P369" s="96"/>
      <c r="Q369" s="633"/>
      <c r="R369" s="96"/>
      <c r="S369" s="96"/>
      <c r="T369" s="85" t="s">
        <v>892</v>
      </c>
      <c r="U369" s="85" t="s">
        <v>892</v>
      </c>
      <c r="V369" s="85" t="s">
        <v>892</v>
      </c>
      <c r="W369" s="85" t="s">
        <v>402</v>
      </c>
      <c r="X369" s="85" t="s">
        <v>355</v>
      </c>
      <c r="Y369" s="85" t="s">
        <v>355</v>
      </c>
      <c r="Z369" s="85" t="s">
        <v>402</v>
      </c>
      <c r="AA369" s="85" t="s">
        <v>402</v>
      </c>
      <c r="AB369" s="85" t="s">
        <v>943</v>
      </c>
      <c r="AC369" s="422"/>
      <c r="AD369" s="96"/>
      <c r="AE369" s="85" t="s">
        <v>385</v>
      </c>
      <c r="AF369" s="85" t="s">
        <v>385</v>
      </c>
      <c r="AG369" s="85" t="s">
        <v>385</v>
      </c>
      <c r="AH369" s="15" t="s">
        <v>599</v>
      </c>
      <c r="AI369" s="85" t="s">
        <v>1157</v>
      </c>
      <c r="AJ369" s="177" t="s">
        <v>1195</v>
      </c>
      <c r="AK369" s="85" t="s">
        <v>1233</v>
      </c>
      <c r="AL369" s="85" t="s">
        <v>385</v>
      </c>
      <c r="AM369" s="96"/>
      <c r="AN369" s="96"/>
      <c r="AO369" s="96"/>
      <c r="AP369" s="85" t="s">
        <v>1276</v>
      </c>
      <c r="AQ369" s="96"/>
      <c r="AR369" s="510"/>
      <c r="AS369" s="67"/>
    </row>
    <row r="370" spans="1:45" ht="15">
      <c r="A370" s="379"/>
      <c r="B370" s="70" t="s">
        <v>356</v>
      </c>
      <c r="C370" s="72">
        <v>43440</v>
      </c>
      <c r="D370" s="74" t="s">
        <v>363</v>
      </c>
      <c r="E370" s="76">
        <v>43572</v>
      </c>
      <c r="F370" s="78" t="s">
        <v>360</v>
      </c>
      <c r="G370" s="76">
        <v>43583</v>
      </c>
      <c r="H370" s="78" t="s">
        <v>355</v>
      </c>
      <c r="I370" s="129" t="s">
        <v>1646</v>
      </c>
      <c r="J370" s="105" t="s">
        <v>221</v>
      </c>
      <c r="K370" s="106"/>
      <c r="L370" s="84" t="s">
        <v>291</v>
      </c>
      <c r="M370" s="85" t="s">
        <v>374</v>
      </c>
      <c r="N370" s="614" t="s">
        <v>601</v>
      </c>
      <c r="O370" s="613"/>
      <c r="P370" s="91" t="s">
        <v>717</v>
      </c>
      <c r="Q370" s="85" t="s">
        <v>385</v>
      </c>
      <c r="R370" s="85" t="s">
        <v>763</v>
      </c>
      <c r="S370" s="91" t="s">
        <v>764</v>
      </c>
      <c r="T370" s="85" t="s">
        <v>355</v>
      </c>
      <c r="U370" s="85" t="s">
        <v>355</v>
      </c>
      <c r="V370" s="85" t="s">
        <v>355</v>
      </c>
      <c r="W370" s="85" t="s">
        <v>355</v>
      </c>
      <c r="X370" s="85" t="s">
        <v>355</v>
      </c>
      <c r="Y370" s="85" t="s">
        <v>355</v>
      </c>
      <c r="Z370" s="85" t="s">
        <v>355</v>
      </c>
      <c r="AA370" s="85" t="s">
        <v>355</v>
      </c>
      <c r="AB370" s="96"/>
      <c r="AC370" s="177" t="s">
        <v>863</v>
      </c>
      <c r="AD370" s="91" t="s">
        <v>544</v>
      </c>
      <c r="AE370" s="85" t="s">
        <v>385</v>
      </c>
      <c r="AF370" s="85" t="s">
        <v>385</v>
      </c>
      <c r="AG370" s="85" t="s">
        <v>385</v>
      </c>
      <c r="AH370" s="91" t="s">
        <v>766</v>
      </c>
      <c r="AI370" s="177" t="s">
        <v>1306</v>
      </c>
      <c r="AJ370" s="85" t="s">
        <v>402</v>
      </c>
      <c r="AK370" s="85" t="s">
        <v>402</v>
      </c>
      <c r="AL370" s="85" t="s">
        <v>385</v>
      </c>
      <c r="AM370" s="85" t="s">
        <v>402</v>
      </c>
      <c r="AN370" s="85" t="s">
        <v>768</v>
      </c>
      <c r="AO370" s="85" t="s">
        <v>402</v>
      </c>
      <c r="AP370" s="85" t="s">
        <v>402</v>
      </c>
      <c r="AQ370" s="85" t="s">
        <v>1647</v>
      </c>
      <c r="AR370" s="128" t="s">
        <v>1648</v>
      </c>
      <c r="AS370" s="67"/>
    </row>
    <row r="371" spans="1:45" ht="15">
      <c r="A371" s="379"/>
      <c r="B371" s="70"/>
      <c r="C371" s="72"/>
      <c r="D371" s="74"/>
      <c r="E371" s="104"/>
      <c r="F371" s="104"/>
      <c r="G371" s="104"/>
      <c r="H371" s="104"/>
      <c r="I371" s="129"/>
      <c r="J371" s="105"/>
      <c r="K371" s="106"/>
      <c r="L371" s="84"/>
      <c r="M371" s="85"/>
      <c r="N371" s="85"/>
      <c r="O371" s="85"/>
      <c r="P371" s="85"/>
      <c r="Q371" s="85"/>
      <c r="R371" s="85"/>
      <c r="S371" s="85"/>
      <c r="T371" s="85"/>
      <c r="U371" s="85"/>
      <c r="V371" s="85"/>
      <c r="W371" s="85"/>
      <c r="X371" s="85"/>
      <c r="Y371" s="85"/>
      <c r="Z371" s="85"/>
      <c r="AA371" s="85"/>
      <c r="AB371" s="96"/>
      <c r="AC371" s="177"/>
      <c r="AD371" s="85"/>
      <c r="AE371" s="85"/>
      <c r="AF371" s="85"/>
      <c r="AG371" s="85"/>
      <c r="AH371" s="196" t="s">
        <v>774</v>
      </c>
      <c r="AI371" s="177" t="s">
        <v>385</v>
      </c>
      <c r="AJ371" s="85" t="s">
        <v>1196</v>
      </c>
      <c r="AK371" s="85" t="s">
        <v>385</v>
      </c>
      <c r="AL371" s="85" t="s">
        <v>402</v>
      </c>
      <c r="AM371" s="85"/>
      <c r="AN371" s="85" t="s">
        <v>402</v>
      </c>
      <c r="AO371" s="85"/>
      <c r="AP371" s="85"/>
      <c r="AQ371" s="85"/>
      <c r="AR371" s="128"/>
      <c r="AS371" s="67"/>
    </row>
    <row r="372" spans="1:45" ht="15">
      <c r="A372" s="379"/>
      <c r="B372" s="70"/>
      <c r="C372" s="72"/>
      <c r="D372" s="74"/>
      <c r="E372" s="104"/>
      <c r="F372" s="104"/>
      <c r="G372" s="104"/>
      <c r="H372" s="104"/>
      <c r="I372" s="129"/>
      <c r="J372" s="105"/>
      <c r="K372" s="106"/>
      <c r="L372" s="84" t="s">
        <v>291</v>
      </c>
      <c r="M372" s="85" t="s">
        <v>374</v>
      </c>
      <c r="N372" s="91" t="s">
        <v>601</v>
      </c>
      <c r="O372" s="85"/>
      <c r="P372" s="91" t="s">
        <v>717</v>
      </c>
      <c r="Q372" s="85" t="s">
        <v>385</v>
      </c>
      <c r="R372" s="85" t="s">
        <v>763</v>
      </c>
      <c r="S372" s="91" t="s">
        <v>764</v>
      </c>
      <c r="T372" s="85" t="s">
        <v>355</v>
      </c>
      <c r="U372" s="85" t="s">
        <v>355</v>
      </c>
      <c r="V372" s="85" t="s">
        <v>355</v>
      </c>
      <c r="W372" s="85" t="s">
        <v>355</v>
      </c>
      <c r="X372" s="85" t="s">
        <v>355</v>
      </c>
      <c r="Y372" s="85" t="s">
        <v>355</v>
      </c>
      <c r="Z372" s="85" t="s">
        <v>355</v>
      </c>
      <c r="AA372" s="85" t="s">
        <v>355</v>
      </c>
      <c r="AB372" s="96"/>
      <c r="AC372" s="177" t="s">
        <v>863</v>
      </c>
      <c r="AD372" s="91" t="s">
        <v>544</v>
      </c>
      <c r="AE372" s="85" t="s">
        <v>385</v>
      </c>
      <c r="AF372" s="85" t="s">
        <v>385</v>
      </c>
      <c r="AG372" s="85" t="s">
        <v>385</v>
      </c>
      <c r="AH372" s="196" t="s">
        <v>774</v>
      </c>
      <c r="AI372" s="177" t="s">
        <v>385</v>
      </c>
      <c r="AJ372" s="85" t="s">
        <v>1196</v>
      </c>
      <c r="AK372" s="85" t="s">
        <v>385</v>
      </c>
      <c r="AL372" s="85" t="s">
        <v>385</v>
      </c>
      <c r="AM372" s="85"/>
      <c r="AN372" s="85"/>
      <c r="AO372" s="85"/>
      <c r="AP372" s="85"/>
      <c r="AQ372" s="85"/>
      <c r="AR372" s="128"/>
      <c r="AS372" s="67"/>
    </row>
    <row r="373" spans="1:45" ht="15">
      <c r="A373" s="103"/>
      <c r="B373" s="283" t="s">
        <v>1649</v>
      </c>
      <c r="C373" s="511">
        <v>43114</v>
      </c>
      <c r="D373" s="74" t="s">
        <v>363</v>
      </c>
      <c r="E373" s="76">
        <v>43572</v>
      </c>
      <c r="F373" s="78" t="s">
        <v>360</v>
      </c>
      <c r="G373" s="76">
        <v>43583</v>
      </c>
      <c r="H373" s="78" t="s">
        <v>355</v>
      </c>
      <c r="I373" s="80" t="s">
        <v>1650</v>
      </c>
      <c r="J373" s="285" t="s">
        <v>222</v>
      </c>
      <c r="K373" s="299" t="s">
        <v>1584</v>
      </c>
      <c r="L373" s="286" t="s">
        <v>333</v>
      </c>
      <c r="M373" s="287" t="s">
        <v>374</v>
      </c>
      <c r="N373" s="288" t="s">
        <v>442</v>
      </c>
      <c r="O373" s="342"/>
      <c r="P373" s="512"/>
      <c r="Q373" s="291" t="s">
        <v>385</v>
      </c>
      <c r="R373" s="513" t="s">
        <v>827</v>
      </c>
      <c r="S373" s="288" t="s">
        <v>896</v>
      </c>
      <c r="T373" s="293" t="s">
        <v>402</v>
      </c>
      <c r="U373" s="293" t="s">
        <v>402</v>
      </c>
      <c r="V373" s="293" t="s">
        <v>402</v>
      </c>
      <c r="W373" s="293" t="s">
        <v>402</v>
      </c>
      <c r="X373" s="293" t="s">
        <v>402</v>
      </c>
      <c r="Y373" s="293" t="s">
        <v>355</v>
      </c>
      <c r="Z373" s="293" t="s">
        <v>402</v>
      </c>
      <c r="AA373" s="293" t="s">
        <v>402</v>
      </c>
      <c r="AB373" s="514"/>
      <c r="AC373" s="443" t="s">
        <v>975</v>
      </c>
      <c r="AD373" s="327" t="s">
        <v>442</v>
      </c>
      <c r="AE373" s="293" t="s">
        <v>354</v>
      </c>
      <c r="AF373" s="293" t="s">
        <v>385</v>
      </c>
      <c r="AG373" s="293" t="s">
        <v>385</v>
      </c>
      <c r="AH373" s="288" t="s">
        <v>896</v>
      </c>
      <c r="AI373" s="293" t="s">
        <v>460</v>
      </c>
      <c r="AJ373" s="304" t="s">
        <v>1197</v>
      </c>
      <c r="AK373" s="303" t="s">
        <v>402</v>
      </c>
      <c r="AL373" s="295" t="s">
        <v>385</v>
      </c>
      <c r="AM373" s="515" t="s">
        <v>1257</v>
      </c>
      <c r="AN373" s="297" t="s">
        <v>402</v>
      </c>
      <c r="AO373" s="342"/>
      <c r="AP373" s="342"/>
      <c r="AQ373" s="293"/>
      <c r="AR373" s="298">
        <v>15</v>
      </c>
      <c r="AS373" s="67"/>
    </row>
    <row r="374" spans="1:45" ht="15">
      <c r="A374" s="103"/>
      <c r="B374" s="70"/>
      <c r="C374" s="72"/>
      <c r="D374" s="74"/>
      <c r="E374" s="104"/>
      <c r="F374" s="104"/>
      <c r="G374" s="104"/>
      <c r="H374" s="104"/>
      <c r="I374" s="80"/>
      <c r="J374" s="285"/>
      <c r="K374" s="299"/>
      <c r="L374" s="300"/>
      <c r="M374" s="301"/>
      <c r="N374" s="288"/>
      <c r="O374" s="342"/>
      <c r="P374" s="512"/>
      <c r="Q374" s="291"/>
      <c r="R374" s="513"/>
      <c r="S374" s="288"/>
      <c r="T374" s="293"/>
      <c r="U374" s="293"/>
      <c r="V374" s="293"/>
      <c r="W374" s="293"/>
      <c r="X374" s="293"/>
      <c r="Y374" s="293"/>
      <c r="Z374" s="293"/>
      <c r="AA374" s="293"/>
      <c r="AB374" s="514"/>
      <c r="AC374" s="443"/>
      <c r="AD374" s="327"/>
      <c r="AE374" s="293"/>
      <c r="AF374" s="293"/>
      <c r="AG374" s="293"/>
      <c r="AH374" s="288"/>
      <c r="AI374" s="293"/>
      <c r="AJ374" s="304"/>
      <c r="AK374" s="303"/>
      <c r="AL374" s="295"/>
      <c r="AM374" s="516"/>
      <c r="AN374" s="297"/>
      <c r="AO374" s="342"/>
      <c r="AP374" s="342"/>
      <c r="AQ374" s="293" t="s">
        <v>1651</v>
      </c>
      <c r="AR374" s="305"/>
      <c r="AS374" s="67"/>
    </row>
    <row r="375" spans="1:45" ht="15">
      <c r="A375" s="103"/>
      <c r="B375" s="70"/>
      <c r="C375" s="72"/>
      <c r="D375" s="74"/>
      <c r="E375" s="104"/>
      <c r="F375" s="104"/>
      <c r="G375" s="104"/>
      <c r="H375" s="104"/>
      <c r="I375" s="80"/>
      <c r="J375" s="285"/>
      <c r="K375" s="299"/>
      <c r="L375" s="286" t="s">
        <v>333</v>
      </c>
      <c r="M375" s="287" t="s">
        <v>374</v>
      </c>
      <c r="N375" s="288" t="s">
        <v>442</v>
      </c>
      <c r="O375" s="342"/>
      <c r="P375" s="512"/>
      <c r="Q375" s="291" t="s">
        <v>385</v>
      </c>
      <c r="R375" s="513" t="s">
        <v>827</v>
      </c>
      <c r="S375" s="288" t="s">
        <v>896</v>
      </c>
      <c r="T375" s="293" t="s">
        <v>402</v>
      </c>
      <c r="U375" s="293" t="s">
        <v>402</v>
      </c>
      <c r="V375" s="293" t="s">
        <v>402</v>
      </c>
      <c r="W375" s="293" t="s">
        <v>402</v>
      </c>
      <c r="X375" s="293" t="s">
        <v>402</v>
      </c>
      <c r="Y375" s="293" t="s">
        <v>355</v>
      </c>
      <c r="Z375" s="293" t="s">
        <v>402</v>
      </c>
      <c r="AA375" s="293" t="s">
        <v>402</v>
      </c>
      <c r="AB375" s="514"/>
      <c r="AC375" s="443" t="s">
        <v>975</v>
      </c>
      <c r="AD375" s="327" t="s">
        <v>442</v>
      </c>
      <c r="AE375" s="293" t="s">
        <v>354</v>
      </c>
      <c r="AF375" s="293" t="s">
        <v>385</v>
      </c>
      <c r="AG375" s="293" t="s">
        <v>385</v>
      </c>
      <c r="AH375" s="288" t="s">
        <v>896</v>
      </c>
      <c r="AI375" s="293" t="s">
        <v>460</v>
      </c>
      <c r="AJ375" s="304" t="s">
        <v>1197</v>
      </c>
      <c r="AK375" s="303" t="s">
        <v>402</v>
      </c>
      <c r="AL375" s="295" t="s">
        <v>385</v>
      </c>
      <c r="AM375" s="515" t="s">
        <v>1257</v>
      </c>
      <c r="AN375" s="297" t="s">
        <v>402</v>
      </c>
      <c r="AO375" s="342"/>
      <c r="AP375" s="342"/>
      <c r="AQ375" s="293"/>
      <c r="AR375" s="305"/>
      <c r="AS375" s="67"/>
    </row>
    <row r="376" spans="1:45" ht="15">
      <c r="A376" s="68"/>
      <c r="B376" s="517" t="s">
        <v>1649</v>
      </c>
      <c r="C376" s="72">
        <v>43114</v>
      </c>
      <c r="D376" s="74" t="s">
        <v>360</v>
      </c>
      <c r="E376" s="76">
        <v>43576</v>
      </c>
      <c r="F376" s="78" t="s">
        <v>363</v>
      </c>
      <c r="G376" s="76">
        <v>43581</v>
      </c>
      <c r="H376" s="78" t="s">
        <v>355</v>
      </c>
      <c r="I376" s="125" t="s">
        <v>1652</v>
      </c>
      <c r="J376" s="350" t="s">
        <v>223</v>
      </c>
      <c r="K376" s="300" t="s">
        <v>368</v>
      </c>
      <c r="L376" s="300" t="s">
        <v>309</v>
      </c>
      <c r="M376" s="301" t="s">
        <v>382</v>
      </c>
      <c r="N376" s="289" t="s">
        <v>602</v>
      </c>
      <c r="O376" s="342"/>
      <c r="P376" s="512"/>
      <c r="Q376" s="291" t="s">
        <v>385</v>
      </c>
      <c r="R376" s="513" t="s">
        <v>1653</v>
      </c>
      <c r="S376" s="289" t="s">
        <v>1654</v>
      </c>
      <c r="T376" s="293" t="s">
        <v>402</v>
      </c>
      <c r="U376" s="293" t="s">
        <v>402</v>
      </c>
      <c r="V376" s="293" t="s">
        <v>402</v>
      </c>
      <c r="W376" s="293" t="s">
        <v>402</v>
      </c>
      <c r="X376" s="293" t="s">
        <v>402</v>
      </c>
      <c r="Y376" s="293" t="s">
        <v>355</v>
      </c>
      <c r="Z376" s="293" t="s">
        <v>402</v>
      </c>
      <c r="AA376" s="293" t="s">
        <v>402</v>
      </c>
      <c r="AB376" s="514"/>
      <c r="AC376" s="518"/>
      <c r="AD376" s="519"/>
      <c r="AE376" s="293" t="s">
        <v>385</v>
      </c>
      <c r="AF376" s="293" t="s">
        <v>385</v>
      </c>
      <c r="AG376" s="293" t="s">
        <v>385</v>
      </c>
      <c r="AH376" s="342"/>
      <c r="AI376" s="293" t="s">
        <v>530</v>
      </c>
      <c r="AJ376" s="514"/>
      <c r="AK376" s="303" t="s">
        <v>402</v>
      </c>
      <c r="AL376" s="295" t="s">
        <v>385</v>
      </c>
      <c r="AM376" s="520"/>
      <c r="AN376" s="520"/>
      <c r="AO376" s="342"/>
      <c r="AP376" s="342"/>
      <c r="AQ376" s="342"/>
      <c r="AR376" s="305">
        <v>10</v>
      </c>
      <c r="AS376" s="67"/>
    </row>
    <row r="377" spans="1:45" ht="15">
      <c r="A377" s="103"/>
      <c r="B377" s="517"/>
      <c r="C377" s="72"/>
      <c r="D377" s="74"/>
      <c r="E377" s="104"/>
      <c r="F377" s="104"/>
      <c r="G377" s="104"/>
      <c r="H377" s="104"/>
      <c r="I377" s="521"/>
      <c r="J377" s="105"/>
      <c r="K377" s="106"/>
      <c r="L377" s="300"/>
      <c r="M377" s="301"/>
      <c r="N377" s="288"/>
      <c r="O377" s="342"/>
      <c r="P377" s="512"/>
      <c r="Q377" s="291"/>
      <c r="R377" s="513"/>
      <c r="S377" s="288"/>
      <c r="T377" s="293"/>
      <c r="U377" s="293"/>
      <c r="V377" s="293"/>
      <c r="W377" s="293"/>
      <c r="X377" s="293"/>
      <c r="Y377" s="293"/>
      <c r="Z377" s="293"/>
      <c r="AA377" s="293"/>
      <c r="AB377" s="514"/>
      <c r="AC377" s="518"/>
      <c r="AD377" s="519"/>
      <c r="AE377" s="293"/>
      <c r="AF377" s="293"/>
      <c r="AG377" s="293"/>
      <c r="AH377" s="342"/>
      <c r="AI377" s="293" t="s">
        <v>1655</v>
      </c>
      <c r="AJ377" s="522"/>
      <c r="AK377" s="303"/>
      <c r="AL377" s="295"/>
      <c r="AM377" s="523"/>
      <c r="AN377" s="523"/>
      <c r="AO377" s="342"/>
      <c r="AP377" s="342"/>
      <c r="AQ377" s="293" t="s">
        <v>1656</v>
      </c>
      <c r="AR377" s="305"/>
      <c r="AS377" s="67"/>
    </row>
    <row r="378" spans="1:45" ht="15">
      <c r="A378" s="103"/>
      <c r="B378" s="517"/>
      <c r="C378" s="72"/>
      <c r="D378" s="74"/>
      <c r="E378" s="104"/>
      <c r="F378" s="104"/>
      <c r="G378" s="104"/>
      <c r="H378" s="78" t="s">
        <v>1657</v>
      </c>
      <c r="I378" s="521"/>
      <c r="J378" s="105"/>
      <c r="K378" s="106"/>
      <c r="L378" s="300" t="s">
        <v>309</v>
      </c>
      <c r="M378" s="301" t="s">
        <v>382</v>
      </c>
      <c r="N378" s="288" t="s">
        <v>602</v>
      </c>
      <c r="O378" s="342"/>
      <c r="P378" s="512"/>
      <c r="Q378" s="291" t="s">
        <v>385</v>
      </c>
      <c r="R378" s="513"/>
      <c r="S378" s="288"/>
      <c r="T378" s="293" t="s">
        <v>402</v>
      </c>
      <c r="U378" s="293" t="s">
        <v>402</v>
      </c>
      <c r="V378" s="293" t="s">
        <v>402</v>
      </c>
      <c r="W378" s="293" t="s">
        <v>402</v>
      </c>
      <c r="X378" s="293" t="s">
        <v>402</v>
      </c>
      <c r="Y378" s="293" t="s">
        <v>355</v>
      </c>
      <c r="Z378" s="293" t="s">
        <v>402</v>
      </c>
      <c r="AA378" s="293" t="s">
        <v>402</v>
      </c>
      <c r="AB378" s="514"/>
      <c r="AC378" s="518"/>
      <c r="AD378" s="519"/>
      <c r="AE378" s="293" t="s">
        <v>385</v>
      </c>
      <c r="AF378" s="293" t="s">
        <v>385</v>
      </c>
      <c r="AG378" s="293" t="s">
        <v>385</v>
      </c>
      <c r="AH378" s="342"/>
      <c r="AI378" s="293" t="s">
        <v>1159</v>
      </c>
      <c r="AJ378" s="522"/>
      <c r="AK378" s="303" t="s">
        <v>402</v>
      </c>
      <c r="AL378" s="295" t="s">
        <v>385</v>
      </c>
      <c r="AM378" s="523"/>
      <c r="AN378" s="523"/>
      <c r="AO378" s="342"/>
      <c r="AP378" s="342"/>
      <c r="AQ378" s="293"/>
      <c r="AR378" s="305"/>
      <c r="AS378" s="67"/>
    </row>
    <row r="379" spans="1:45" ht="71">
      <c r="A379" s="103"/>
      <c r="B379" s="517" t="s">
        <v>1649</v>
      </c>
      <c r="C379" s="72">
        <v>43114</v>
      </c>
      <c r="D379" s="74" t="s">
        <v>360</v>
      </c>
      <c r="E379" s="76">
        <v>43576</v>
      </c>
      <c r="F379" s="78" t="s">
        <v>363</v>
      </c>
      <c r="G379" s="76">
        <v>43581</v>
      </c>
      <c r="H379" s="78" t="s">
        <v>355</v>
      </c>
      <c r="I379" s="521" t="s">
        <v>1658</v>
      </c>
      <c r="J379" s="524" t="s">
        <v>224</v>
      </c>
      <c r="K379" s="126" t="s">
        <v>1659</v>
      </c>
      <c r="L379" s="525" t="s">
        <v>329</v>
      </c>
      <c r="M379" s="301" t="s">
        <v>1660</v>
      </c>
      <c r="N379" s="288" t="s">
        <v>1661</v>
      </c>
      <c r="O379" s="342"/>
      <c r="P379" s="290" t="s">
        <v>710</v>
      </c>
      <c r="Q379" s="291" t="s">
        <v>354</v>
      </c>
      <c r="R379" s="526"/>
      <c r="S379" s="342"/>
      <c r="T379" s="293" t="s">
        <v>402</v>
      </c>
      <c r="U379" s="293" t="s">
        <v>402</v>
      </c>
      <c r="V379" s="293" t="s">
        <v>402</v>
      </c>
      <c r="W379" s="293" t="s">
        <v>402</v>
      </c>
      <c r="X379" s="293" t="s">
        <v>402</v>
      </c>
      <c r="Y379" s="293" t="s">
        <v>355</v>
      </c>
      <c r="Z379" s="293" t="s">
        <v>402</v>
      </c>
      <c r="AA379" s="293" t="s">
        <v>402</v>
      </c>
      <c r="AB379" s="514"/>
      <c r="AC379" s="443" t="s">
        <v>976</v>
      </c>
      <c r="AD379" s="327" t="s">
        <v>1031</v>
      </c>
      <c r="AE379" s="293" t="s">
        <v>354</v>
      </c>
      <c r="AF379" s="293" t="s">
        <v>385</v>
      </c>
      <c r="AG379" s="293" t="s">
        <v>354</v>
      </c>
      <c r="AH379" s="342"/>
      <c r="AI379" s="293" t="s">
        <v>530</v>
      </c>
      <c r="AJ379" s="514"/>
      <c r="AK379" s="303" t="s">
        <v>402</v>
      </c>
      <c r="AL379" s="295" t="s">
        <v>385</v>
      </c>
      <c r="AM379" s="523"/>
      <c r="AN379" s="523"/>
      <c r="AO379" s="342"/>
      <c r="AP379" s="342"/>
      <c r="AQ379" s="342"/>
      <c r="AR379" s="305">
        <v>5</v>
      </c>
      <c r="AS379" s="67"/>
    </row>
    <row r="380" spans="1:45" ht="15">
      <c r="A380" s="103"/>
      <c r="B380" s="517"/>
      <c r="C380" s="72"/>
      <c r="D380" s="74"/>
      <c r="E380" s="104"/>
      <c r="F380" s="104"/>
      <c r="G380" s="104"/>
      <c r="H380" s="104"/>
      <c r="I380" s="521"/>
      <c r="J380" s="527"/>
      <c r="K380" s="106"/>
      <c r="L380" s="525"/>
      <c r="M380" s="301" t="s">
        <v>396</v>
      </c>
      <c r="N380" s="15" t="s">
        <v>603</v>
      </c>
      <c r="O380" s="342"/>
      <c r="P380" s="290"/>
      <c r="Q380" s="291"/>
      <c r="R380" s="526"/>
      <c r="S380" s="342"/>
      <c r="T380" s="293"/>
      <c r="U380" s="293"/>
      <c r="V380" s="293"/>
      <c r="W380" s="293"/>
      <c r="X380" s="293"/>
      <c r="Y380" s="293"/>
      <c r="Z380" s="293"/>
      <c r="AA380" s="293"/>
      <c r="AB380" s="514"/>
      <c r="AC380" s="443"/>
      <c r="AD380" s="327"/>
      <c r="AE380" s="293"/>
      <c r="AF380" s="293"/>
      <c r="AG380" s="293"/>
      <c r="AH380" s="15" t="s">
        <v>1113</v>
      </c>
      <c r="AI380" s="130" t="s">
        <v>460</v>
      </c>
      <c r="AJ380" s="304" t="s">
        <v>1198</v>
      </c>
      <c r="AK380" s="303" t="s">
        <v>412</v>
      </c>
      <c r="AL380" s="295" t="s">
        <v>354</v>
      </c>
      <c r="AM380" s="523"/>
      <c r="AN380" s="523"/>
      <c r="AO380" s="342"/>
      <c r="AP380" s="342"/>
      <c r="AQ380" s="293" t="s">
        <v>1662</v>
      </c>
      <c r="AR380" s="305"/>
      <c r="AS380" s="67"/>
    </row>
    <row r="381" spans="1:45" ht="15">
      <c r="A381" s="103"/>
      <c r="B381" s="517"/>
      <c r="C381" s="72"/>
      <c r="D381" s="74"/>
      <c r="E381" s="104"/>
      <c r="F381" s="104"/>
      <c r="G381" s="104"/>
      <c r="H381" s="104"/>
      <c r="I381" s="521"/>
      <c r="J381" s="527"/>
      <c r="K381" s="106"/>
      <c r="L381" s="525" t="s">
        <v>329</v>
      </c>
      <c r="M381" s="301" t="s">
        <v>396</v>
      </c>
      <c r="N381" s="15" t="s">
        <v>603</v>
      </c>
      <c r="O381" s="342"/>
      <c r="P381" s="290" t="s">
        <v>710</v>
      </c>
      <c r="Q381" s="291" t="s">
        <v>354</v>
      </c>
      <c r="R381" s="526"/>
      <c r="S381" s="342"/>
      <c r="T381" s="293" t="s">
        <v>402</v>
      </c>
      <c r="U381" s="293" t="s">
        <v>402</v>
      </c>
      <c r="V381" s="293" t="s">
        <v>402</v>
      </c>
      <c r="W381" s="293" t="s">
        <v>402</v>
      </c>
      <c r="X381" s="293" t="s">
        <v>402</v>
      </c>
      <c r="Y381" s="293" t="s">
        <v>355</v>
      </c>
      <c r="Z381" s="293" t="s">
        <v>402</v>
      </c>
      <c r="AA381" s="293" t="s">
        <v>402</v>
      </c>
      <c r="AB381" s="514"/>
      <c r="AC381" s="443" t="s">
        <v>976</v>
      </c>
      <c r="AD381" s="327" t="s">
        <v>1031</v>
      </c>
      <c r="AE381" s="293" t="s">
        <v>354</v>
      </c>
      <c r="AF381" s="293" t="s">
        <v>385</v>
      </c>
      <c r="AG381" s="293" t="s">
        <v>354</v>
      </c>
      <c r="AH381" s="15" t="s">
        <v>1113</v>
      </c>
      <c r="AI381" s="130" t="s">
        <v>460</v>
      </c>
      <c r="AJ381" s="304" t="s">
        <v>1198</v>
      </c>
      <c r="AK381" s="303" t="s">
        <v>412</v>
      </c>
      <c r="AL381" s="295" t="s">
        <v>354</v>
      </c>
      <c r="AM381" s="523"/>
      <c r="AN381" s="523"/>
      <c r="AO381" s="342"/>
      <c r="AP381" s="342"/>
      <c r="AQ381" s="293"/>
      <c r="AR381" s="305"/>
      <c r="AS381" s="67"/>
    </row>
    <row r="382" spans="1:45" ht="57">
      <c r="A382" s="103"/>
      <c r="B382" s="517" t="s">
        <v>1649</v>
      </c>
      <c r="C382" s="72">
        <v>43114</v>
      </c>
      <c r="D382" s="74" t="s">
        <v>360</v>
      </c>
      <c r="E382" s="76">
        <v>43576</v>
      </c>
      <c r="F382" s="78" t="s">
        <v>363</v>
      </c>
      <c r="G382" s="76">
        <v>43581</v>
      </c>
      <c r="H382" s="76"/>
      <c r="I382" s="125" t="s">
        <v>1663</v>
      </c>
      <c r="J382" s="527" t="s">
        <v>225</v>
      </c>
      <c r="K382" s="126" t="s">
        <v>994</v>
      </c>
      <c r="L382" s="525" t="s">
        <v>334</v>
      </c>
      <c r="M382" s="301" t="s">
        <v>385</v>
      </c>
      <c r="N382" s="342"/>
      <c r="O382" s="342"/>
      <c r="P382" s="512"/>
      <c r="Q382" s="291" t="s">
        <v>385</v>
      </c>
      <c r="R382" s="526"/>
      <c r="S382" s="342"/>
      <c r="T382" s="293" t="s">
        <v>402</v>
      </c>
      <c r="U382" s="293" t="s">
        <v>402</v>
      </c>
      <c r="V382" s="293" t="s">
        <v>402</v>
      </c>
      <c r="W382" s="293" t="s">
        <v>402</v>
      </c>
      <c r="X382" s="293" t="s">
        <v>402</v>
      </c>
      <c r="Y382" s="293" t="s">
        <v>402</v>
      </c>
      <c r="Z382" s="293" t="s">
        <v>402</v>
      </c>
      <c r="AA382" s="293" t="s">
        <v>402</v>
      </c>
      <c r="AB382" s="514"/>
      <c r="AC382" s="518"/>
      <c r="AD382" s="519"/>
      <c r="AE382" s="293" t="s">
        <v>385</v>
      </c>
      <c r="AF382" s="293" t="s">
        <v>385</v>
      </c>
      <c r="AG382" s="293" t="s">
        <v>385</v>
      </c>
      <c r="AH382" s="288" t="s">
        <v>1114</v>
      </c>
      <c r="AI382" s="293" t="s">
        <v>460</v>
      </c>
      <c r="AJ382" s="528" t="s">
        <v>1199</v>
      </c>
      <c r="AK382" s="529" t="s">
        <v>1664</v>
      </c>
      <c r="AL382" s="295" t="s">
        <v>385</v>
      </c>
      <c r="AM382" s="523"/>
      <c r="AN382" s="523"/>
      <c r="AO382" s="342"/>
      <c r="AP382" s="342"/>
      <c r="AQ382" s="342"/>
      <c r="AR382" s="305">
        <v>10</v>
      </c>
      <c r="AS382" s="67"/>
    </row>
    <row r="383" spans="1:45" ht="15">
      <c r="A383" s="103"/>
      <c r="B383" s="517"/>
      <c r="C383" s="72"/>
      <c r="D383" s="74"/>
      <c r="E383" s="104"/>
      <c r="F383" s="104"/>
      <c r="G383" s="104"/>
      <c r="H383" s="104"/>
      <c r="I383" s="125"/>
      <c r="J383" s="527"/>
      <c r="K383" s="106"/>
      <c r="L383" s="525"/>
      <c r="M383" s="301"/>
      <c r="N383" s="342"/>
      <c r="O383" s="342"/>
      <c r="P383" s="512"/>
      <c r="Q383" s="291"/>
      <c r="R383" s="526"/>
      <c r="S383" s="342"/>
      <c r="T383" s="293"/>
      <c r="U383" s="293"/>
      <c r="V383" s="293"/>
      <c r="W383" s="293"/>
      <c r="X383" s="293"/>
      <c r="Y383" s="293"/>
      <c r="Z383" s="293"/>
      <c r="AA383" s="293"/>
      <c r="AB383" s="514"/>
      <c r="AC383" s="518"/>
      <c r="AD383" s="519"/>
      <c r="AE383" s="293"/>
      <c r="AF383" s="293"/>
      <c r="AG383" s="293"/>
      <c r="AH383" s="288"/>
      <c r="AI383" s="293"/>
      <c r="AJ383" s="530"/>
      <c r="AK383" s="303" t="s">
        <v>412</v>
      </c>
      <c r="AL383" s="295"/>
      <c r="AM383" s="523"/>
      <c r="AN383" s="523"/>
      <c r="AO383" s="342"/>
      <c r="AP383" s="342"/>
      <c r="AQ383" s="293" t="s">
        <v>1665</v>
      </c>
      <c r="AR383" s="305"/>
      <c r="AS383" s="67"/>
    </row>
    <row r="384" spans="1:45" ht="15">
      <c r="A384" s="103"/>
      <c r="B384" s="517"/>
      <c r="C384" s="72"/>
      <c r="D384" s="74"/>
      <c r="E384" s="104"/>
      <c r="F384" s="104"/>
      <c r="G384" s="104"/>
      <c r="H384" s="104"/>
      <c r="I384" s="125"/>
      <c r="J384" s="527"/>
      <c r="K384" s="106"/>
      <c r="L384" s="525" t="s">
        <v>334</v>
      </c>
      <c r="M384" s="301" t="s">
        <v>385</v>
      </c>
      <c r="N384" s="342"/>
      <c r="O384" s="342"/>
      <c r="P384" s="512"/>
      <c r="Q384" s="291" t="s">
        <v>385</v>
      </c>
      <c r="R384" s="526"/>
      <c r="S384" s="342"/>
      <c r="T384" s="293" t="s">
        <v>402</v>
      </c>
      <c r="U384" s="293" t="s">
        <v>402</v>
      </c>
      <c r="V384" s="293" t="s">
        <v>402</v>
      </c>
      <c r="W384" s="293" t="s">
        <v>402</v>
      </c>
      <c r="X384" s="293" t="s">
        <v>402</v>
      </c>
      <c r="Y384" s="293" t="s">
        <v>402</v>
      </c>
      <c r="Z384" s="293" t="s">
        <v>402</v>
      </c>
      <c r="AA384" s="293" t="s">
        <v>402</v>
      </c>
      <c r="AB384" s="514"/>
      <c r="AC384" s="518"/>
      <c r="AD384" s="519"/>
      <c r="AE384" s="293" t="s">
        <v>385</v>
      </c>
      <c r="AF384" s="293" t="s">
        <v>385</v>
      </c>
      <c r="AG384" s="293" t="s">
        <v>385</v>
      </c>
      <c r="AH384" s="288" t="s">
        <v>1114</v>
      </c>
      <c r="AI384" s="293" t="s">
        <v>460</v>
      </c>
      <c r="AJ384" s="528" t="s">
        <v>1199</v>
      </c>
      <c r="AK384" s="303" t="s">
        <v>412</v>
      </c>
      <c r="AL384" s="295" t="s">
        <v>385</v>
      </c>
      <c r="AM384" s="523"/>
      <c r="AN384" s="523"/>
      <c r="AO384" s="342"/>
      <c r="AP384" s="342"/>
      <c r="AQ384" s="293"/>
      <c r="AR384" s="305"/>
      <c r="AS384" s="67"/>
    </row>
    <row r="385" spans="1:45" ht="15">
      <c r="A385" s="103"/>
      <c r="B385" s="517" t="s">
        <v>1649</v>
      </c>
      <c r="C385" s="72">
        <v>43114</v>
      </c>
      <c r="D385" s="74" t="s">
        <v>360</v>
      </c>
      <c r="E385" s="76">
        <v>43576</v>
      </c>
      <c r="F385" s="78" t="s">
        <v>363</v>
      </c>
      <c r="G385" s="76">
        <v>43581</v>
      </c>
      <c r="H385" s="76"/>
      <c r="I385" s="521" t="s">
        <v>1666</v>
      </c>
      <c r="J385" s="527" t="s">
        <v>226</v>
      </c>
      <c r="K385" s="106"/>
      <c r="L385" s="525" t="s">
        <v>335</v>
      </c>
      <c r="M385" s="301" t="s">
        <v>385</v>
      </c>
      <c r="N385" s="342"/>
      <c r="O385" s="342"/>
      <c r="P385" s="512"/>
      <c r="Q385" s="291" t="s">
        <v>385</v>
      </c>
      <c r="R385" s="526"/>
      <c r="S385" s="342"/>
      <c r="T385" s="293" t="s">
        <v>402</v>
      </c>
      <c r="U385" s="293" t="s">
        <v>402</v>
      </c>
      <c r="V385" s="293" t="s">
        <v>402</v>
      </c>
      <c r="W385" s="293" t="s">
        <v>402</v>
      </c>
      <c r="X385" s="293" t="s">
        <v>402</v>
      </c>
      <c r="Y385" s="293" t="s">
        <v>402</v>
      </c>
      <c r="Z385" s="293" t="s">
        <v>402</v>
      </c>
      <c r="AA385" s="293" t="s">
        <v>402</v>
      </c>
      <c r="AB385" s="514"/>
      <c r="AC385" s="518"/>
      <c r="AD385" s="519"/>
      <c r="AE385" s="293" t="s">
        <v>385</v>
      </c>
      <c r="AF385" s="293" t="s">
        <v>385</v>
      </c>
      <c r="AG385" s="293" t="s">
        <v>385</v>
      </c>
      <c r="AH385" s="342"/>
      <c r="AI385" s="293" t="s">
        <v>530</v>
      </c>
      <c r="AJ385" s="514"/>
      <c r="AK385" s="303" t="s">
        <v>402</v>
      </c>
      <c r="AL385" s="295" t="s">
        <v>385</v>
      </c>
      <c r="AM385" s="523"/>
      <c r="AN385" s="523"/>
      <c r="AO385" s="342"/>
      <c r="AP385" s="342"/>
      <c r="AQ385" s="293" t="s">
        <v>1667</v>
      </c>
      <c r="AR385" s="305">
        <v>5</v>
      </c>
      <c r="AS385" s="67"/>
    </row>
    <row r="386" spans="1:45" ht="15">
      <c r="A386" s="103"/>
      <c r="B386" s="517"/>
      <c r="C386" s="72"/>
      <c r="D386" s="74"/>
      <c r="E386" s="104"/>
      <c r="F386" s="104"/>
      <c r="G386" s="104"/>
      <c r="H386" s="104"/>
      <c r="I386" s="521"/>
      <c r="J386" s="527"/>
      <c r="K386" s="106"/>
      <c r="L386" s="525"/>
      <c r="M386" s="301"/>
      <c r="N386" s="342"/>
      <c r="O386" s="342"/>
      <c r="P386" s="512"/>
      <c r="Q386" s="291"/>
      <c r="R386" s="526"/>
      <c r="S386" s="342"/>
      <c r="T386" s="293"/>
      <c r="U386" s="293"/>
      <c r="V386" s="293"/>
      <c r="W386" s="293"/>
      <c r="X386" s="293"/>
      <c r="Y386" s="293"/>
      <c r="Z386" s="293"/>
      <c r="AA386" s="293"/>
      <c r="AB386" s="514"/>
      <c r="AC386" s="518"/>
      <c r="AD386" s="519"/>
      <c r="AE386" s="293"/>
      <c r="AF386" s="293"/>
      <c r="AG386" s="293"/>
      <c r="AH386" s="342"/>
      <c r="AI386" s="293"/>
      <c r="AJ386" s="514"/>
      <c r="AK386" s="303" t="s">
        <v>733</v>
      </c>
      <c r="AL386" s="295"/>
      <c r="AM386" s="523"/>
      <c r="AN386" s="523"/>
      <c r="AO386" s="342"/>
      <c r="AP386" s="342"/>
      <c r="AQ386" s="293" t="s">
        <v>1668</v>
      </c>
      <c r="AR386" s="305"/>
      <c r="AS386" s="67"/>
    </row>
    <row r="387" spans="1:45" ht="15">
      <c r="A387" s="103"/>
      <c r="B387" s="517"/>
      <c r="C387" s="72"/>
      <c r="D387" s="74"/>
      <c r="E387" s="104"/>
      <c r="F387" s="104"/>
      <c r="G387" s="104"/>
      <c r="H387" s="78"/>
      <c r="I387" s="521"/>
      <c r="J387" s="527"/>
      <c r="K387" s="106"/>
      <c r="L387" s="525" t="s">
        <v>335</v>
      </c>
      <c r="M387" s="301" t="s">
        <v>385</v>
      </c>
      <c r="N387" s="342"/>
      <c r="O387" s="96"/>
      <c r="P387" s="512"/>
      <c r="Q387" s="291" t="s">
        <v>385</v>
      </c>
      <c r="R387" s="526"/>
      <c r="S387" s="342"/>
      <c r="T387" s="293" t="s">
        <v>402</v>
      </c>
      <c r="U387" s="293" t="s">
        <v>402</v>
      </c>
      <c r="V387" s="293" t="s">
        <v>402</v>
      </c>
      <c r="W387" s="293" t="s">
        <v>402</v>
      </c>
      <c r="X387" s="293" t="s">
        <v>402</v>
      </c>
      <c r="Y387" s="293" t="s">
        <v>402</v>
      </c>
      <c r="Z387" s="293" t="s">
        <v>402</v>
      </c>
      <c r="AA387" s="293" t="s">
        <v>402</v>
      </c>
      <c r="AB387" s="514"/>
      <c r="AC387" s="518"/>
      <c r="AD387" s="519"/>
      <c r="AE387" s="293" t="s">
        <v>385</v>
      </c>
      <c r="AF387" s="293" t="s">
        <v>385</v>
      </c>
      <c r="AG387" s="293" t="s">
        <v>385</v>
      </c>
      <c r="AH387" s="342"/>
      <c r="AI387" s="293" t="s">
        <v>530</v>
      </c>
      <c r="AJ387" s="514"/>
      <c r="AK387" s="303" t="s">
        <v>733</v>
      </c>
      <c r="AL387" s="295" t="s">
        <v>385</v>
      </c>
      <c r="AM387" s="523"/>
      <c r="AN387" s="523"/>
      <c r="AO387" s="342"/>
      <c r="AP387" s="342"/>
      <c r="AQ387" s="293"/>
      <c r="AR387" s="305"/>
      <c r="AS387" s="67"/>
    </row>
    <row r="388" spans="1:45" ht="43">
      <c r="A388" s="68"/>
      <c r="B388" s="517" t="s">
        <v>1649</v>
      </c>
      <c r="C388" s="72">
        <v>43114</v>
      </c>
      <c r="D388" s="74" t="s">
        <v>360</v>
      </c>
      <c r="E388" s="76">
        <v>43576</v>
      </c>
      <c r="F388" s="78" t="s">
        <v>363</v>
      </c>
      <c r="G388" s="76">
        <v>43581</v>
      </c>
      <c r="H388" s="78" t="s">
        <v>355</v>
      </c>
      <c r="I388" s="531" t="s">
        <v>1669</v>
      </c>
      <c r="J388" s="532" t="s">
        <v>227</v>
      </c>
      <c r="K388" s="126" t="s">
        <v>851</v>
      </c>
      <c r="L388" s="525" t="s">
        <v>336</v>
      </c>
      <c r="M388" s="301" t="s">
        <v>374</v>
      </c>
      <c r="N388" s="289" t="s">
        <v>604</v>
      </c>
      <c r="O388" s="533"/>
      <c r="P388" s="512"/>
      <c r="Q388" s="291" t="s">
        <v>385</v>
      </c>
      <c r="R388" s="526"/>
      <c r="S388" s="342"/>
      <c r="T388" s="293" t="s">
        <v>402</v>
      </c>
      <c r="U388" s="293" t="s">
        <v>402</v>
      </c>
      <c r="V388" s="293" t="s">
        <v>402</v>
      </c>
      <c r="W388" s="293" t="s">
        <v>402</v>
      </c>
      <c r="X388" s="293" t="s">
        <v>402</v>
      </c>
      <c r="Y388" s="293" t="s">
        <v>402</v>
      </c>
      <c r="Z388" s="293" t="s">
        <v>402</v>
      </c>
      <c r="AA388" s="293" t="s">
        <v>402</v>
      </c>
      <c r="AB388" s="514"/>
      <c r="AC388" s="443" t="s">
        <v>977</v>
      </c>
      <c r="AD388" s="356" t="s">
        <v>604</v>
      </c>
      <c r="AE388" s="293" t="s">
        <v>354</v>
      </c>
      <c r="AF388" s="293" t="s">
        <v>385</v>
      </c>
      <c r="AG388" s="293" t="s">
        <v>385</v>
      </c>
      <c r="AH388" s="342"/>
      <c r="AI388" s="293" t="s">
        <v>530</v>
      </c>
      <c r="AJ388" s="514"/>
      <c r="AK388" s="303" t="s">
        <v>402</v>
      </c>
      <c r="AL388" s="295" t="s">
        <v>385</v>
      </c>
      <c r="AM388" s="520"/>
      <c r="AN388" s="520"/>
      <c r="AO388" s="342"/>
      <c r="AP388" s="342"/>
      <c r="AQ388" s="342"/>
      <c r="AR388" s="305">
        <v>10</v>
      </c>
      <c r="AS388" s="67"/>
    </row>
    <row r="389" spans="1:45" ht="15">
      <c r="A389" s="103"/>
      <c r="B389" s="517"/>
      <c r="C389" s="72"/>
      <c r="D389" s="74"/>
      <c r="E389" s="104"/>
      <c r="F389" s="104"/>
      <c r="G389" s="104"/>
      <c r="H389" s="104"/>
      <c r="I389" s="531"/>
      <c r="J389" s="527"/>
      <c r="K389" s="106"/>
      <c r="L389" s="525"/>
      <c r="M389" s="301"/>
      <c r="N389" s="288"/>
      <c r="O389" s="293" t="s">
        <v>1670</v>
      </c>
      <c r="P389" s="15" t="s">
        <v>778</v>
      </c>
      <c r="Q389" s="291"/>
      <c r="R389" s="526"/>
      <c r="S389" s="342"/>
      <c r="T389" s="293"/>
      <c r="U389" s="293"/>
      <c r="V389" s="293"/>
      <c r="W389" s="293"/>
      <c r="X389" s="293"/>
      <c r="Y389" s="293" t="s">
        <v>355</v>
      </c>
      <c r="Z389" s="293"/>
      <c r="AA389" s="293"/>
      <c r="AB389" s="514"/>
      <c r="AC389" s="443"/>
      <c r="AD389" s="327"/>
      <c r="AE389" s="293"/>
      <c r="AF389" s="293"/>
      <c r="AG389" s="293"/>
      <c r="AH389" s="342"/>
      <c r="AI389" s="293"/>
      <c r="AJ389" s="514"/>
      <c r="AK389" s="303"/>
      <c r="AL389" s="295"/>
      <c r="AM389" s="523"/>
      <c r="AN389" s="523"/>
      <c r="AO389" s="342"/>
      <c r="AP389" s="342"/>
      <c r="AQ389" s="342"/>
      <c r="AR389" s="305"/>
      <c r="AS389" s="67"/>
    </row>
    <row r="390" spans="1:45" ht="15">
      <c r="A390" s="103"/>
      <c r="B390" s="517"/>
      <c r="C390" s="72"/>
      <c r="D390" s="74"/>
      <c r="E390" s="104"/>
      <c r="F390" s="104"/>
      <c r="G390" s="104"/>
      <c r="H390" s="78" t="s">
        <v>1671</v>
      </c>
      <c r="I390" s="531"/>
      <c r="J390" s="527"/>
      <c r="K390" s="106"/>
      <c r="L390" s="525" t="s">
        <v>336</v>
      </c>
      <c r="M390" s="301" t="s">
        <v>374</v>
      </c>
      <c r="N390" s="288" t="s">
        <v>604</v>
      </c>
      <c r="O390" s="293"/>
      <c r="P390" s="15" t="s">
        <v>778</v>
      </c>
      <c r="Q390" s="291" t="s">
        <v>385</v>
      </c>
      <c r="R390" s="526"/>
      <c r="S390" s="342"/>
      <c r="T390" s="293" t="s">
        <v>402</v>
      </c>
      <c r="U390" s="293" t="s">
        <v>402</v>
      </c>
      <c r="V390" s="293" t="s">
        <v>402</v>
      </c>
      <c r="W390" s="293" t="s">
        <v>402</v>
      </c>
      <c r="X390" s="534" t="s">
        <v>402</v>
      </c>
      <c r="Y390" s="534" t="s">
        <v>403</v>
      </c>
      <c r="Z390" s="534" t="s">
        <v>402</v>
      </c>
      <c r="AA390" s="534" t="s">
        <v>402</v>
      </c>
      <c r="AB390" s="535"/>
      <c r="AC390" s="438" t="s">
        <v>977</v>
      </c>
      <c r="AD390" s="536" t="s">
        <v>604</v>
      </c>
      <c r="AE390" s="534" t="s">
        <v>354</v>
      </c>
      <c r="AF390" s="534" t="s">
        <v>385</v>
      </c>
      <c r="AG390" s="534" t="s">
        <v>385</v>
      </c>
      <c r="AH390" s="537"/>
      <c r="AI390" s="534" t="s">
        <v>530</v>
      </c>
      <c r="AJ390" s="535"/>
      <c r="AK390" s="439" t="s">
        <v>402</v>
      </c>
      <c r="AL390" s="538" t="s">
        <v>385</v>
      </c>
      <c r="AM390" s="523"/>
      <c r="AN390" s="523"/>
      <c r="AO390" s="342"/>
      <c r="AP390" s="342"/>
      <c r="AQ390" s="342"/>
      <c r="AR390" s="305"/>
      <c r="AS390" s="67"/>
    </row>
    <row r="391" spans="1:45" ht="15">
      <c r="A391" s="103"/>
      <c r="B391" s="517" t="s">
        <v>1649</v>
      </c>
      <c r="C391" s="72">
        <v>43114</v>
      </c>
      <c r="D391" s="74" t="s">
        <v>360</v>
      </c>
      <c r="E391" s="76">
        <v>43575</v>
      </c>
      <c r="F391" s="78" t="s">
        <v>363</v>
      </c>
      <c r="G391" s="76">
        <v>43581</v>
      </c>
      <c r="H391" s="78" t="s">
        <v>355</v>
      </c>
      <c r="I391" s="539" t="s">
        <v>1672</v>
      </c>
      <c r="J391" s="540" t="s">
        <v>228</v>
      </c>
      <c r="K391" s="106"/>
      <c r="L391" s="525" t="s">
        <v>337</v>
      </c>
      <c r="M391" s="301" t="s">
        <v>374</v>
      </c>
      <c r="N391" s="288" t="s">
        <v>606</v>
      </c>
      <c r="O391" s="342"/>
      <c r="P391" s="512"/>
      <c r="Q391" s="291" t="s">
        <v>385</v>
      </c>
      <c r="R391" s="513" t="s">
        <v>829</v>
      </c>
      <c r="S391" s="288" t="s">
        <v>898</v>
      </c>
      <c r="T391" s="293" t="s">
        <v>402</v>
      </c>
      <c r="U391" s="293" t="s">
        <v>402</v>
      </c>
      <c r="V391" s="293" t="s">
        <v>402</v>
      </c>
      <c r="W391" s="293" t="s">
        <v>402</v>
      </c>
      <c r="X391" s="293" t="s">
        <v>402</v>
      </c>
      <c r="Y391" s="293" t="s">
        <v>355</v>
      </c>
      <c r="Z391" s="293" t="s">
        <v>402</v>
      </c>
      <c r="AA391" s="293" t="s">
        <v>402</v>
      </c>
      <c r="AB391" s="514"/>
      <c r="AC391" s="443" t="s">
        <v>978</v>
      </c>
      <c r="AD391" s="327" t="s">
        <v>606</v>
      </c>
      <c r="AE391" s="293" t="s">
        <v>354</v>
      </c>
      <c r="AF391" s="293" t="s">
        <v>385</v>
      </c>
      <c r="AG391" s="293" t="s">
        <v>385</v>
      </c>
      <c r="AH391" s="342"/>
      <c r="AI391" s="293" t="s">
        <v>530</v>
      </c>
      <c r="AJ391" s="514"/>
      <c r="AK391" s="303" t="s">
        <v>402</v>
      </c>
      <c r="AL391" s="295" t="s">
        <v>385</v>
      </c>
      <c r="AM391" s="523"/>
      <c r="AN391" s="523"/>
      <c r="AO391" s="342"/>
      <c r="AP391" s="342"/>
      <c r="AQ391" s="342"/>
      <c r="AR391" s="305">
        <v>5</v>
      </c>
      <c r="AS391" s="29" t="s">
        <v>1673</v>
      </c>
    </row>
    <row r="392" spans="1:45" ht="15">
      <c r="A392" s="103"/>
      <c r="B392" s="517"/>
      <c r="C392" s="72"/>
      <c r="D392" s="74"/>
      <c r="E392" s="104"/>
      <c r="F392" s="104"/>
      <c r="G392" s="104"/>
      <c r="H392" s="104"/>
      <c r="I392" s="539"/>
      <c r="J392" s="527"/>
      <c r="K392" s="106"/>
      <c r="L392" s="525"/>
      <c r="M392" s="301" t="s">
        <v>397</v>
      </c>
      <c r="N392" s="288"/>
      <c r="O392" s="342"/>
      <c r="P392" s="512"/>
      <c r="Q392" s="291"/>
      <c r="R392" s="513"/>
      <c r="S392" s="288"/>
      <c r="T392" s="293"/>
      <c r="U392" s="293"/>
      <c r="V392" s="293"/>
      <c r="W392" s="293"/>
      <c r="X392" s="293"/>
      <c r="Y392" s="293"/>
      <c r="Z392" s="293"/>
      <c r="AA392" s="293"/>
      <c r="AB392" s="514"/>
      <c r="AC392" s="443"/>
      <c r="AD392" s="327"/>
      <c r="AE392" s="293"/>
      <c r="AF392" s="293"/>
      <c r="AG392" s="293"/>
      <c r="AH392" s="342"/>
      <c r="AI392" s="293"/>
      <c r="AJ392" s="514"/>
      <c r="AK392" s="303"/>
      <c r="AL392" s="295"/>
      <c r="AM392" s="523"/>
      <c r="AN392" s="523"/>
      <c r="AO392" s="342"/>
      <c r="AP392" s="342"/>
      <c r="AQ392" s="342"/>
      <c r="AR392" s="305"/>
      <c r="AS392" s="67"/>
    </row>
    <row r="393" spans="1:45" ht="15">
      <c r="A393" s="103"/>
      <c r="B393" s="517"/>
      <c r="C393" s="72"/>
      <c r="D393" s="74"/>
      <c r="E393" s="104"/>
      <c r="F393" s="104"/>
      <c r="G393" s="104"/>
      <c r="H393" s="104"/>
      <c r="I393" s="539"/>
      <c r="J393" s="527"/>
      <c r="K393" s="106"/>
      <c r="L393" s="525" t="s">
        <v>337</v>
      </c>
      <c r="M393" s="301" t="s">
        <v>397</v>
      </c>
      <c r="N393" s="288" t="s">
        <v>606</v>
      </c>
      <c r="O393" s="342"/>
      <c r="P393" s="512"/>
      <c r="Q393" s="291" t="s">
        <v>385</v>
      </c>
      <c r="R393" s="513" t="s">
        <v>829</v>
      </c>
      <c r="S393" s="288" t="s">
        <v>898</v>
      </c>
      <c r="T393" s="293" t="s">
        <v>402</v>
      </c>
      <c r="U393" s="293" t="s">
        <v>402</v>
      </c>
      <c r="V393" s="293" t="s">
        <v>402</v>
      </c>
      <c r="W393" s="293" t="s">
        <v>402</v>
      </c>
      <c r="X393" s="293" t="s">
        <v>402</v>
      </c>
      <c r="Y393" s="293" t="s">
        <v>355</v>
      </c>
      <c r="Z393" s="293" t="s">
        <v>402</v>
      </c>
      <c r="AA393" s="293" t="s">
        <v>402</v>
      </c>
      <c r="AB393" s="514"/>
      <c r="AC393" s="443" t="s">
        <v>978</v>
      </c>
      <c r="AD393" s="327" t="s">
        <v>606</v>
      </c>
      <c r="AE393" s="293" t="s">
        <v>354</v>
      </c>
      <c r="AF393" s="293" t="s">
        <v>385</v>
      </c>
      <c r="AG393" s="293" t="s">
        <v>385</v>
      </c>
      <c r="AH393" s="342"/>
      <c r="AI393" s="293" t="s">
        <v>530</v>
      </c>
      <c r="AJ393" s="514"/>
      <c r="AK393" s="303" t="s">
        <v>402</v>
      </c>
      <c r="AL393" s="295" t="s">
        <v>385</v>
      </c>
      <c r="AM393" s="523"/>
      <c r="AN393" s="523"/>
      <c r="AO393" s="342"/>
      <c r="AP393" s="342"/>
      <c r="AQ393" s="342"/>
      <c r="AR393" s="305"/>
      <c r="AS393" s="67"/>
    </row>
    <row r="394" spans="1:45" ht="43">
      <c r="A394" s="103"/>
      <c r="B394" s="517" t="s">
        <v>1649</v>
      </c>
      <c r="C394" s="72">
        <v>43114</v>
      </c>
      <c r="D394" s="74" t="s">
        <v>360</v>
      </c>
      <c r="E394" s="76">
        <v>43575</v>
      </c>
      <c r="F394" s="78" t="s">
        <v>363</v>
      </c>
      <c r="G394" s="76">
        <v>43581</v>
      </c>
      <c r="H394" s="78" t="s">
        <v>355</v>
      </c>
      <c r="I394" s="541" t="s">
        <v>1674</v>
      </c>
      <c r="J394" s="527" t="s">
        <v>229</v>
      </c>
      <c r="K394" s="126" t="s">
        <v>786</v>
      </c>
      <c r="L394" s="525" t="s">
        <v>332</v>
      </c>
      <c r="M394" s="301" t="s">
        <v>382</v>
      </c>
      <c r="N394" s="288" t="s">
        <v>607</v>
      </c>
      <c r="O394" s="342"/>
      <c r="P394" s="512"/>
      <c r="Q394" s="291" t="s">
        <v>385</v>
      </c>
      <c r="R394" s="526"/>
      <c r="S394" s="342"/>
      <c r="T394" s="293" t="s">
        <v>402</v>
      </c>
      <c r="U394" s="293" t="s">
        <v>402</v>
      </c>
      <c r="V394" s="293" t="s">
        <v>402</v>
      </c>
      <c r="W394" s="293" t="s">
        <v>402</v>
      </c>
      <c r="X394" s="293" t="s">
        <v>402</v>
      </c>
      <c r="Y394" s="293" t="s">
        <v>355</v>
      </c>
      <c r="Z394" s="293" t="s">
        <v>402</v>
      </c>
      <c r="AA394" s="293" t="s">
        <v>402</v>
      </c>
      <c r="AB394" s="514"/>
      <c r="AC394" s="518"/>
      <c r="AD394" s="519"/>
      <c r="AE394" s="293" t="s">
        <v>385</v>
      </c>
      <c r="AF394" s="293" t="s">
        <v>385</v>
      </c>
      <c r="AG394" s="293" t="s">
        <v>385</v>
      </c>
      <c r="AH394" s="342"/>
      <c r="AI394" s="293" t="s">
        <v>530</v>
      </c>
      <c r="AJ394" s="514"/>
      <c r="AK394" s="303" t="s">
        <v>402</v>
      </c>
      <c r="AL394" s="295" t="s">
        <v>385</v>
      </c>
      <c r="AM394" s="523"/>
      <c r="AN394" s="523"/>
      <c r="AO394" s="342"/>
      <c r="AP394" s="342"/>
      <c r="AQ394" s="342"/>
      <c r="AR394" s="305"/>
      <c r="AS394" s="67"/>
    </row>
    <row r="395" spans="1:45" ht="15">
      <c r="A395" s="103"/>
      <c r="B395" s="517"/>
      <c r="C395" s="72"/>
      <c r="D395" s="74"/>
      <c r="E395" s="104"/>
      <c r="F395" s="104"/>
      <c r="G395" s="104"/>
      <c r="H395" s="104"/>
      <c r="I395" s="541"/>
      <c r="J395" s="527"/>
      <c r="K395" s="106"/>
      <c r="L395" s="525"/>
      <c r="M395" s="301"/>
      <c r="N395" s="288"/>
      <c r="O395" s="342"/>
      <c r="P395" s="512"/>
      <c r="Q395" s="291"/>
      <c r="R395" s="526"/>
      <c r="S395" s="342"/>
      <c r="T395" s="293"/>
      <c r="U395" s="293"/>
      <c r="V395" s="293"/>
      <c r="W395" s="293"/>
      <c r="X395" s="293"/>
      <c r="Y395" s="293"/>
      <c r="Z395" s="293"/>
      <c r="AA395" s="293"/>
      <c r="AB395" s="514"/>
      <c r="AC395" s="518"/>
      <c r="AD395" s="519"/>
      <c r="AE395" s="293"/>
      <c r="AF395" s="293"/>
      <c r="AG395" s="293"/>
      <c r="AH395" s="342"/>
      <c r="AI395" s="293"/>
      <c r="AJ395" s="514"/>
      <c r="AK395" s="130" t="s">
        <v>727</v>
      </c>
      <c r="AL395" s="295"/>
      <c r="AM395" s="523"/>
      <c r="AN395" s="523"/>
      <c r="AO395" s="342"/>
      <c r="AP395" s="342"/>
      <c r="AQ395" s="96"/>
      <c r="AR395" s="305"/>
      <c r="AS395" s="29" t="s">
        <v>1675</v>
      </c>
    </row>
    <row r="396" spans="1:45" ht="15">
      <c r="A396" s="103"/>
      <c r="B396" s="517"/>
      <c r="C396" s="72"/>
      <c r="D396" s="74"/>
      <c r="E396" s="104"/>
      <c r="F396" s="104"/>
      <c r="G396" s="104"/>
      <c r="H396" s="78"/>
      <c r="I396" s="541"/>
      <c r="J396" s="527"/>
      <c r="K396" s="106"/>
      <c r="L396" s="525" t="s">
        <v>332</v>
      </c>
      <c r="M396" s="301" t="s">
        <v>382</v>
      </c>
      <c r="N396" s="288" t="s">
        <v>607</v>
      </c>
      <c r="O396" s="342"/>
      <c r="P396" s="512"/>
      <c r="Q396" s="291" t="s">
        <v>385</v>
      </c>
      <c r="R396" s="526"/>
      <c r="S396" s="342"/>
      <c r="T396" s="293" t="s">
        <v>402</v>
      </c>
      <c r="U396" s="293" t="s">
        <v>402</v>
      </c>
      <c r="V396" s="293" t="s">
        <v>402</v>
      </c>
      <c r="W396" s="293" t="s">
        <v>402</v>
      </c>
      <c r="X396" s="293" t="s">
        <v>402</v>
      </c>
      <c r="Y396" s="293" t="s">
        <v>355</v>
      </c>
      <c r="Z396" s="293" t="s">
        <v>402</v>
      </c>
      <c r="AA396" s="293" t="s">
        <v>402</v>
      </c>
      <c r="AB396" s="514"/>
      <c r="AC396" s="518"/>
      <c r="AD396" s="519"/>
      <c r="AE396" s="293" t="s">
        <v>385</v>
      </c>
      <c r="AF396" s="293" t="s">
        <v>385</v>
      </c>
      <c r="AG396" s="293" t="s">
        <v>385</v>
      </c>
      <c r="AH396" s="342"/>
      <c r="AI396" s="293" t="s">
        <v>530</v>
      </c>
      <c r="AJ396" s="514"/>
      <c r="AK396" s="130" t="s">
        <v>1234</v>
      </c>
      <c r="AL396" s="295" t="s">
        <v>385</v>
      </c>
      <c r="AM396" s="523"/>
      <c r="AN396" s="523"/>
      <c r="AO396" s="342"/>
      <c r="AP396" s="342"/>
      <c r="AQ396" s="15" t="s">
        <v>607</v>
      </c>
      <c r="AR396" s="305"/>
      <c r="AS396" s="29"/>
    </row>
    <row r="397" spans="1:45" ht="43">
      <c r="A397" s="103"/>
      <c r="B397" s="517" t="s">
        <v>1649</v>
      </c>
      <c r="C397" s="72">
        <v>43114</v>
      </c>
      <c r="D397" s="74" t="s">
        <v>360</v>
      </c>
      <c r="E397" s="76">
        <v>43575</v>
      </c>
      <c r="F397" s="78" t="s">
        <v>363</v>
      </c>
      <c r="G397" s="76">
        <v>43581</v>
      </c>
      <c r="H397" s="78" t="s">
        <v>355</v>
      </c>
      <c r="I397" s="539" t="s">
        <v>1676</v>
      </c>
      <c r="J397" s="527" t="s">
        <v>230</v>
      </c>
      <c r="K397" s="126" t="s">
        <v>851</v>
      </c>
      <c r="L397" s="525" t="s">
        <v>338</v>
      </c>
      <c r="M397" s="301" t="s">
        <v>374</v>
      </c>
      <c r="N397" s="288" t="s">
        <v>1033</v>
      </c>
      <c r="O397" s="342"/>
      <c r="P397" s="512"/>
      <c r="Q397" s="291" t="s">
        <v>385</v>
      </c>
      <c r="R397" s="513" t="s">
        <v>830</v>
      </c>
      <c r="S397" s="288" t="s">
        <v>901</v>
      </c>
      <c r="T397" s="293" t="s">
        <v>402</v>
      </c>
      <c r="U397" s="293" t="s">
        <v>402</v>
      </c>
      <c r="V397" s="293" t="s">
        <v>402</v>
      </c>
      <c r="W397" s="293" t="s">
        <v>402</v>
      </c>
      <c r="X397" s="293" t="s">
        <v>402</v>
      </c>
      <c r="Y397" s="293" t="s">
        <v>355</v>
      </c>
      <c r="Z397" s="293" t="s">
        <v>402</v>
      </c>
      <c r="AA397" s="293" t="s">
        <v>402</v>
      </c>
      <c r="AB397" s="514"/>
      <c r="AC397" s="443" t="s">
        <v>979</v>
      </c>
      <c r="AD397" s="327" t="s">
        <v>1033</v>
      </c>
      <c r="AE397" s="293" t="s">
        <v>354</v>
      </c>
      <c r="AF397" s="293" t="s">
        <v>385</v>
      </c>
      <c r="AG397" s="293" t="s">
        <v>385</v>
      </c>
      <c r="AH397" s="342"/>
      <c r="AI397" s="293" t="s">
        <v>530</v>
      </c>
      <c r="AJ397" s="514"/>
      <c r="AK397" s="303" t="s">
        <v>1677</v>
      </c>
      <c r="AL397" s="295" t="s">
        <v>385</v>
      </c>
      <c r="AM397" s="523"/>
      <c r="AN397" s="523"/>
      <c r="AO397" s="342"/>
      <c r="AP397" s="342"/>
      <c r="AQ397" s="96"/>
      <c r="AR397" s="542">
        <v>10</v>
      </c>
      <c r="AS397" s="29" t="s">
        <v>1678</v>
      </c>
    </row>
    <row r="398" spans="1:45" ht="15">
      <c r="A398" s="103"/>
      <c r="B398" s="517"/>
      <c r="C398" s="72"/>
      <c r="D398" s="74"/>
      <c r="E398" s="104"/>
      <c r="F398" s="104"/>
      <c r="G398" s="104"/>
      <c r="H398" s="104"/>
      <c r="I398" s="539"/>
      <c r="J398" s="527"/>
      <c r="K398" s="106"/>
      <c r="L398" s="525"/>
      <c r="M398" s="301"/>
      <c r="N398" s="15" t="s">
        <v>610</v>
      </c>
      <c r="O398" s="15" t="s">
        <v>1679</v>
      </c>
      <c r="P398" s="512"/>
      <c r="Q398" s="291"/>
      <c r="R398" s="513"/>
      <c r="S398" s="288"/>
      <c r="T398" s="293" t="s">
        <v>355</v>
      </c>
      <c r="U398" s="293" t="s">
        <v>355</v>
      </c>
      <c r="V398" s="293" t="s">
        <v>355</v>
      </c>
      <c r="W398" s="293"/>
      <c r="X398" s="293" t="s">
        <v>355</v>
      </c>
      <c r="Y398" s="293"/>
      <c r="Z398" s="293"/>
      <c r="AA398" s="293"/>
      <c r="AB398" s="514"/>
      <c r="AC398" s="443"/>
      <c r="AD398" s="327"/>
      <c r="AE398" s="293"/>
      <c r="AF398" s="293"/>
      <c r="AG398" s="293"/>
      <c r="AH398" s="342"/>
      <c r="AI398" s="293"/>
      <c r="AJ398" s="514"/>
      <c r="AK398" s="543" t="s">
        <v>1235</v>
      </c>
      <c r="AL398" s="295"/>
      <c r="AM398" s="523"/>
      <c r="AN398" s="523"/>
      <c r="AO398" s="342"/>
      <c r="AP398" s="342"/>
      <c r="AQ398" s="85" t="s">
        <v>1680</v>
      </c>
      <c r="AR398" s="542"/>
      <c r="AS398" s="29"/>
    </row>
    <row r="399" spans="1:45" ht="15">
      <c r="A399" s="103"/>
      <c r="B399" s="517"/>
      <c r="C399" s="72"/>
      <c r="D399" s="74"/>
      <c r="E399" s="104"/>
      <c r="F399" s="104"/>
      <c r="G399" s="104"/>
      <c r="H399" s="104"/>
      <c r="I399" s="539"/>
      <c r="J399" s="527"/>
      <c r="K399" s="106"/>
      <c r="L399" s="525" t="s">
        <v>338</v>
      </c>
      <c r="M399" s="301" t="s">
        <v>374</v>
      </c>
      <c r="N399" s="15" t="s">
        <v>610</v>
      </c>
      <c r="O399" s="69"/>
      <c r="P399" s="512"/>
      <c r="Q399" s="291" t="s">
        <v>385</v>
      </c>
      <c r="R399" s="513" t="s">
        <v>830</v>
      </c>
      <c r="S399" s="288" t="s">
        <v>901</v>
      </c>
      <c r="T399" s="293" t="s">
        <v>355</v>
      </c>
      <c r="U399" s="293" t="s">
        <v>355</v>
      </c>
      <c r="V399" s="293" t="s">
        <v>355</v>
      </c>
      <c r="W399" s="293" t="s">
        <v>402</v>
      </c>
      <c r="X399" s="293" t="s">
        <v>355</v>
      </c>
      <c r="Y399" s="293" t="s">
        <v>355</v>
      </c>
      <c r="Z399" s="293" t="s">
        <v>402</v>
      </c>
      <c r="AA399" s="293" t="s">
        <v>402</v>
      </c>
      <c r="AB399" s="514"/>
      <c r="AC399" s="443" t="s">
        <v>979</v>
      </c>
      <c r="AD399" s="327" t="s">
        <v>1033</v>
      </c>
      <c r="AE399" s="293" t="s">
        <v>354</v>
      </c>
      <c r="AF399" s="293" t="s">
        <v>385</v>
      </c>
      <c r="AG399" s="293" t="s">
        <v>385</v>
      </c>
      <c r="AH399" s="342"/>
      <c r="AI399" s="293" t="s">
        <v>530</v>
      </c>
      <c r="AJ399" s="514"/>
      <c r="AK399" s="543" t="s">
        <v>1235</v>
      </c>
      <c r="AL399" s="295"/>
      <c r="AM399" s="523"/>
      <c r="AN399" s="523"/>
      <c r="AO399" s="342"/>
      <c r="AP399" s="342"/>
      <c r="AQ399" s="85"/>
      <c r="AR399" s="542"/>
      <c r="AS399" s="29"/>
    </row>
    <row r="400" spans="1:45" ht="43">
      <c r="A400" s="103"/>
      <c r="B400" s="517" t="s">
        <v>1649</v>
      </c>
      <c r="C400" s="72">
        <v>43114</v>
      </c>
      <c r="D400" s="74" t="s">
        <v>360</v>
      </c>
      <c r="E400" s="76">
        <v>43575</v>
      </c>
      <c r="F400" s="78" t="s">
        <v>363</v>
      </c>
      <c r="G400" s="76">
        <v>43581</v>
      </c>
      <c r="H400" s="78" t="s">
        <v>355</v>
      </c>
      <c r="I400" s="539" t="s">
        <v>1681</v>
      </c>
      <c r="J400" s="527" t="s">
        <v>231</v>
      </c>
      <c r="K400" s="126" t="s">
        <v>851</v>
      </c>
      <c r="L400" s="525" t="s">
        <v>338</v>
      </c>
      <c r="M400" s="301" t="s">
        <v>374</v>
      </c>
      <c r="N400" s="288" t="s">
        <v>612</v>
      </c>
      <c r="O400" s="342"/>
      <c r="P400" s="512"/>
      <c r="Q400" s="291" t="s">
        <v>385</v>
      </c>
      <c r="R400" s="513" t="s">
        <v>831</v>
      </c>
      <c r="S400" s="288" t="s">
        <v>903</v>
      </c>
      <c r="T400" s="293" t="s">
        <v>402</v>
      </c>
      <c r="U400" s="293" t="s">
        <v>402</v>
      </c>
      <c r="V400" s="293" t="s">
        <v>402</v>
      </c>
      <c r="W400" s="293" t="s">
        <v>402</v>
      </c>
      <c r="X400" s="293" t="s">
        <v>402</v>
      </c>
      <c r="Y400" s="293" t="s">
        <v>355</v>
      </c>
      <c r="Z400" s="293" t="s">
        <v>402</v>
      </c>
      <c r="AA400" s="293" t="s">
        <v>402</v>
      </c>
      <c r="AB400" s="514"/>
      <c r="AC400" s="443" t="s">
        <v>979</v>
      </c>
      <c r="AD400" s="327" t="s">
        <v>612</v>
      </c>
      <c r="AE400" s="293" t="s">
        <v>354</v>
      </c>
      <c r="AF400" s="293" t="s">
        <v>385</v>
      </c>
      <c r="AG400" s="293" t="s">
        <v>385</v>
      </c>
      <c r="AH400" s="342"/>
      <c r="AI400" s="293" t="s">
        <v>530</v>
      </c>
      <c r="AJ400" s="514"/>
      <c r="AK400" s="303" t="s">
        <v>1677</v>
      </c>
      <c r="AL400" s="295" t="s">
        <v>385</v>
      </c>
      <c r="AM400" s="523"/>
      <c r="AN400" s="523"/>
      <c r="AO400" s="342"/>
      <c r="AP400" s="342"/>
      <c r="AQ400" s="96"/>
      <c r="AR400" s="542">
        <v>10</v>
      </c>
      <c r="AS400" s="29" t="s">
        <v>1678</v>
      </c>
    </row>
    <row r="401" spans="1:45" ht="15">
      <c r="A401" s="103"/>
      <c r="B401" s="517"/>
      <c r="C401" s="72"/>
      <c r="D401" s="74"/>
      <c r="E401" s="104"/>
      <c r="F401" s="104"/>
      <c r="G401" s="104"/>
      <c r="H401" s="104"/>
      <c r="I401" s="539"/>
      <c r="J401" s="527"/>
      <c r="K401" s="106"/>
      <c r="L401" s="525"/>
      <c r="M401" s="301"/>
      <c r="N401" s="288"/>
      <c r="O401" s="69"/>
      <c r="P401" s="69"/>
      <c r="Q401" s="291"/>
      <c r="R401" s="513"/>
      <c r="S401" s="288"/>
      <c r="T401" s="293" t="s">
        <v>355</v>
      </c>
      <c r="U401" s="293" t="s">
        <v>355</v>
      </c>
      <c r="V401" s="293" t="s">
        <v>355</v>
      </c>
      <c r="W401" s="293"/>
      <c r="X401" s="293" t="s">
        <v>355</v>
      </c>
      <c r="Y401" s="293"/>
      <c r="Z401" s="293"/>
      <c r="AA401" s="293"/>
      <c r="AB401" s="514"/>
      <c r="AC401" s="443"/>
      <c r="AD401" s="327"/>
      <c r="AE401" s="293"/>
      <c r="AF401" s="293"/>
      <c r="AG401" s="293"/>
      <c r="AH401" s="342"/>
      <c r="AI401" s="293"/>
      <c r="AJ401" s="514"/>
      <c r="AK401" s="543" t="s">
        <v>1235</v>
      </c>
      <c r="AL401" s="295"/>
      <c r="AM401" s="523"/>
      <c r="AN401" s="523"/>
      <c r="AO401" s="342"/>
      <c r="AP401" s="342"/>
      <c r="AQ401" s="85" t="s">
        <v>1680</v>
      </c>
      <c r="AR401" s="542"/>
      <c r="AS401" s="67"/>
    </row>
    <row r="402" spans="1:45" ht="15">
      <c r="A402" s="103"/>
      <c r="B402" s="517"/>
      <c r="C402" s="72"/>
      <c r="D402" s="74"/>
      <c r="E402" s="104"/>
      <c r="F402" s="104"/>
      <c r="G402" s="104"/>
      <c r="H402" s="78" t="s">
        <v>1682</v>
      </c>
      <c r="I402" s="539"/>
      <c r="J402" s="527"/>
      <c r="K402" s="106"/>
      <c r="L402" s="525" t="s">
        <v>338</v>
      </c>
      <c r="M402" s="301" t="s">
        <v>374</v>
      </c>
      <c r="N402" s="288" t="s">
        <v>612</v>
      </c>
      <c r="O402" s="69"/>
      <c r="P402" s="69"/>
      <c r="Q402" s="291" t="s">
        <v>385</v>
      </c>
      <c r="R402" s="513" t="s">
        <v>831</v>
      </c>
      <c r="S402" s="288" t="s">
        <v>903</v>
      </c>
      <c r="T402" s="293" t="s">
        <v>355</v>
      </c>
      <c r="U402" s="293" t="s">
        <v>355</v>
      </c>
      <c r="V402" s="293" t="s">
        <v>355</v>
      </c>
      <c r="W402" s="293" t="s">
        <v>402</v>
      </c>
      <c r="X402" s="293" t="s">
        <v>355</v>
      </c>
      <c r="Y402" s="293" t="s">
        <v>355</v>
      </c>
      <c r="Z402" s="293" t="s">
        <v>402</v>
      </c>
      <c r="AA402" s="293" t="s">
        <v>402</v>
      </c>
      <c r="AB402" s="514"/>
      <c r="AC402" s="443" t="s">
        <v>979</v>
      </c>
      <c r="AD402" s="327" t="s">
        <v>612</v>
      </c>
      <c r="AE402" s="293" t="s">
        <v>354</v>
      </c>
      <c r="AF402" s="293" t="s">
        <v>385</v>
      </c>
      <c r="AG402" s="293" t="s">
        <v>385</v>
      </c>
      <c r="AH402" s="342"/>
      <c r="AI402" s="293" t="s">
        <v>530</v>
      </c>
      <c r="AJ402" s="514"/>
      <c r="AK402" s="543" t="s">
        <v>1236</v>
      </c>
      <c r="AL402" s="295"/>
      <c r="AM402" s="523"/>
      <c r="AN402" s="523"/>
      <c r="AO402" s="342"/>
      <c r="AP402" s="342"/>
      <c r="AQ402" s="85"/>
      <c r="AR402" s="542"/>
      <c r="AS402" s="67"/>
    </row>
    <row r="403" spans="1:45" ht="43">
      <c r="A403" s="103"/>
      <c r="B403" s="517" t="s">
        <v>1649</v>
      </c>
      <c r="C403" s="72">
        <v>43114</v>
      </c>
      <c r="D403" s="74" t="s">
        <v>658</v>
      </c>
      <c r="E403" s="76">
        <v>43575</v>
      </c>
      <c r="F403" s="78" t="s">
        <v>360</v>
      </c>
      <c r="G403" s="76">
        <v>43581</v>
      </c>
      <c r="H403" s="78" t="s">
        <v>355</v>
      </c>
      <c r="I403" s="531" t="s">
        <v>1683</v>
      </c>
      <c r="J403" s="527" t="s">
        <v>232</v>
      </c>
      <c r="K403" s="126" t="s">
        <v>851</v>
      </c>
      <c r="L403" s="525" t="s">
        <v>338</v>
      </c>
      <c r="M403" s="301" t="s">
        <v>374</v>
      </c>
      <c r="N403" s="288" t="s">
        <v>613</v>
      </c>
      <c r="O403" s="342"/>
      <c r="P403" s="512"/>
      <c r="Q403" s="291" t="s">
        <v>385</v>
      </c>
      <c r="R403" s="526"/>
      <c r="S403" s="342"/>
      <c r="T403" s="293" t="s">
        <v>402</v>
      </c>
      <c r="U403" s="293" t="s">
        <v>402</v>
      </c>
      <c r="V403" s="293" t="s">
        <v>402</v>
      </c>
      <c r="W403" s="293" t="s">
        <v>402</v>
      </c>
      <c r="X403" s="293" t="s">
        <v>402</v>
      </c>
      <c r="Y403" s="293" t="s">
        <v>355</v>
      </c>
      <c r="Z403" s="293" t="s">
        <v>402</v>
      </c>
      <c r="AA403" s="293" t="s">
        <v>402</v>
      </c>
      <c r="AB403" s="514"/>
      <c r="AC403" s="443" t="s">
        <v>979</v>
      </c>
      <c r="AD403" s="327" t="s">
        <v>613</v>
      </c>
      <c r="AE403" s="293" t="s">
        <v>354</v>
      </c>
      <c r="AF403" s="293" t="s">
        <v>385</v>
      </c>
      <c r="AG403" s="293" t="s">
        <v>385</v>
      </c>
      <c r="AH403" s="342"/>
      <c r="AI403" s="293" t="s">
        <v>530</v>
      </c>
      <c r="AJ403" s="514"/>
      <c r="AK403" s="303" t="s">
        <v>1677</v>
      </c>
      <c r="AL403" s="295" t="s">
        <v>385</v>
      </c>
      <c r="AM403" s="523"/>
      <c r="AN403" s="523"/>
      <c r="AO403" s="342"/>
      <c r="AP403" s="342"/>
      <c r="AQ403" s="96"/>
      <c r="AR403" s="542">
        <v>10</v>
      </c>
      <c r="AS403" s="67"/>
    </row>
    <row r="404" spans="1:45" ht="15">
      <c r="A404" s="103"/>
      <c r="B404" s="517"/>
      <c r="C404" s="72"/>
      <c r="D404" s="74"/>
      <c r="E404" s="76"/>
      <c r="F404" s="76"/>
      <c r="G404" s="76"/>
      <c r="H404" s="76"/>
      <c r="I404" s="531"/>
      <c r="J404" s="527"/>
      <c r="K404" s="106"/>
      <c r="L404" s="525"/>
      <c r="M404" s="301"/>
      <c r="N404" s="288"/>
      <c r="O404" s="15" t="s">
        <v>684</v>
      </c>
      <c r="P404" s="130"/>
      <c r="Q404" s="291"/>
      <c r="R404" s="526"/>
      <c r="S404" s="342"/>
      <c r="T404" s="293" t="s">
        <v>1684</v>
      </c>
      <c r="U404" s="293"/>
      <c r="V404" s="293"/>
      <c r="W404" s="293"/>
      <c r="X404" s="293" t="s">
        <v>1685</v>
      </c>
      <c r="Y404" s="293"/>
      <c r="Z404" s="293"/>
      <c r="AA404" s="293" t="s">
        <v>1686</v>
      </c>
      <c r="AB404" s="514"/>
      <c r="AC404" s="443"/>
      <c r="AD404" s="327"/>
      <c r="AE404" s="293"/>
      <c r="AF404" s="293"/>
      <c r="AG404" s="293"/>
      <c r="AH404" s="342"/>
      <c r="AI404" s="293"/>
      <c r="AJ404" s="514"/>
      <c r="AK404" s="303" t="s">
        <v>1687</v>
      </c>
      <c r="AL404" s="295"/>
      <c r="AM404" s="523"/>
      <c r="AN404" s="523"/>
      <c r="AO404" s="342"/>
      <c r="AP404" s="342"/>
      <c r="AQ404" s="96"/>
      <c r="AR404" s="542" t="s">
        <v>1074</v>
      </c>
      <c r="AS404" s="67"/>
    </row>
    <row r="405" spans="1:45" ht="15">
      <c r="A405" s="163"/>
      <c r="B405" s="544"/>
      <c r="C405" s="165"/>
      <c r="D405" s="166"/>
      <c r="E405" s="193"/>
      <c r="F405" s="193"/>
      <c r="G405" s="193"/>
      <c r="H405" s="193"/>
      <c r="I405" s="545"/>
      <c r="J405" s="546"/>
      <c r="K405" s="170"/>
      <c r="L405" s="547" t="s">
        <v>338</v>
      </c>
      <c r="M405" s="312" t="s">
        <v>374</v>
      </c>
      <c r="N405" s="313" t="s">
        <v>613</v>
      </c>
      <c r="O405" s="171" t="s">
        <v>684</v>
      </c>
      <c r="P405" s="548"/>
      <c r="Q405" s="316" t="s">
        <v>385</v>
      </c>
      <c r="R405" s="549"/>
      <c r="S405" s="371"/>
      <c r="T405" s="314" t="s">
        <v>355</v>
      </c>
      <c r="U405" s="314" t="s">
        <v>355</v>
      </c>
      <c r="V405" s="314" t="s">
        <v>355</v>
      </c>
      <c r="W405" s="314" t="s">
        <v>355</v>
      </c>
      <c r="X405" s="314" t="s">
        <v>355</v>
      </c>
      <c r="Y405" s="314" t="s">
        <v>355</v>
      </c>
      <c r="Z405" s="314" t="s">
        <v>402</v>
      </c>
      <c r="AA405" s="314" t="s">
        <v>402</v>
      </c>
      <c r="AB405" s="550"/>
      <c r="AC405" s="551" t="s">
        <v>979</v>
      </c>
      <c r="AD405" s="339" t="s">
        <v>613</v>
      </c>
      <c r="AE405" s="314" t="s">
        <v>354</v>
      </c>
      <c r="AF405" s="314" t="s">
        <v>385</v>
      </c>
      <c r="AG405" s="314" t="s">
        <v>385</v>
      </c>
      <c r="AH405" s="371"/>
      <c r="AI405" s="314" t="s">
        <v>530</v>
      </c>
      <c r="AJ405" s="550"/>
      <c r="AK405" s="552" t="s">
        <v>385</v>
      </c>
      <c r="AL405" s="553" t="s">
        <v>385</v>
      </c>
      <c r="AM405" s="554"/>
      <c r="AN405" s="554"/>
      <c r="AO405" s="371"/>
      <c r="AP405" s="371"/>
      <c r="AQ405" s="130" t="s">
        <v>1688</v>
      </c>
      <c r="AR405" s="555">
        <v>10</v>
      </c>
      <c r="AS405" s="140"/>
    </row>
    <row r="406" spans="1:45" ht="19.5" customHeight="1">
      <c r="A406" s="103"/>
      <c r="B406" s="517" t="s">
        <v>1649</v>
      </c>
      <c r="C406" s="72">
        <v>43114</v>
      </c>
      <c r="D406" s="74" t="s">
        <v>658</v>
      </c>
      <c r="E406" s="76">
        <v>43575</v>
      </c>
      <c r="F406" s="78" t="s">
        <v>360</v>
      </c>
      <c r="G406" s="76">
        <v>43581</v>
      </c>
      <c r="H406" s="78" t="s">
        <v>355</v>
      </c>
      <c r="I406" s="556" t="s">
        <v>1689</v>
      </c>
      <c r="J406" s="527" t="s">
        <v>233</v>
      </c>
      <c r="K406" s="126" t="s">
        <v>851</v>
      </c>
      <c r="L406" s="525" t="s">
        <v>338</v>
      </c>
      <c r="M406" s="301" t="s">
        <v>374</v>
      </c>
      <c r="N406" s="288" t="s">
        <v>614</v>
      </c>
      <c r="O406" s="342"/>
      <c r="P406" s="512"/>
      <c r="Q406" s="291" t="s">
        <v>385</v>
      </c>
      <c r="R406" s="513" t="s">
        <v>832</v>
      </c>
      <c r="S406" s="288" t="s">
        <v>614</v>
      </c>
      <c r="T406" s="293" t="s">
        <v>402</v>
      </c>
      <c r="U406" s="293" t="s">
        <v>402</v>
      </c>
      <c r="V406" s="293" t="s">
        <v>402</v>
      </c>
      <c r="W406" s="293" t="s">
        <v>402</v>
      </c>
      <c r="X406" s="293" t="s">
        <v>402</v>
      </c>
      <c r="Y406" s="293" t="s">
        <v>355</v>
      </c>
      <c r="Z406" s="293" t="s">
        <v>402</v>
      </c>
      <c r="AA406" s="293" t="s">
        <v>402</v>
      </c>
      <c r="AB406" s="514"/>
      <c r="AC406" s="443" t="s">
        <v>979</v>
      </c>
      <c r="AD406" s="327" t="s">
        <v>614</v>
      </c>
      <c r="AE406" s="293" t="s">
        <v>354</v>
      </c>
      <c r="AF406" s="293" t="s">
        <v>385</v>
      </c>
      <c r="AG406" s="293" t="s">
        <v>385</v>
      </c>
      <c r="AH406" s="342"/>
      <c r="AI406" s="293" t="s">
        <v>530</v>
      </c>
      <c r="AJ406" s="514"/>
      <c r="AK406" s="303" t="s">
        <v>402</v>
      </c>
      <c r="AL406" s="295" t="s">
        <v>385</v>
      </c>
      <c r="AM406" s="523"/>
      <c r="AN406" s="523"/>
      <c r="AO406" s="342"/>
      <c r="AP406" s="342"/>
      <c r="AQ406" s="96"/>
      <c r="AR406" s="542">
        <v>10</v>
      </c>
      <c r="AS406" s="67"/>
    </row>
    <row r="407" spans="1:45" ht="15">
      <c r="A407" s="103"/>
      <c r="B407" s="517"/>
      <c r="C407" s="72"/>
      <c r="D407" s="74"/>
      <c r="E407" s="76"/>
      <c r="F407" s="76"/>
      <c r="G407" s="76"/>
      <c r="H407" s="76"/>
      <c r="I407" s="556"/>
      <c r="J407" s="527"/>
      <c r="K407" s="106"/>
      <c r="L407" s="525"/>
      <c r="M407" s="301"/>
      <c r="N407" s="15" t="s">
        <v>1690</v>
      </c>
      <c r="O407" s="15" t="s">
        <v>687</v>
      </c>
      <c r="P407" s="512"/>
      <c r="Q407" s="291"/>
      <c r="R407" s="513"/>
      <c r="S407" s="288"/>
      <c r="T407" s="293" t="s">
        <v>1684</v>
      </c>
      <c r="U407" s="293"/>
      <c r="V407" s="293"/>
      <c r="W407" s="293"/>
      <c r="X407" s="293" t="s">
        <v>1685</v>
      </c>
      <c r="Y407" s="293"/>
      <c r="Z407" s="293"/>
      <c r="AA407" s="293" t="s">
        <v>1685</v>
      </c>
      <c r="AB407" s="514"/>
      <c r="AC407" s="443"/>
      <c r="AD407" s="327"/>
      <c r="AE407" s="293"/>
      <c r="AF407" s="293"/>
      <c r="AG407" s="293"/>
      <c r="AH407" s="342"/>
      <c r="AI407" s="293"/>
      <c r="AJ407" s="514"/>
      <c r="AK407" s="303" t="s">
        <v>1691</v>
      </c>
      <c r="AL407" s="295"/>
      <c r="AM407" s="523"/>
      <c r="AN407" s="523"/>
      <c r="AO407" s="342"/>
      <c r="AP407" s="342"/>
      <c r="AQ407" s="96"/>
      <c r="AR407" s="305" t="s">
        <v>1363</v>
      </c>
      <c r="AS407" s="67"/>
    </row>
    <row r="408" spans="1:45" ht="23.25" customHeight="1">
      <c r="A408" s="163"/>
      <c r="B408" s="544"/>
      <c r="C408" s="165"/>
      <c r="D408" s="166"/>
      <c r="E408" s="193"/>
      <c r="F408" s="193"/>
      <c r="G408" s="193"/>
      <c r="H408" s="193"/>
      <c r="I408" s="557"/>
      <c r="J408" s="546"/>
      <c r="K408" s="170"/>
      <c r="L408" s="547" t="s">
        <v>338</v>
      </c>
      <c r="M408" s="312" t="s">
        <v>374</v>
      </c>
      <c r="N408" s="313" t="s">
        <v>614</v>
      </c>
      <c r="O408" s="171" t="s">
        <v>687</v>
      </c>
      <c r="P408" s="548"/>
      <c r="Q408" s="316" t="s">
        <v>385</v>
      </c>
      <c r="R408" s="558" t="s">
        <v>832</v>
      </c>
      <c r="S408" s="313" t="s">
        <v>614</v>
      </c>
      <c r="T408" s="314" t="s">
        <v>355</v>
      </c>
      <c r="U408" s="314" t="s">
        <v>355</v>
      </c>
      <c r="V408" s="314" t="s">
        <v>355</v>
      </c>
      <c r="W408" s="314" t="s">
        <v>355</v>
      </c>
      <c r="X408" s="314" t="s">
        <v>355</v>
      </c>
      <c r="Y408" s="314" t="s">
        <v>355</v>
      </c>
      <c r="Z408" s="314" t="s">
        <v>402</v>
      </c>
      <c r="AA408" s="314" t="s">
        <v>402</v>
      </c>
      <c r="AB408" s="550"/>
      <c r="AC408" s="551" t="s">
        <v>979</v>
      </c>
      <c r="AD408" s="339" t="s">
        <v>614</v>
      </c>
      <c r="AE408" s="314" t="s">
        <v>354</v>
      </c>
      <c r="AF408" s="314" t="s">
        <v>385</v>
      </c>
      <c r="AG408" s="314" t="s">
        <v>385</v>
      </c>
      <c r="AH408" s="371"/>
      <c r="AI408" s="314" t="s">
        <v>530</v>
      </c>
      <c r="AJ408" s="550"/>
      <c r="AK408" s="132" t="s">
        <v>412</v>
      </c>
      <c r="AL408" s="553" t="s">
        <v>385</v>
      </c>
      <c r="AM408" s="554"/>
      <c r="AN408" s="554"/>
      <c r="AO408" s="371"/>
      <c r="AP408" s="371"/>
      <c r="AQ408" s="132" t="s">
        <v>1692</v>
      </c>
      <c r="AR408" s="555">
        <v>10</v>
      </c>
      <c r="AS408" s="140"/>
    </row>
    <row r="409" spans="1:45" ht="43">
      <c r="A409" s="103"/>
      <c r="B409" s="517" t="s">
        <v>1649</v>
      </c>
      <c r="C409" s="72">
        <v>43114</v>
      </c>
      <c r="D409" s="74" t="s">
        <v>658</v>
      </c>
      <c r="E409" s="76">
        <v>43575</v>
      </c>
      <c r="F409" s="78" t="s">
        <v>360</v>
      </c>
      <c r="G409" s="76">
        <v>43581</v>
      </c>
      <c r="H409" s="78" t="s">
        <v>355</v>
      </c>
      <c r="I409" s="556" t="s">
        <v>1693</v>
      </c>
      <c r="J409" s="527" t="s">
        <v>234</v>
      </c>
      <c r="K409" s="126" t="s">
        <v>851</v>
      </c>
      <c r="L409" s="525" t="s">
        <v>291</v>
      </c>
      <c r="M409" s="301" t="s">
        <v>374</v>
      </c>
      <c r="N409" s="288" t="s">
        <v>615</v>
      </c>
      <c r="O409" s="342"/>
      <c r="P409" s="512"/>
      <c r="Q409" s="291" t="s">
        <v>385</v>
      </c>
      <c r="R409" s="513" t="s">
        <v>833</v>
      </c>
      <c r="S409" s="288" t="s">
        <v>615</v>
      </c>
      <c r="T409" s="293" t="s">
        <v>402</v>
      </c>
      <c r="U409" s="293" t="s">
        <v>402</v>
      </c>
      <c r="V409" s="293" t="s">
        <v>402</v>
      </c>
      <c r="W409" s="293" t="s">
        <v>402</v>
      </c>
      <c r="X409" s="293" t="s">
        <v>402</v>
      </c>
      <c r="Y409" s="293" t="s">
        <v>402</v>
      </c>
      <c r="Z409" s="293" t="s">
        <v>402</v>
      </c>
      <c r="AA409" s="293" t="s">
        <v>402</v>
      </c>
      <c r="AB409" s="514"/>
      <c r="AC409" s="518"/>
      <c r="AD409" s="519"/>
      <c r="AE409" s="293" t="s">
        <v>385</v>
      </c>
      <c r="AF409" s="293" t="s">
        <v>385</v>
      </c>
      <c r="AG409" s="293" t="s">
        <v>385</v>
      </c>
      <c r="AH409" s="288" t="s">
        <v>615</v>
      </c>
      <c r="AI409" s="293" t="s">
        <v>460</v>
      </c>
      <c r="AJ409" s="514"/>
      <c r="AK409" s="303" t="s">
        <v>402</v>
      </c>
      <c r="AL409" s="295" t="s">
        <v>354</v>
      </c>
      <c r="AM409" s="523"/>
      <c r="AN409" s="523"/>
      <c r="AO409" s="342"/>
      <c r="AP409" s="342"/>
      <c r="AQ409" s="342"/>
      <c r="AR409" s="305">
        <v>5</v>
      </c>
      <c r="AS409" s="67"/>
    </row>
    <row r="410" spans="1:45" ht="15">
      <c r="A410" s="103"/>
      <c r="B410" s="517"/>
      <c r="C410" s="72"/>
      <c r="D410" s="74"/>
      <c r="E410" s="76"/>
      <c r="F410" s="76"/>
      <c r="G410" s="76"/>
      <c r="H410" s="76"/>
      <c r="I410" s="556"/>
      <c r="J410" s="527"/>
      <c r="K410" s="106"/>
      <c r="L410" s="525"/>
      <c r="M410" s="301"/>
      <c r="N410" s="288"/>
      <c r="O410" s="342"/>
      <c r="P410" s="512"/>
      <c r="Q410" s="291"/>
      <c r="R410" s="513"/>
      <c r="S410" s="288"/>
      <c r="T410" s="293"/>
      <c r="U410" s="293"/>
      <c r="V410" s="293"/>
      <c r="W410" s="293"/>
      <c r="X410" s="293"/>
      <c r="Y410" s="293"/>
      <c r="Z410" s="293"/>
      <c r="AA410" s="293"/>
      <c r="AB410" s="514"/>
      <c r="AC410" s="518"/>
      <c r="AD410" s="519"/>
      <c r="AE410" s="293"/>
      <c r="AF410" s="293"/>
      <c r="AG410" s="293"/>
      <c r="AH410" s="288"/>
      <c r="AI410" s="293" t="s">
        <v>1694</v>
      </c>
      <c r="AJ410" s="514"/>
      <c r="AK410" s="303" t="s">
        <v>1695</v>
      </c>
      <c r="AL410" s="295" t="s">
        <v>385</v>
      </c>
      <c r="AM410" s="523"/>
      <c r="AN410" s="523"/>
      <c r="AO410" s="342"/>
      <c r="AP410" s="342"/>
      <c r="AQ410" s="342"/>
      <c r="AR410" s="305" t="s">
        <v>1106</v>
      </c>
      <c r="AS410" s="67"/>
    </row>
    <row r="411" spans="1:45" ht="15">
      <c r="A411" s="163"/>
      <c r="B411" s="544"/>
      <c r="C411" s="165"/>
      <c r="D411" s="166"/>
      <c r="E411" s="193"/>
      <c r="F411" s="193"/>
      <c r="G411" s="193"/>
      <c r="H411" s="193"/>
      <c r="I411" s="557"/>
      <c r="J411" s="546"/>
      <c r="K411" s="170"/>
      <c r="L411" s="547" t="s">
        <v>291</v>
      </c>
      <c r="M411" s="312" t="s">
        <v>374</v>
      </c>
      <c r="N411" s="313" t="s">
        <v>615</v>
      </c>
      <c r="O411" s="371"/>
      <c r="P411" s="548"/>
      <c r="Q411" s="316" t="s">
        <v>385</v>
      </c>
      <c r="R411" s="558" t="s">
        <v>833</v>
      </c>
      <c r="S411" s="313" t="s">
        <v>615</v>
      </c>
      <c r="T411" s="314" t="s">
        <v>402</v>
      </c>
      <c r="U411" s="314" t="s">
        <v>402</v>
      </c>
      <c r="V411" s="314" t="s">
        <v>402</v>
      </c>
      <c r="W411" s="314" t="s">
        <v>402</v>
      </c>
      <c r="X411" s="314" t="s">
        <v>402</v>
      </c>
      <c r="Y411" s="314" t="s">
        <v>402</v>
      </c>
      <c r="Z411" s="314" t="s">
        <v>402</v>
      </c>
      <c r="AA411" s="314" t="s">
        <v>402</v>
      </c>
      <c r="AB411" s="550"/>
      <c r="AC411" s="559"/>
      <c r="AD411" s="560"/>
      <c r="AE411" s="314" t="s">
        <v>385</v>
      </c>
      <c r="AF411" s="314" t="s">
        <v>385</v>
      </c>
      <c r="AG411" s="314" t="s">
        <v>385</v>
      </c>
      <c r="AH411" s="313" t="s">
        <v>615</v>
      </c>
      <c r="AI411" s="314" t="s">
        <v>460</v>
      </c>
      <c r="AJ411" s="550"/>
      <c r="AK411" s="552" t="s">
        <v>402</v>
      </c>
      <c r="AL411" s="553" t="s">
        <v>354</v>
      </c>
      <c r="AM411" s="554"/>
      <c r="AN411" s="554"/>
      <c r="AO411" s="371"/>
      <c r="AP411" s="371"/>
      <c r="AQ411" s="371"/>
      <c r="AR411" s="322">
        <v>5</v>
      </c>
      <c r="AS411" s="140"/>
    </row>
    <row r="412" spans="1:45" ht="99">
      <c r="A412" s="103"/>
      <c r="B412" s="517" t="s">
        <v>1649</v>
      </c>
      <c r="C412" s="72">
        <v>43114</v>
      </c>
      <c r="D412" s="74" t="s">
        <v>658</v>
      </c>
      <c r="E412" s="76">
        <v>43575</v>
      </c>
      <c r="F412" s="78" t="s">
        <v>360</v>
      </c>
      <c r="G412" s="76">
        <v>43581</v>
      </c>
      <c r="H412" s="78" t="s">
        <v>355</v>
      </c>
      <c r="I412" s="556" t="s">
        <v>1696</v>
      </c>
      <c r="J412" s="527" t="s">
        <v>235</v>
      </c>
      <c r="K412" s="126" t="s">
        <v>1584</v>
      </c>
      <c r="L412" s="525" t="s">
        <v>339</v>
      </c>
      <c r="M412" s="301" t="s">
        <v>374</v>
      </c>
      <c r="N412" s="288" t="s">
        <v>617</v>
      </c>
      <c r="O412" s="342"/>
      <c r="P412" s="512"/>
      <c r="Q412" s="291" t="s">
        <v>385</v>
      </c>
      <c r="R412" s="513" t="s">
        <v>834</v>
      </c>
      <c r="S412" s="288" t="s">
        <v>617</v>
      </c>
      <c r="T412" s="293" t="s">
        <v>402</v>
      </c>
      <c r="U412" s="293" t="s">
        <v>402</v>
      </c>
      <c r="V412" s="293" t="s">
        <v>402</v>
      </c>
      <c r="W412" s="293" t="s">
        <v>402</v>
      </c>
      <c r="X412" s="293" t="s">
        <v>402</v>
      </c>
      <c r="Y412" s="293" t="s">
        <v>403</v>
      </c>
      <c r="Z412" s="293" t="s">
        <v>402</v>
      </c>
      <c r="AA412" s="293" t="s">
        <v>402</v>
      </c>
      <c r="AB412" s="514"/>
      <c r="AC412" s="443" t="s">
        <v>981</v>
      </c>
      <c r="AD412" s="327" t="s">
        <v>1035</v>
      </c>
      <c r="AE412" s="293" t="s">
        <v>354</v>
      </c>
      <c r="AF412" s="293" t="s">
        <v>385</v>
      </c>
      <c r="AG412" s="293" t="s">
        <v>385</v>
      </c>
      <c r="AH412" s="288" t="s">
        <v>1116</v>
      </c>
      <c r="AI412" s="293" t="s">
        <v>460</v>
      </c>
      <c r="AJ412" s="304" t="s">
        <v>1200</v>
      </c>
      <c r="AK412" s="303" t="s">
        <v>385</v>
      </c>
      <c r="AL412" s="295" t="s">
        <v>354</v>
      </c>
      <c r="AM412" s="523"/>
      <c r="AN412" s="523"/>
      <c r="AO412" s="342"/>
      <c r="AP412" s="293"/>
      <c r="AQ412" s="342"/>
      <c r="AR412" s="305">
        <v>10</v>
      </c>
      <c r="AS412" s="67"/>
    </row>
    <row r="413" spans="1:45" ht="15">
      <c r="A413" s="103"/>
      <c r="B413" s="517"/>
      <c r="C413" s="72"/>
      <c r="D413" s="74"/>
      <c r="E413" s="76"/>
      <c r="F413" s="76"/>
      <c r="G413" s="76"/>
      <c r="H413" s="76"/>
      <c r="I413" s="556"/>
      <c r="J413" s="527"/>
      <c r="K413" s="106"/>
      <c r="L413" s="525"/>
      <c r="M413" s="301"/>
      <c r="N413" s="288"/>
      <c r="O413" s="342"/>
      <c r="P413" s="512"/>
      <c r="Q413" s="291"/>
      <c r="R413" s="513"/>
      <c r="S413" s="288"/>
      <c r="T413" s="293"/>
      <c r="U413" s="293"/>
      <c r="V413" s="293"/>
      <c r="W413" s="293"/>
      <c r="X413" s="293"/>
      <c r="Y413" s="293"/>
      <c r="Z413" s="293"/>
      <c r="AA413" s="293"/>
      <c r="AB413" s="514"/>
      <c r="AC413" s="443"/>
      <c r="AD413" s="327"/>
      <c r="AE413" s="293"/>
      <c r="AF413" s="293"/>
      <c r="AG413" s="293"/>
      <c r="AH413" s="288"/>
      <c r="AI413" s="293" t="s">
        <v>1697</v>
      </c>
      <c r="AJ413" s="304"/>
      <c r="AK413" s="303" t="s">
        <v>1698</v>
      </c>
      <c r="AL413" s="295"/>
      <c r="AM413" s="523"/>
      <c r="AN413" s="523"/>
      <c r="AO413" s="342"/>
      <c r="AP413" s="293" t="s">
        <v>1277</v>
      </c>
      <c r="AQ413" s="342"/>
      <c r="AR413" s="305" t="s">
        <v>1074</v>
      </c>
      <c r="AS413" s="67"/>
    </row>
    <row r="414" spans="1:45" ht="15">
      <c r="A414" s="163"/>
      <c r="B414" s="544"/>
      <c r="C414" s="165"/>
      <c r="D414" s="166"/>
      <c r="E414" s="193"/>
      <c r="F414" s="193"/>
      <c r="G414" s="193"/>
      <c r="H414" s="193"/>
      <c r="I414" s="557"/>
      <c r="J414" s="546"/>
      <c r="K414" s="170"/>
      <c r="L414" s="547" t="s">
        <v>339</v>
      </c>
      <c r="M414" s="312" t="s">
        <v>374</v>
      </c>
      <c r="N414" s="313" t="s">
        <v>617</v>
      </c>
      <c r="O414" s="371"/>
      <c r="P414" s="548"/>
      <c r="Q414" s="316" t="s">
        <v>385</v>
      </c>
      <c r="R414" s="558" t="s">
        <v>834</v>
      </c>
      <c r="S414" s="313" t="s">
        <v>617</v>
      </c>
      <c r="T414" s="314" t="s">
        <v>402</v>
      </c>
      <c r="U414" s="314" t="s">
        <v>402</v>
      </c>
      <c r="V414" s="314" t="s">
        <v>402</v>
      </c>
      <c r="W414" s="314" t="s">
        <v>402</v>
      </c>
      <c r="X414" s="314" t="s">
        <v>402</v>
      </c>
      <c r="Y414" s="314" t="s">
        <v>403</v>
      </c>
      <c r="Z414" s="314" t="s">
        <v>402</v>
      </c>
      <c r="AA414" s="314" t="s">
        <v>402</v>
      </c>
      <c r="AB414" s="550"/>
      <c r="AC414" s="551" t="s">
        <v>981</v>
      </c>
      <c r="AD414" s="339" t="s">
        <v>1035</v>
      </c>
      <c r="AE414" s="314" t="s">
        <v>354</v>
      </c>
      <c r="AF414" s="314" t="s">
        <v>385</v>
      </c>
      <c r="AG414" s="314" t="s">
        <v>385</v>
      </c>
      <c r="AH414" s="313" t="s">
        <v>1116</v>
      </c>
      <c r="AI414" s="314" t="s">
        <v>460</v>
      </c>
      <c r="AJ414" s="361" t="s">
        <v>1200</v>
      </c>
      <c r="AK414" s="132" t="s">
        <v>479</v>
      </c>
      <c r="AL414" s="553" t="s">
        <v>354</v>
      </c>
      <c r="AM414" s="554"/>
      <c r="AN414" s="554"/>
      <c r="AO414" s="371"/>
      <c r="AP414" s="132" t="s">
        <v>1277</v>
      </c>
      <c r="AQ414" s="314" t="s">
        <v>1699</v>
      </c>
      <c r="AR414" s="322">
        <v>10</v>
      </c>
      <c r="AS414" s="140"/>
    </row>
    <row r="415" spans="1:45" ht="15">
      <c r="A415" s="103"/>
      <c r="B415" s="517" t="s">
        <v>1649</v>
      </c>
      <c r="C415" s="72">
        <v>43114</v>
      </c>
      <c r="D415" s="74" t="s">
        <v>492</v>
      </c>
      <c r="E415" s="76">
        <v>43575</v>
      </c>
      <c r="F415" s="78" t="s">
        <v>363</v>
      </c>
      <c r="G415" s="76">
        <v>43581</v>
      </c>
      <c r="H415" s="76"/>
      <c r="I415" s="539" t="s">
        <v>1700</v>
      </c>
      <c r="J415" s="527" t="s">
        <v>236</v>
      </c>
      <c r="K415" s="106" t="s">
        <v>1584</v>
      </c>
      <c r="L415" s="525" t="s">
        <v>340</v>
      </c>
      <c r="M415" s="301" t="s">
        <v>374</v>
      </c>
      <c r="N415" s="288" t="s">
        <v>619</v>
      </c>
      <c r="O415" s="342"/>
      <c r="P415" s="512"/>
      <c r="Q415" s="291" t="s">
        <v>385</v>
      </c>
      <c r="R415" s="526"/>
      <c r="S415" s="342"/>
      <c r="T415" s="293" t="s">
        <v>402</v>
      </c>
      <c r="U415" s="293" t="s">
        <v>402</v>
      </c>
      <c r="V415" s="293" t="s">
        <v>402</v>
      </c>
      <c r="W415" s="293" t="s">
        <v>402</v>
      </c>
      <c r="X415" s="293" t="s">
        <v>402</v>
      </c>
      <c r="Y415" s="293" t="s">
        <v>402</v>
      </c>
      <c r="Z415" s="293" t="s">
        <v>402</v>
      </c>
      <c r="AA415" s="293" t="s">
        <v>402</v>
      </c>
      <c r="AB415" s="514"/>
      <c r="AC415" s="518"/>
      <c r="AD415" s="519"/>
      <c r="AE415" s="293" t="s">
        <v>385</v>
      </c>
      <c r="AF415" s="293" t="s">
        <v>385</v>
      </c>
      <c r="AG415" s="293" t="s">
        <v>385</v>
      </c>
      <c r="AH415" s="342"/>
      <c r="AI415" s="293" t="s">
        <v>460</v>
      </c>
      <c r="AJ415" s="304" t="s">
        <v>1701</v>
      </c>
      <c r="AK415" s="303" t="s">
        <v>402</v>
      </c>
      <c r="AL415" s="295" t="s">
        <v>385</v>
      </c>
      <c r="AM415" s="523"/>
      <c r="AN415" s="523"/>
      <c r="AO415" s="342"/>
      <c r="AP415" s="342"/>
      <c r="AQ415" s="342"/>
      <c r="AR415" s="305">
        <v>5</v>
      </c>
      <c r="AS415" s="67"/>
    </row>
    <row r="416" spans="1:45" ht="15">
      <c r="A416" s="103"/>
      <c r="B416" s="517"/>
      <c r="C416" s="72"/>
      <c r="D416" s="74"/>
      <c r="E416" s="104"/>
      <c r="F416" s="104"/>
      <c r="G416" s="104"/>
      <c r="H416" s="104"/>
      <c r="I416" s="539"/>
      <c r="J416" s="527"/>
      <c r="K416" s="106"/>
      <c r="L416" s="525"/>
      <c r="M416" s="301"/>
      <c r="N416" s="288"/>
      <c r="O416" s="293" t="s">
        <v>680</v>
      </c>
      <c r="P416" s="561" t="s">
        <v>680</v>
      </c>
      <c r="Q416" s="291"/>
      <c r="R416" s="513" t="s">
        <v>402</v>
      </c>
      <c r="S416" s="293" t="s">
        <v>402</v>
      </c>
      <c r="T416" s="293"/>
      <c r="U416" s="293"/>
      <c r="V416" s="293"/>
      <c r="W416" s="293"/>
      <c r="X416" s="293" t="s">
        <v>404</v>
      </c>
      <c r="Y416" s="293" t="s">
        <v>404</v>
      </c>
      <c r="Z416" s="293"/>
      <c r="AA416" s="293"/>
      <c r="AB416" s="304" t="s">
        <v>1702</v>
      </c>
      <c r="AC416" s="443" t="s">
        <v>982</v>
      </c>
      <c r="AD416" s="288" t="s">
        <v>619</v>
      </c>
      <c r="AE416" s="293" t="s">
        <v>354</v>
      </c>
      <c r="AF416" s="293"/>
      <c r="AG416" s="293"/>
      <c r="AH416" s="69" t="s">
        <v>1117</v>
      </c>
      <c r="AI416" s="130" t="s">
        <v>1160</v>
      </c>
      <c r="AJ416" s="304"/>
      <c r="AK416" s="303"/>
      <c r="AL416" s="295"/>
      <c r="AM416" s="297" t="s">
        <v>1258</v>
      </c>
      <c r="AN416" s="297" t="s">
        <v>1271</v>
      </c>
      <c r="AO416" s="293" t="s">
        <v>1274</v>
      </c>
      <c r="AP416" s="342"/>
      <c r="AQ416" s="293" t="s">
        <v>1703</v>
      </c>
      <c r="AR416" s="305"/>
      <c r="AS416" s="67"/>
    </row>
    <row r="417" spans="1:45" ht="15">
      <c r="A417" s="103"/>
      <c r="B417" s="517"/>
      <c r="C417" s="72"/>
      <c r="D417" s="74"/>
      <c r="E417" s="104"/>
      <c r="F417" s="104"/>
      <c r="G417" s="104"/>
      <c r="H417" s="78" t="s">
        <v>1704</v>
      </c>
      <c r="I417" s="539"/>
      <c r="J417" s="527"/>
      <c r="K417" s="106"/>
      <c r="L417" s="525" t="s">
        <v>340</v>
      </c>
      <c r="M417" s="301" t="s">
        <v>398</v>
      </c>
      <c r="N417" s="288" t="s">
        <v>619</v>
      </c>
      <c r="O417" s="293"/>
      <c r="P417" s="562" t="s">
        <v>779</v>
      </c>
      <c r="Q417" s="291" t="s">
        <v>385</v>
      </c>
      <c r="R417" s="513" t="s">
        <v>402</v>
      </c>
      <c r="S417" s="513" t="s">
        <v>402</v>
      </c>
      <c r="T417" s="513" t="s">
        <v>402</v>
      </c>
      <c r="U417" s="513" t="s">
        <v>402</v>
      </c>
      <c r="V417" s="513" t="s">
        <v>402</v>
      </c>
      <c r="W417" s="513" t="s">
        <v>402</v>
      </c>
      <c r="X417" s="293" t="s">
        <v>404</v>
      </c>
      <c r="Y417" s="293" t="s">
        <v>404</v>
      </c>
      <c r="Z417" s="513" t="s">
        <v>402</v>
      </c>
      <c r="AA417" s="513" t="s">
        <v>402</v>
      </c>
      <c r="AB417" s="304" t="s">
        <v>944</v>
      </c>
      <c r="AC417" s="443" t="s">
        <v>982</v>
      </c>
      <c r="AD417" s="288" t="s">
        <v>619</v>
      </c>
      <c r="AE417" s="293" t="s">
        <v>354</v>
      </c>
      <c r="AF417" s="293" t="s">
        <v>385</v>
      </c>
      <c r="AG417" s="293" t="s">
        <v>385</v>
      </c>
      <c r="AH417" s="69" t="s">
        <v>1117</v>
      </c>
      <c r="AI417" s="130" t="s">
        <v>1160</v>
      </c>
      <c r="AJ417" s="304" t="s">
        <v>1201</v>
      </c>
      <c r="AK417" s="303" t="s">
        <v>402</v>
      </c>
      <c r="AL417" s="295" t="s">
        <v>385</v>
      </c>
      <c r="AM417" s="297" t="s">
        <v>1258</v>
      </c>
      <c r="AN417" s="297" t="s">
        <v>1271</v>
      </c>
      <c r="AO417" s="293" t="s">
        <v>1274</v>
      </c>
      <c r="AP417" s="342"/>
      <c r="AQ417" s="293"/>
      <c r="AR417" s="305"/>
      <c r="AS417" s="67"/>
    </row>
    <row r="418" spans="1:45" ht="29">
      <c r="A418" s="68"/>
      <c r="B418" s="517" t="s">
        <v>1649</v>
      </c>
      <c r="C418" s="72">
        <v>43114</v>
      </c>
      <c r="D418" s="74" t="s">
        <v>492</v>
      </c>
      <c r="E418" s="76">
        <v>43575</v>
      </c>
      <c r="F418" s="78" t="s">
        <v>363</v>
      </c>
      <c r="G418" s="76">
        <v>43581</v>
      </c>
      <c r="H418" s="78" t="s">
        <v>355</v>
      </c>
      <c r="I418" s="531" t="s">
        <v>1705</v>
      </c>
      <c r="J418" s="532" t="s">
        <v>237</v>
      </c>
      <c r="K418" s="83" t="s">
        <v>368</v>
      </c>
      <c r="L418" s="525" t="s">
        <v>309</v>
      </c>
      <c r="M418" s="301" t="s">
        <v>382</v>
      </c>
      <c r="N418" s="289" t="s">
        <v>1706</v>
      </c>
      <c r="O418" s="342"/>
      <c r="P418" s="512"/>
      <c r="Q418" s="291" t="s">
        <v>385</v>
      </c>
      <c r="R418" s="526"/>
      <c r="S418" s="342"/>
      <c r="T418" s="293" t="s">
        <v>402</v>
      </c>
      <c r="U418" s="293" t="s">
        <v>402</v>
      </c>
      <c r="V418" s="293" t="s">
        <v>402</v>
      </c>
      <c r="W418" s="293" t="s">
        <v>402</v>
      </c>
      <c r="X418" s="293" t="s">
        <v>402</v>
      </c>
      <c r="Y418" s="293" t="s">
        <v>402</v>
      </c>
      <c r="Z418" s="293" t="s">
        <v>402</v>
      </c>
      <c r="AA418" s="293" t="s">
        <v>402</v>
      </c>
      <c r="AB418" s="514"/>
      <c r="AC418" s="518"/>
      <c r="AD418" s="519"/>
      <c r="AE418" s="293" t="s">
        <v>385</v>
      </c>
      <c r="AF418" s="293" t="s">
        <v>385</v>
      </c>
      <c r="AG418" s="293" t="s">
        <v>385</v>
      </c>
      <c r="AH418" s="342"/>
      <c r="AI418" s="293" t="s">
        <v>530</v>
      </c>
      <c r="AJ418" s="514"/>
      <c r="AK418" s="303" t="s">
        <v>402</v>
      </c>
      <c r="AL418" s="295" t="s">
        <v>385</v>
      </c>
      <c r="AM418" s="520"/>
      <c r="AN418" s="520"/>
      <c r="AO418" s="342"/>
      <c r="AP418" s="342"/>
      <c r="AQ418" s="342"/>
      <c r="AR418" s="305">
        <v>5</v>
      </c>
      <c r="AS418" s="67"/>
    </row>
    <row r="419" spans="1:45" ht="15">
      <c r="A419" s="103"/>
      <c r="B419" s="517"/>
      <c r="C419" s="72"/>
      <c r="D419" s="74"/>
      <c r="E419" s="104"/>
      <c r="F419" s="104"/>
      <c r="G419" s="104"/>
      <c r="H419" s="104"/>
      <c r="I419" s="539"/>
      <c r="J419" s="527"/>
      <c r="K419" s="106"/>
      <c r="L419" s="525"/>
      <c r="M419" s="301"/>
      <c r="N419" s="15" t="s">
        <v>621</v>
      </c>
      <c r="O419" s="301" t="s">
        <v>1707</v>
      </c>
      <c r="P419" s="15" t="s">
        <v>780</v>
      </c>
      <c r="Q419" s="291" t="s">
        <v>354</v>
      </c>
      <c r="R419" s="563" t="s">
        <v>402</v>
      </c>
      <c r="S419" s="301" t="s">
        <v>402</v>
      </c>
      <c r="T419" s="301"/>
      <c r="U419" s="293"/>
      <c r="V419" s="293"/>
      <c r="W419" s="293"/>
      <c r="X419" s="301"/>
      <c r="Y419" s="293"/>
      <c r="Z419" s="293"/>
      <c r="AA419" s="293"/>
      <c r="AB419" s="514"/>
      <c r="AC419" s="443" t="s">
        <v>983</v>
      </c>
      <c r="AD419" s="15" t="s">
        <v>679</v>
      </c>
      <c r="AE419" s="301" t="s">
        <v>354</v>
      </c>
      <c r="AF419" s="301"/>
      <c r="AG419" s="301"/>
      <c r="AH419" s="301" t="s">
        <v>1708</v>
      </c>
      <c r="AI419" s="301"/>
      <c r="AJ419" s="304" t="s">
        <v>402</v>
      </c>
      <c r="AK419" s="303"/>
      <c r="AL419" s="301"/>
      <c r="AM419" s="564" t="s">
        <v>402</v>
      </c>
      <c r="AN419" s="564" t="s">
        <v>402</v>
      </c>
      <c r="AO419" s="564" t="s">
        <v>402</v>
      </c>
      <c r="AP419" s="564" t="s">
        <v>402</v>
      </c>
      <c r="AQ419" s="293" t="s">
        <v>1709</v>
      </c>
      <c r="AR419" s="305"/>
      <c r="AS419" s="67"/>
    </row>
    <row r="420" spans="1:45" ht="15">
      <c r="A420" s="103"/>
      <c r="B420" s="517"/>
      <c r="C420" s="72"/>
      <c r="D420" s="74"/>
      <c r="E420" s="104"/>
      <c r="F420" s="104"/>
      <c r="G420" s="104"/>
      <c r="H420" s="78" t="s">
        <v>1710</v>
      </c>
      <c r="I420" s="539"/>
      <c r="J420" s="527"/>
      <c r="K420" s="106"/>
      <c r="L420" s="525" t="s">
        <v>309</v>
      </c>
      <c r="M420" s="301" t="s">
        <v>382</v>
      </c>
      <c r="N420" s="15" t="s">
        <v>621</v>
      </c>
      <c r="O420" s="301"/>
      <c r="P420" s="15" t="s">
        <v>780</v>
      </c>
      <c r="Q420" s="291" t="s">
        <v>354</v>
      </c>
      <c r="R420" s="563"/>
      <c r="S420" s="301"/>
      <c r="T420" s="301" t="s">
        <v>402</v>
      </c>
      <c r="U420" s="301" t="s">
        <v>402</v>
      </c>
      <c r="V420" s="301" t="s">
        <v>402</v>
      </c>
      <c r="W420" s="301" t="s">
        <v>402</v>
      </c>
      <c r="X420" s="301" t="s">
        <v>402</v>
      </c>
      <c r="Y420" s="301" t="s">
        <v>402</v>
      </c>
      <c r="Z420" s="301" t="s">
        <v>402</v>
      </c>
      <c r="AA420" s="301" t="s">
        <v>402</v>
      </c>
      <c r="AB420" s="514"/>
      <c r="AC420" s="443" t="s">
        <v>983</v>
      </c>
      <c r="AD420" s="15" t="s">
        <v>679</v>
      </c>
      <c r="AE420" s="301" t="s">
        <v>354</v>
      </c>
      <c r="AF420" s="301" t="s">
        <v>385</v>
      </c>
      <c r="AG420" s="301" t="s">
        <v>385</v>
      </c>
      <c r="AH420" s="69" t="s">
        <v>1119</v>
      </c>
      <c r="AI420" s="130" t="s">
        <v>630</v>
      </c>
      <c r="AJ420" s="304"/>
      <c r="AK420" s="303" t="s">
        <v>402</v>
      </c>
      <c r="AL420" s="301" t="s">
        <v>385</v>
      </c>
      <c r="AM420" s="564"/>
      <c r="AN420" s="564"/>
      <c r="AO420" s="564"/>
      <c r="AP420" s="564"/>
      <c r="AQ420" s="293"/>
      <c r="AR420" s="305"/>
      <c r="AS420" s="67"/>
    </row>
    <row r="421" spans="1:45" ht="43">
      <c r="A421" s="103"/>
      <c r="B421" s="517" t="s">
        <v>1649</v>
      </c>
      <c r="C421" s="72">
        <v>43114</v>
      </c>
      <c r="D421" s="74" t="s">
        <v>492</v>
      </c>
      <c r="E421" s="76">
        <v>43576</v>
      </c>
      <c r="F421" s="78" t="s">
        <v>363</v>
      </c>
      <c r="G421" s="76">
        <v>43581</v>
      </c>
      <c r="H421" s="78" t="s">
        <v>355</v>
      </c>
      <c r="I421" s="531" t="s">
        <v>1711</v>
      </c>
      <c r="J421" s="527" t="s">
        <v>238</v>
      </c>
      <c r="K421" s="126" t="s">
        <v>786</v>
      </c>
      <c r="L421" s="525" t="s">
        <v>334</v>
      </c>
      <c r="M421" s="301" t="s">
        <v>374</v>
      </c>
      <c r="N421" s="565" t="s">
        <v>625</v>
      </c>
      <c r="O421" s="566"/>
      <c r="P421" s="512"/>
      <c r="Q421" s="291" t="s">
        <v>385</v>
      </c>
      <c r="R421" s="567"/>
      <c r="S421" s="566"/>
      <c r="T421" s="301" t="s">
        <v>402</v>
      </c>
      <c r="U421" s="293" t="s">
        <v>402</v>
      </c>
      <c r="V421" s="293" t="s">
        <v>402</v>
      </c>
      <c r="W421" s="293" t="s">
        <v>402</v>
      </c>
      <c r="X421" s="301" t="s">
        <v>402</v>
      </c>
      <c r="Y421" s="293" t="s">
        <v>402</v>
      </c>
      <c r="Z421" s="293" t="s">
        <v>402</v>
      </c>
      <c r="AA421" s="293" t="s">
        <v>402</v>
      </c>
      <c r="AB421" s="514"/>
      <c r="AC421" s="518"/>
      <c r="AD421" s="566"/>
      <c r="AE421" s="301" t="s">
        <v>385</v>
      </c>
      <c r="AF421" s="301" t="s">
        <v>385</v>
      </c>
      <c r="AG421" s="301" t="s">
        <v>385</v>
      </c>
      <c r="AH421" s="565" t="s">
        <v>1120</v>
      </c>
      <c r="AI421" s="301" t="s">
        <v>460</v>
      </c>
      <c r="AJ421" s="304" t="s">
        <v>1202</v>
      </c>
      <c r="AK421" s="303" t="s">
        <v>402</v>
      </c>
      <c r="AL421" s="301" t="s">
        <v>385</v>
      </c>
      <c r="AM421" s="568"/>
      <c r="AN421" s="568"/>
      <c r="AO421" s="566"/>
      <c r="AP421" s="566"/>
      <c r="AQ421" s="342"/>
      <c r="AR421" s="305">
        <v>5</v>
      </c>
      <c r="AS421" s="67"/>
    </row>
    <row r="422" spans="1:45" ht="15">
      <c r="A422" s="103"/>
      <c r="B422" s="70"/>
      <c r="C422" s="72"/>
      <c r="D422" s="74"/>
      <c r="E422" s="104"/>
      <c r="F422" s="104"/>
      <c r="G422" s="104"/>
      <c r="H422" s="104"/>
      <c r="I422" s="531"/>
      <c r="J422" s="105"/>
      <c r="K422" s="106"/>
      <c r="L422" s="84"/>
      <c r="M422" s="85" t="s">
        <v>382</v>
      </c>
      <c r="N422" s="107"/>
      <c r="O422" s="85" t="s">
        <v>511</v>
      </c>
      <c r="P422" s="85" t="s">
        <v>511</v>
      </c>
      <c r="Q422" s="135"/>
      <c r="R422" s="85" t="s">
        <v>402</v>
      </c>
      <c r="S422" s="85" t="s">
        <v>511</v>
      </c>
      <c r="T422" s="85"/>
      <c r="U422" s="85"/>
      <c r="V422" s="85"/>
      <c r="W422" s="85"/>
      <c r="X422" s="85"/>
      <c r="Y422" s="85"/>
      <c r="Z422" s="85"/>
      <c r="AA422" s="85"/>
      <c r="AB422" s="96"/>
      <c r="AC422" s="443" t="s">
        <v>402</v>
      </c>
      <c r="AD422" s="85" t="s">
        <v>511</v>
      </c>
      <c r="AE422" s="85"/>
      <c r="AF422" s="85"/>
      <c r="AG422" s="85"/>
      <c r="AH422" s="432"/>
      <c r="AI422" s="85"/>
      <c r="AJ422" s="85"/>
      <c r="AK422" s="135"/>
      <c r="AL422" s="85"/>
      <c r="AM422" s="111" t="s">
        <v>402</v>
      </c>
      <c r="AN422" s="111" t="s">
        <v>402</v>
      </c>
      <c r="AO422" s="111" t="s">
        <v>402</v>
      </c>
      <c r="AP422" s="111" t="s">
        <v>402</v>
      </c>
      <c r="AQ422" s="96"/>
      <c r="AR422" s="128"/>
      <c r="AS422" s="67"/>
    </row>
    <row r="423" spans="1:45" ht="15">
      <c r="A423" s="103"/>
      <c r="B423" s="70"/>
      <c r="C423" s="72"/>
      <c r="D423" s="74"/>
      <c r="E423" s="104"/>
      <c r="F423" s="104"/>
      <c r="G423" s="104"/>
      <c r="H423" s="104"/>
      <c r="I423" s="531"/>
      <c r="J423" s="105"/>
      <c r="K423" s="106"/>
      <c r="L423" s="525" t="s">
        <v>334</v>
      </c>
      <c r="M423" s="85" t="s">
        <v>382</v>
      </c>
      <c r="N423" s="565" t="s">
        <v>625</v>
      </c>
      <c r="O423" s="85"/>
      <c r="P423" s="85"/>
      <c r="Q423" s="135" t="s">
        <v>385</v>
      </c>
      <c r="R423" s="85"/>
      <c r="S423" s="85"/>
      <c r="T423" s="301" t="s">
        <v>402</v>
      </c>
      <c r="U423" s="301" t="s">
        <v>402</v>
      </c>
      <c r="V423" s="301" t="s">
        <v>402</v>
      </c>
      <c r="W423" s="301" t="s">
        <v>402</v>
      </c>
      <c r="X423" s="301" t="s">
        <v>402</v>
      </c>
      <c r="Y423" s="301" t="s">
        <v>402</v>
      </c>
      <c r="Z423" s="301" t="s">
        <v>402</v>
      </c>
      <c r="AA423" s="301" t="s">
        <v>402</v>
      </c>
      <c r="AB423" s="96"/>
      <c r="AC423" s="443"/>
      <c r="AD423" s="85"/>
      <c r="AE423" s="301" t="s">
        <v>385</v>
      </c>
      <c r="AF423" s="301" t="s">
        <v>385</v>
      </c>
      <c r="AG423" s="301" t="s">
        <v>385</v>
      </c>
      <c r="AH423" s="565" t="s">
        <v>1120</v>
      </c>
      <c r="AI423" s="301" t="s">
        <v>460</v>
      </c>
      <c r="AJ423" s="304" t="s">
        <v>1202</v>
      </c>
      <c r="AK423" s="303" t="s">
        <v>402</v>
      </c>
      <c r="AL423" s="301" t="s">
        <v>385</v>
      </c>
      <c r="AM423" s="111"/>
      <c r="AN423" s="111"/>
      <c r="AO423" s="111"/>
      <c r="AP423" s="111"/>
      <c r="AQ423" s="96"/>
      <c r="AR423" s="128"/>
      <c r="AS423" s="67"/>
    </row>
    <row r="424" spans="1:45" ht="29">
      <c r="A424" s="379"/>
      <c r="B424" s="70" t="s">
        <v>356</v>
      </c>
      <c r="C424" s="72">
        <v>43444</v>
      </c>
      <c r="D424" s="74" t="s">
        <v>492</v>
      </c>
      <c r="E424" s="76">
        <v>43576</v>
      </c>
      <c r="F424" s="78" t="s">
        <v>363</v>
      </c>
      <c r="G424" s="76">
        <v>43581</v>
      </c>
      <c r="H424" s="78" t="s">
        <v>355</v>
      </c>
      <c r="I424" s="129" t="s">
        <v>1712</v>
      </c>
      <c r="J424" s="380" t="s">
        <v>239</v>
      </c>
      <c r="K424" s="126" t="s">
        <v>368</v>
      </c>
      <c r="L424" s="84" t="s">
        <v>303</v>
      </c>
      <c r="M424" s="85" t="s">
        <v>382</v>
      </c>
      <c r="N424" s="614" t="s">
        <v>1713</v>
      </c>
      <c r="O424" s="613"/>
      <c r="P424" s="613"/>
      <c r="Q424" s="85" t="s">
        <v>355</v>
      </c>
      <c r="R424" s="177" t="s">
        <v>402</v>
      </c>
      <c r="S424" s="96"/>
      <c r="T424" s="85" t="s">
        <v>402</v>
      </c>
      <c r="U424" s="85" t="s">
        <v>402</v>
      </c>
      <c r="V424" s="85" t="s">
        <v>402</v>
      </c>
      <c r="W424" s="85" t="s">
        <v>402</v>
      </c>
      <c r="X424" s="85" t="s">
        <v>402</v>
      </c>
      <c r="Y424" s="85" t="s">
        <v>402</v>
      </c>
      <c r="Z424" s="85" t="s">
        <v>402</v>
      </c>
      <c r="AA424" s="85" t="s">
        <v>402</v>
      </c>
      <c r="AB424" s="96"/>
      <c r="AC424" s="569"/>
      <c r="AD424" s="96"/>
      <c r="AE424" s="85" t="s">
        <v>385</v>
      </c>
      <c r="AF424" s="85" t="s">
        <v>385</v>
      </c>
      <c r="AG424" s="85" t="s">
        <v>385</v>
      </c>
      <c r="AH424" s="96"/>
      <c r="AI424" s="85" t="s">
        <v>402</v>
      </c>
      <c r="AJ424" s="85" t="s">
        <v>402</v>
      </c>
      <c r="AK424" s="85" t="s">
        <v>402</v>
      </c>
      <c r="AL424" s="85" t="s">
        <v>402</v>
      </c>
      <c r="AM424" s="85" t="s">
        <v>402</v>
      </c>
      <c r="AN424" s="85" t="s">
        <v>768</v>
      </c>
      <c r="AO424" s="85" t="s">
        <v>402</v>
      </c>
      <c r="AP424" s="85" t="s">
        <v>402</v>
      </c>
      <c r="AQ424" s="85" t="s">
        <v>1714</v>
      </c>
      <c r="AR424" s="128" t="s">
        <v>725</v>
      </c>
      <c r="AS424" s="67"/>
    </row>
    <row r="425" spans="1:45" ht="15">
      <c r="A425" s="379"/>
      <c r="B425" s="70"/>
      <c r="C425" s="72"/>
      <c r="D425" s="74"/>
      <c r="E425" s="104"/>
      <c r="F425" s="104"/>
      <c r="G425" s="104"/>
      <c r="H425" s="104"/>
      <c r="I425" s="129"/>
      <c r="J425" s="380"/>
      <c r="K425" s="386"/>
      <c r="L425" s="84"/>
      <c r="M425" s="85"/>
      <c r="N425" s="15" t="s">
        <v>626</v>
      </c>
      <c r="O425" s="85" t="s">
        <v>511</v>
      </c>
      <c r="P425" s="85" t="s">
        <v>511</v>
      </c>
      <c r="Q425" s="85" t="s">
        <v>385</v>
      </c>
      <c r="R425" s="177"/>
      <c r="S425" s="85" t="s">
        <v>511</v>
      </c>
      <c r="T425" s="85"/>
      <c r="U425" s="85"/>
      <c r="V425" s="85"/>
      <c r="W425" s="85"/>
      <c r="X425" s="85"/>
      <c r="Y425" s="85"/>
      <c r="Z425" s="85"/>
      <c r="AA425" s="85"/>
      <c r="AB425" s="96"/>
      <c r="AC425" s="397" t="s">
        <v>402</v>
      </c>
      <c r="AD425" s="85" t="s">
        <v>511</v>
      </c>
      <c r="AE425" s="85"/>
      <c r="AF425" s="85"/>
      <c r="AG425" s="85"/>
      <c r="AH425" s="85" t="s">
        <v>511</v>
      </c>
      <c r="AI425" s="85"/>
      <c r="AJ425" s="85"/>
      <c r="AK425" s="85"/>
      <c r="AL425" s="85"/>
      <c r="AM425" s="85"/>
      <c r="AN425" s="85" t="s">
        <v>402</v>
      </c>
      <c r="AO425" s="85"/>
      <c r="AP425" s="85"/>
      <c r="AQ425" s="85" t="s">
        <v>1715</v>
      </c>
      <c r="AR425" s="128"/>
      <c r="AS425" s="67"/>
    </row>
    <row r="426" spans="1:45" ht="15">
      <c r="A426" s="379"/>
      <c r="B426" s="70"/>
      <c r="C426" s="72"/>
      <c r="D426" s="74"/>
      <c r="E426" s="104"/>
      <c r="F426" s="104"/>
      <c r="G426" s="104"/>
      <c r="H426" s="104"/>
      <c r="I426" s="129"/>
      <c r="J426" s="380"/>
      <c r="K426" s="386"/>
      <c r="L426" s="84" t="s">
        <v>303</v>
      </c>
      <c r="M426" s="85" t="s">
        <v>382</v>
      </c>
      <c r="N426" s="15" t="s">
        <v>626</v>
      </c>
      <c r="O426" s="85"/>
      <c r="P426" s="85"/>
      <c r="Q426" s="85" t="s">
        <v>385</v>
      </c>
      <c r="R426" s="177"/>
      <c r="S426" s="85"/>
      <c r="T426" s="85" t="s">
        <v>402</v>
      </c>
      <c r="U426" s="85" t="s">
        <v>402</v>
      </c>
      <c r="V426" s="85" t="s">
        <v>402</v>
      </c>
      <c r="W426" s="85" t="s">
        <v>402</v>
      </c>
      <c r="X426" s="85" t="s">
        <v>402</v>
      </c>
      <c r="Y426" s="85" t="s">
        <v>402</v>
      </c>
      <c r="Z426" s="85" t="s">
        <v>402</v>
      </c>
      <c r="AA426" s="85" t="s">
        <v>402</v>
      </c>
      <c r="AB426" s="96"/>
      <c r="AC426" s="397"/>
      <c r="AD426" s="85"/>
      <c r="AE426" s="85" t="s">
        <v>385</v>
      </c>
      <c r="AF426" s="85" t="s">
        <v>385</v>
      </c>
      <c r="AG426" s="85" t="s">
        <v>385</v>
      </c>
      <c r="AH426" s="85"/>
      <c r="AI426" s="85" t="s">
        <v>530</v>
      </c>
      <c r="AJ426" s="85"/>
      <c r="AK426" s="85" t="s">
        <v>402</v>
      </c>
      <c r="AL426" s="85" t="s">
        <v>385</v>
      </c>
      <c r="AM426" s="85"/>
      <c r="AN426" s="85"/>
      <c r="AO426" s="85"/>
      <c r="AP426" s="85"/>
      <c r="AQ426" s="85"/>
      <c r="AR426" s="128"/>
      <c r="AS426" s="67"/>
    </row>
    <row r="427" spans="1:45" ht="57">
      <c r="A427" s="238"/>
      <c r="B427" s="70" t="s">
        <v>356</v>
      </c>
      <c r="C427" s="72">
        <v>43444</v>
      </c>
      <c r="D427" s="74" t="s">
        <v>363</v>
      </c>
      <c r="E427" s="76">
        <v>43566</v>
      </c>
      <c r="F427" s="78" t="s">
        <v>360</v>
      </c>
      <c r="G427" s="76">
        <v>43581</v>
      </c>
      <c r="H427" s="78" t="s">
        <v>355</v>
      </c>
      <c r="I427" s="125" t="s">
        <v>1716</v>
      </c>
      <c r="J427" s="82" t="s">
        <v>240</v>
      </c>
      <c r="K427" s="126" t="s">
        <v>1350</v>
      </c>
      <c r="L427" s="84" t="s">
        <v>291</v>
      </c>
      <c r="M427" s="85" t="s">
        <v>374</v>
      </c>
      <c r="N427" s="614" t="s">
        <v>627</v>
      </c>
      <c r="O427" s="613"/>
      <c r="P427" s="91" t="s">
        <v>717</v>
      </c>
      <c r="Q427" s="85" t="s">
        <v>385</v>
      </c>
      <c r="R427" s="85" t="s">
        <v>763</v>
      </c>
      <c r="S427" s="91" t="s">
        <v>764</v>
      </c>
      <c r="T427" s="85" t="s">
        <v>402</v>
      </c>
      <c r="U427" s="85" t="s">
        <v>402</v>
      </c>
      <c r="V427" s="85" t="s">
        <v>402</v>
      </c>
      <c r="W427" s="85" t="s">
        <v>402</v>
      </c>
      <c r="X427" s="85" t="s">
        <v>402</v>
      </c>
      <c r="Y427" s="85" t="s">
        <v>402</v>
      </c>
      <c r="Z427" s="85" t="s">
        <v>402</v>
      </c>
      <c r="AA427" s="85" t="s">
        <v>402</v>
      </c>
      <c r="AB427" s="85" t="s">
        <v>938</v>
      </c>
      <c r="AC427" s="85" t="s">
        <v>402</v>
      </c>
      <c r="AD427" s="96"/>
      <c r="AE427" s="85" t="s">
        <v>385</v>
      </c>
      <c r="AF427" s="85" t="s">
        <v>385</v>
      </c>
      <c r="AG427" s="85" t="s">
        <v>385</v>
      </c>
      <c r="AH427" s="96"/>
      <c r="AI427" s="85" t="s">
        <v>530</v>
      </c>
      <c r="AJ427" s="85" t="s">
        <v>402</v>
      </c>
      <c r="AK427" s="85" t="s">
        <v>402</v>
      </c>
      <c r="AL427" s="85" t="s">
        <v>385</v>
      </c>
      <c r="AM427" s="85" t="s">
        <v>402</v>
      </c>
      <c r="AN427" s="85" t="s">
        <v>768</v>
      </c>
      <c r="AO427" s="85" t="s">
        <v>402</v>
      </c>
      <c r="AP427" s="85" t="s">
        <v>402</v>
      </c>
      <c r="AQ427" s="85" t="s">
        <v>1717</v>
      </c>
      <c r="AR427" s="128" t="s">
        <v>725</v>
      </c>
      <c r="AS427" s="29"/>
    </row>
    <row r="428" spans="1:45" ht="15">
      <c r="A428" s="379"/>
      <c r="B428" s="70"/>
      <c r="C428" s="72"/>
      <c r="D428" s="74"/>
      <c r="E428" s="76"/>
      <c r="F428" s="76"/>
      <c r="G428" s="76"/>
      <c r="H428" s="76"/>
      <c r="I428" s="129"/>
      <c r="J428" s="380"/>
      <c r="K428" s="386"/>
      <c r="L428" s="84"/>
      <c r="M428" s="85"/>
      <c r="N428" s="85"/>
      <c r="O428" s="85"/>
      <c r="P428" s="85"/>
      <c r="Q428" s="85"/>
      <c r="R428" s="85"/>
      <c r="S428" s="85"/>
      <c r="T428" s="85"/>
      <c r="U428" s="85"/>
      <c r="V428" s="85"/>
      <c r="W428" s="85"/>
      <c r="X428" s="85"/>
      <c r="Y428" s="85"/>
      <c r="Z428" s="85"/>
      <c r="AA428" s="85"/>
      <c r="AB428" s="85"/>
      <c r="AC428" s="177" t="s">
        <v>1718</v>
      </c>
      <c r="AD428" s="85" t="s">
        <v>1719</v>
      </c>
      <c r="AE428" s="85"/>
      <c r="AF428" s="85"/>
      <c r="AG428" s="85"/>
      <c r="AH428" s="85" t="s">
        <v>1720</v>
      </c>
      <c r="AI428" s="177" t="s">
        <v>1157</v>
      </c>
      <c r="AJ428" s="85"/>
      <c r="AK428" s="85"/>
      <c r="AL428" s="85"/>
      <c r="AM428" s="85"/>
      <c r="AN428" s="85"/>
      <c r="AO428" s="85"/>
      <c r="AP428" s="85"/>
      <c r="AQ428" s="85"/>
      <c r="AR428" s="128"/>
      <c r="AS428" s="29"/>
    </row>
    <row r="429" spans="1:45" ht="15">
      <c r="A429" s="388"/>
      <c r="B429" s="164"/>
      <c r="C429" s="165"/>
      <c r="D429" s="166"/>
      <c r="E429" s="193"/>
      <c r="F429" s="193"/>
      <c r="G429" s="193"/>
      <c r="H429" s="193"/>
      <c r="I429" s="168"/>
      <c r="J429" s="390"/>
      <c r="K429" s="391"/>
      <c r="L429" s="124" t="s">
        <v>291</v>
      </c>
      <c r="M429" s="112" t="s">
        <v>374</v>
      </c>
      <c r="N429" s="120" t="s">
        <v>627</v>
      </c>
      <c r="O429" s="112"/>
      <c r="P429" s="120" t="s">
        <v>717</v>
      </c>
      <c r="Q429" s="112" t="s">
        <v>385</v>
      </c>
      <c r="R429" s="112" t="s">
        <v>763</v>
      </c>
      <c r="S429" s="120" t="s">
        <v>764</v>
      </c>
      <c r="T429" s="112" t="s">
        <v>402</v>
      </c>
      <c r="U429" s="112" t="s">
        <v>402</v>
      </c>
      <c r="V429" s="112" t="s">
        <v>402</v>
      </c>
      <c r="W429" s="112" t="s">
        <v>402</v>
      </c>
      <c r="X429" s="112" t="s">
        <v>402</v>
      </c>
      <c r="Y429" s="112" t="s">
        <v>402</v>
      </c>
      <c r="Z429" s="112" t="s">
        <v>402</v>
      </c>
      <c r="AA429" s="112" t="s">
        <v>402</v>
      </c>
      <c r="AB429" s="112" t="s">
        <v>938</v>
      </c>
      <c r="AC429" s="132" t="s">
        <v>863</v>
      </c>
      <c r="AD429" s="184" t="s">
        <v>544</v>
      </c>
      <c r="AE429" s="112" t="s">
        <v>385</v>
      </c>
      <c r="AF429" s="112" t="s">
        <v>385</v>
      </c>
      <c r="AG429" s="112" t="s">
        <v>385</v>
      </c>
      <c r="AH429" s="132" t="s">
        <v>1121</v>
      </c>
      <c r="AI429" s="132" t="s">
        <v>630</v>
      </c>
      <c r="AJ429" s="112"/>
      <c r="AK429" s="112" t="s">
        <v>402</v>
      </c>
      <c r="AL429" s="112" t="s">
        <v>385</v>
      </c>
      <c r="AM429" s="112"/>
      <c r="AN429" s="112"/>
      <c r="AO429" s="112"/>
      <c r="AP429" s="112"/>
      <c r="AQ429" s="112" t="s">
        <v>1717</v>
      </c>
      <c r="AR429" s="139" t="s">
        <v>725</v>
      </c>
      <c r="AS429" s="172"/>
    </row>
    <row r="430" spans="1:45" ht="29">
      <c r="A430" s="238"/>
      <c r="B430" s="70" t="s">
        <v>356</v>
      </c>
      <c r="C430" s="72">
        <v>43444</v>
      </c>
      <c r="D430" s="74" t="s">
        <v>363</v>
      </c>
      <c r="E430" s="76">
        <v>43566</v>
      </c>
      <c r="F430" s="78" t="s">
        <v>360</v>
      </c>
      <c r="G430" s="76">
        <v>43581</v>
      </c>
      <c r="H430" s="78" t="s">
        <v>355</v>
      </c>
      <c r="I430" s="80" t="s">
        <v>1721</v>
      </c>
      <c r="J430" s="82" t="s">
        <v>241</v>
      </c>
      <c r="K430" s="126" t="s">
        <v>368</v>
      </c>
      <c r="L430" s="84" t="s">
        <v>291</v>
      </c>
      <c r="M430" s="85" t="s">
        <v>382</v>
      </c>
      <c r="N430" s="614" t="s">
        <v>628</v>
      </c>
      <c r="O430" s="613"/>
      <c r="P430" s="91" t="s">
        <v>717</v>
      </c>
      <c r="Q430" s="85" t="s">
        <v>385</v>
      </c>
      <c r="R430" s="85" t="s">
        <v>763</v>
      </c>
      <c r="S430" s="91" t="s">
        <v>764</v>
      </c>
      <c r="T430" s="85" t="s">
        <v>355</v>
      </c>
      <c r="U430" s="85" t="s">
        <v>355</v>
      </c>
      <c r="V430" s="85" t="s">
        <v>355</v>
      </c>
      <c r="W430" s="85" t="s">
        <v>355</v>
      </c>
      <c r="X430" s="85" t="s">
        <v>355</v>
      </c>
      <c r="Y430" s="85" t="s">
        <v>355</v>
      </c>
      <c r="Z430" s="85" t="s">
        <v>355</v>
      </c>
      <c r="AA430" s="85" t="s">
        <v>355</v>
      </c>
      <c r="AB430" s="85" t="s">
        <v>938</v>
      </c>
      <c r="AC430" s="85" t="s">
        <v>863</v>
      </c>
      <c r="AD430" s="91" t="s">
        <v>544</v>
      </c>
      <c r="AE430" s="85" t="s">
        <v>385</v>
      </c>
      <c r="AF430" s="85" t="s">
        <v>385</v>
      </c>
      <c r="AG430" s="85" t="s">
        <v>385</v>
      </c>
      <c r="AH430" s="91" t="s">
        <v>766</v>
      </c>
      <c r="AI430" s="85" t="s">
        <v>1306</v>
      </c>
      <c r="AJ430" s="85" t="s">
        <v>402</v>
      </c>
      <c r="AK430" s="85" t="s">
        <v>402</v>
      </c>
      <c r="AL430" s="85" t="s">
        <v>385</v>
      </c>
      <c r="AM430" s="85" t="s">
        <v>402</v>
      </c>
      <c r="AN430" s="85" t="s">
        <v>768</v>
      </c>
      <c r="AO430" s="85" t="s">
        <v>402</v>
      </c>
      <c r="AP430" s="85" t="s">
        <v>402</v>
      </c>
      <c r="AQ430" s="85" t="s">
        <v>1722</v>
      </c>
      <c r="AR430" s="128" t="s">
        <v>1106</v>
      </c>
      <c r="AS430" s="29"/>
    </row>
    <row r="431" spans="1:45" ht="15">
      <c r="A431" s="379"/>
      <c r="B431" s="70"/>
      <c r="C431" s="72"/>
      <c r="D431" s="74"/>
      <c r="E431" s="76"/>
      <c r="F431" s="76"/>
      <c r="G431" s="76"/>
      <c r="H431" s="76"/>
      <c r="I431" s="570"/>
      <c r="J431" s="380"/>
      <c r="K431" s="386"/>
      <c r="L431" s="84"/>
      <c r="M431" s="85"/>
      <c r="N431" s="85"/>
      <c r="O431" s="85"/>
      <c r="P431" s="85"/>
      <c r="Q431" s="85"/>
      <c r="R431" s="85"/>
      <c r="S431" s="85"/>
      <c r="T431" s="85"/>
      <c r="U431" s="85"/>
      <c r="V431" s="85"/>
      <c r="W431" s="85"/>
      <c r="X431" s="85"/>
      <c r="Y431" s="85"/>
      <c r="Z431" s="85"/>
      <c r="AA431" s="85"/>
      <c r="AB431" s="85"/>
      <c r="AC431" s="177"/>
      <c r="AD431" s="85"/>
      <c r="AE431" s="85"/>
      <c r="AF431" s="85"/>
      <c r="AG431" s="85"/>
      <c r="AH431" s="85" t="s">
        <v>1720</v>
      </c>
      <c r="AI431" s="177" t="s">
        <v>1157</v>
      </c>
      <c r="AJ431" s="85"/>
      <c r="AK431" s="85"/>
      <c r="AL431" s="85"/>
      <c r="AM431" s="85"/>
      <c r="AN431" s="85"/>
      <c r="AO431" s="85"/>
      <c r="AP431" s="85"/>
      <c r="AQ431" s="85"/>
      <c r="AR431" s="128"/>
      <c r="AS431" s="29"/>
    </row>
    <row r="432" spans="1:45" ht="15">
      <c r="A432" s="388"/>
      <c r="B432" s="164"/>
      <c r="C432" s="165"/>
      <c r="D432" s="166"/>
      <c r="E432" s="193"/>
      <c r="F432" s="193"/>
      <c r="G432" s="193"/>
      <c r="H432" s="193"/>
      <c r="I432" s="571"/>
      <c r="J432" s="390"/>
      <c r="K432" s="391"/>
      <c r="L432" s="124" t="s">
        <v>291</v>
      </c>
      <c r="M432" s="112" t="s">
        <v>382</v>
      </c>
      <c r="N432" s="120" t="s">
        <v>628</v>
      </c>
      <c r="O432" s="112"/>
      <c r="P432" s="120" t="s">
        <v>717</v>
      </c>
      <c r="Q432" s="112" t="s">
        <v>385</v>
      </c>
      <c r="R432" s="112" t="s">
        <v>763</v>
      </c>
      <c r="S432" s="120" t="s">
        <v>764</v>
      </c>
      <c r="T432" s="112" t="s">
        <v>402</v>
      </c>
      <c r="U432" s="112" t="s">
        <v>402</v>
      </c>
      <c r="V432" s="112" t="s">
        <v>402</v>
      </c>
      <c r="W432" s="112" t="s">
        <v>402</v>
      </c>
      <c r="X432" s="112" t="s">
        <v>402</v>
      </c>
      <c r="Y432" s="112" t="s">
        <v>402</v>
      </c>
      <c r="Z432" s="112" t="s">
        <v>402</v>
      </c>
      <c r="AA432" s="112" t="s">
        <v>402</v>
      </c>
      <c r="AB432" s="112" t="s">
        <v>938</v>
      </c>
      <c r="AC432" s="178" t="s">
        <v>863</v>
      </c>
      <c r="AD432" s="120" t="s">
        <v>544</v>
      </c>
      <c r="AE432" s="112" t="s">
        <v>385</v>
      </c>
      <c r="AF432" s="112" t="s">
        <v>385</v>
      </c>
      <c r="AG432" s="112" t="s">
        <v>385</v>
      </c>
      <c r="AH432" s="112" t="s">
        <v>1121</v>
      </c>
      <c r="AI432" s="132" t="s">
        <v>460</v>
      </c>
      <c r="AJ432" s="112"/>
      <c r="AK432" s="112" t="s">
        <v>402</v>
      </c>
      <c r="AL432" s="112" t="s">
        <v>385</v>
      </c>
      <c r="AM432" s="112"/>
      <c r="AN432" s="112"/>
      <c r="AO432" s="112"/>
      <c r="AP432" s="112"/>
      <c r="AQ432" s="112" t="s">
        <v>1722</v>
      </c>
      <c r="AR432" s="139" t="s">
        <v>1106</v>
      </c>
      <c r="AS432" s="172"/>
    </row>
    <row r="433" spans="1:45" ht="71">
      <c r="A433" s="379"/>
      <c r="B433" s="70" t="s">
        <v>356</v>
      </c>
      <c r="C433" s="72">
        <v>43444</v>
      </c>
      <c r="D433" s="74" t="s">
        <v>363</v>
      </c>
      <c r="E433" s="76">
        <v>43566</v>
      </c>
      <c r="F433" s="78" t="s">
        <v>360</v>
      </c>
      <c r="G433" s="76">
        <v>43581</v>
      </c>
      <c r="H433" s="78" t="s">
        <v>355</v>
      </c>
      <c r="I433" s="129" t="s">
        <v>1723</v>
      </c>
      <c r="J433" s="380" t="s">
        <v>242</v>
      </c>
      <c r="K433" s="126" t="s">
        <v>524</v>
      </c>
      <c r="L433" s="84" t="s">
        <v>341</v>
      </c>
      <c r="M433" s="85" t="s">
        <v>385</v>
      </c>
      <c r="N433" s="96"/>
      <c r="O433" s="96"/>
      <c r="P433" s="96"/>
      <c r="Q433" s="85" t="s">
        <v>385</v>
      </c>
      <c r="R433" s="422"/>
      <c r="S433" s="96"/>
      <c r="T433" s="85" t="s">
        <v>402</v>
      </c>
      <c r="U433" s="85" t="s">
        <v>402</v>
      </c>
      <c r="V433" s="85" t="s">
        <v>402</v>
      </c>
      <c r="W433" s="85" t="s">
        <v>402</v>
      </c>
      <c r="X433" s="85" t="s">
        <v>402</v>
      </c>
      <c r="Y433" s="85" t="s">
        <v>402</v>
      </c>
      <c r="Z433" s="85" t="s">
        <v>402</v>
      </c>
      <c r="AA433" s="85" t="s">
        <v>402</v>
      </c>
      <c r="AB433" s="96"/>
      <c r="AC433" s="177" t="s">
        <v>402</v>
      </c>
      <c r="AD433" s="96"/>
      <c r="AE433" s="85" t="s">
        <v>385</v>
      </c>
      <c r="AF433" s="85" t="s">
        <v>385</v>
      </c>
      <c r="AG433" s="85" t="s">
        <v>385</v>
      </c>
      <c r="AH433" s="91" t="s">
        <v>1724</v>
      </c>
      <c r="AI433" s="85" t="s">
        <v>1725</v>
      </c>
      <c r="AJ433" s="85" t="s">
        <v>402</v>
      </c>
      <c r="AK433" s="85" t="s">
        <v>402</v>
      </c>
      <c r="AL433" s="85" t="s">
        <v>385</v>
      </c>
      <c r="AM433" s="85" t="s">
        <v>402</v>
      </c>
      <c r="AN433" s="85" t="s">
        <v>529</v>
      </c>
      <c r="AO433" s="85" t="s">
        <v>402</v>
      </c>
      <c r="AP433" s="85" t="s">
        <v>402</v>
      </c>
      <c r="AQ433" s="85" t="s">
        <v>1726</v>
      </c>
      <c r="AR433" s="128" t="s">
        <v>725</v>
      </c>
      <c r="AS433" s="29"/>
    </row>
    <row r="434" spans="1:45" ht="15">
      <c r="A434" s="379"/>
      <c r="B434" s="70"/>
      <c r="C434" s="72"/>
      <c r="D434" s="74"/>
      <c r="E434" s="76"/>
      <c r="F434" s="76"/>
      <c r="G434" s="76"/>
      <c r="H434" s="76"/>
      <c r="I434" s="129"/>
      <c r="J434" s="380"/>
      <c r="K434" s="386"/>
      <c r="L434" s="84"/>
      <c r="M434" s="85"/>
      <c r="N434" s="96"/>
      <c r="O434" s="96"/>
      <c r="P434" s="96"/>
      <c r="Q434" s="85"/>
      <c r="R434" s="422"/>
      <c r="S434" s="96"/>
      <c r="T434" s="85"/>
      <c r="U434" s="85"/>
      <c r="V434" s="85"/>
      <c r="W434" s="85"/>
      <c r="X434" s="85"/>
      <c r="Y434" s="85"/>
      <c r="Z434" s="85"/>
      <c r="AA434" s="85"/>
      <c r="AB434" s="96"/>
      <c r="AC434" s="177"/>
      <c r="AD434" s="96"/>
      <c r="AE434" s="85"/>
      <c r="AF434" s="85"/>
      <c r="AG434" s="85"/>
      <c r="AH434" s="85" t="s">
        <v>1727</v>
      </c>
      <c r="AI434" s="130" t="s">
        <v>1728</v>
      </c>
      <c r="AJ434" s="85"/>
      <c r="AK434" s="85"/>
      <c r="AL434" s="85"/>
      <c r="AM434" s="85"/>
      <c r="AN434" s="85"/>
      <c r="AO434" s="85"/>
      <c r="AP434" s="85"/>
      <c r="AQ434" s="85"/>
      <c r="AR434" s="128"/>
      <c r="AS434" s="29"/>
    </row>
    <row r="435" spans="1:45" ht="15">
      <c r="A435" s="388"/>
      <c r="B435" s="164"/>
      <c r="C435" s="165"/>
      <c r="D435" s="166"/>
      <c r="E435" s="193"/>
      <c r="F435" s="193"/>
      <c r="G435" s="193"/>
      <c r="H435" s="193"/>
      <c r="I435" s="168"/>
      <c r="J435" s="390"/>
      <c r="K435" s="391"/>
      <c r="L435" s="124" t="s">
        <v>341</v>
      </c>
      <c r="M435" s="112" t="s">
        <v>385</v>
      </c>
      <c r="N435" s="116"/>
      <c r="O435" s="116"/>
      <c r="P435" s="116"/>
      <c r="Q435" s="112" t="s">
        <v>385</v>
      </c>
      <c r="R435" s="572"/>
      <c r="S435" s="116"/>
      <c r="T435" s="112" t="s">
        <v>402</v>
      </c>
      <c r="U435" s="112" t="s">
        <v>402</v>
      </c>
      <c r="V435" s="112" t="s">
        <v>402</v>
      </c>
      <c r="W435" s="112" t="s">
        <v>402</v>
      </c>
      <c r="X435" s="112" t="s">
        <v>402</v>
      </c>
      <c r="Y435" s="112" t="s">
        <v>402</v>
      </c>
      <c r="Z435" s="112" t="s">
        <v>402</v>
      </c>
      <c r="AA435" s="112" t="s">
        <v>402</v>
      </c>
      <c r="AB435" s="116"/>
      <c r="AC435" s="178" t="s">
        <v>402</v>
      </c>
      <c r="AD435" s="116"/>
      <c r="AE435" s="112" t="s">
        <v>385</v>
      </c>
      <c r="AF435" s="112" t="s">
        <v>385</v>
      </c>
      <c r="AG435" s="112" t="s">
        <v>385</v>
      </c>
      <c r="AH435" s="184" t="s">
        <v>1122</v>
      </c>
      <c r="AI435" s="132" t="s">
        <v>642</v>
      </c>
      <c r="AJ435" s="112"/>
      <c r="AK435" s="112" t="s">
        <v>402</v>
      </c>
      <c r="AL435" s="112" t="s">
        <v>385</v>
      </c>
      <c r="AM435" s="112"/>
      <c r="AN435" s="112"/>
      <c r="AO435" s="112"/>
      <c r="AP435" s="112"/>
      <c r="AQ435" s="112" t="s">
        <v>1726</v>
      </c>
      <c r="AR435" s="139" t="s">
        <v>725</v>
      </c>
      <c r="AS435" s="172"/>
    </row>
    <row r="436" spans="1:45" ht="43">
      <c r="A436" s="379"/>
      <c r="B436" s="70" t="s">
        <v>356</v>
      </c>
      <c r="C436" s="72">
        <v>43440</v>
      </c>
      <c r="D436" s="74" t="s">
        <v>363</v>
      </c>
      <c r="E436" s="76">
        <v>43566</v>
      </c>
      <c r="F436" s="78" t="s">
        <v>360</v>
      </c>
      <c r="G436" s="76">
        <v>43581</v>
      </c>
      <c r="H436" s="78" t="s">
        <v>355</v>
      </c>
      <c r="I436" s="129" t="s">
        <v>1729</v>
      </c>
      <c r="J436" s="105" t="s">
        <v>243</v>
      </c>
      <c r="K436" s="126" t="s">
        <v>851</v>
      </c>
      <c r="L436" s="84" t="s">
        <v>338</v>
      </c>
      <c r="M436" s="85" t="s">
        <v>374</v>
      </c>
      <c r="N436" s="614" t="s">
        <v>1039</v>
      </c>
      <c r="O436" s="613"/>
      <c r="P436" s="96"/>
      <c r="Q436" s="85" t="s">
        <v>355</v>
      </c>
      <c r="R436" s="85" t="s">
        <v>402</v>
      </c>
      <c r="S436" s="96"/>
      <c r="T436" s="85" t="s">
        <v>355</v>
      </c>
      <c r="U436" s="85" t="s">
        <v>402</v>
      </c>
      <c r="V436" s="85" t="s">
        <v>355</v>
      </c>
      <c r="W436" s="85" t="s">
        <v>402</v>
      </c>
      <c r="X436" s="85" t="s">
        <v>355</v>
      </c>
      <c r="Y436" s="85" t="s">
        <v>355</v>
      </c>
      <c r="Z436" s="85" t="s">
        <v>355</v>
      </c>
      <c r="AA436" s="85" t="s">
        <v>404</v>
      </c>
      <c r="AB436" s="96"/>
      <c r="AC436" s="397" t="s">
        <v>979</v>
      </c>
      <c r="AD436" s="91" t="s">
        <v>1039</v>
      </c>
      <c r="AE436" s="85" t="s">
        <v>354</v>
      </c>
      <c r="AF436" s="85" t="s">
        <v>385</v>
      </c>
      <c r="AG436" s="85" t="s">
        <v>385</v>
      </c>
      <c r="AH436" s="91" t="s">
        <v>1039</v>
      </c>
      <c r="AI436" s="397" t="s">
        <v>1730</v>
      </c>
      <c r="AJ436" s="85" t="s">
        <v>402</v>
      </c>
      <c r="AK436" s="85" t="s">
        <v>402</v>
      </c>
      <c r="AL436" s="85" t="s">
        <v>385</v>
      </c>
      <c r="AM436" s="85" t="s">
        <v>402</v>
      </c>
      <c r="AN436" s="85" t="s">
        <v>529</v>
      </c>
      <c r="AO436" s="85" t="s">
        <v>402</v>
      </c>
      <c r="AP436" s="85" t="s">
        <v>402</v>
      </c>
      <c r="AQ436" s="85" t="s">
        <v>1731</v>
      </c>
      <c r="AR436" s="128" t="s">
        <v>1614</v>
      </c>
      <c r="AS436" s="29"/>
    </row>
    <row r="437" spans="1:45" ht="15">
      <c r="A437" s="379"/>
      <c r="B437" s="70"/>
      <c r="C437" s="72"/>
      <c r="D437" s="74"/>
      <c r="E437" s="76"/>
      <c r="F437" s="76"/>
      <c r="G437" s="76"/>
      <c r="H437" s="76"/>
      <c r="I437" s="129"/>
      <c r="J437" s="105"/>
      <c r="K437" s="106"/>
      <c r="L437" s="84"/>
      <c r="M437" s="85"/>
      <c r="N437" s="85" t="s">
        <v>1732</v>
      </c>
      <c r="O437" s="85"/>
      <c r="P437" s="96"/>
      <c r="Q437" s="85"/>
      <c r="R437" s="85"/>
      <c r="S437" s="96"/>
      <c r="T437" s="85"/>
      <c r="U437" s="85"/>
      <c r="V437" s="85"/>
      <c r="W437" s="85"/>
      <c r="X437" s="85"/>
      <c r="Y437" s="85"/>
      <c r="Z437" s="85"/>
      <c r="AA437" s="85"/>
      <c r="AB437" s="96"/>
      <c r="AC437" s="397"/>
      <c r="AD437" s="91" t="s">
        <v>1733</v>
      </c>
      <c r="AE437" s="85"/>
      <c r="AF437" s="85"/>
      <c r="AG437" s="85"/>
      <c r="AH437" s="85"/>
      <c r="AI437" s="397" t="s">
        <v>1734</v>
      </c>
      <c r="AJ437" s="85"/>
      <c r="AK437" s="85"/>
      <c r="AL437" s="85"/>
      <c r="AM437" s="85"/>
      <c r="AN437" s="85"/>
      <c r="AO437" s="85"/>
      <c r="AP437" s="85"/>
      <c r="AQ437" s="85"/>
      <c r="AR437" s="128"/>
      <c r="AS437" s="29"/>
    </row>
    <row r="438" spans="1:45" ht="15">
      <c r="A438" s="388"/>
      <c r="B438" s="164"/>
      <c r="C438" s="165"/>
      <c r="D438" s="166"/>
      <c r="E438" s="193"/>
      <c r="F438" s="193"/>
      <c r="G438" s="193"/>
      <c r="H438" s="193"/>
      <c r="I438" s="168"/>
      <c r="J438" s="169"/>
      <c r="K438" s="170"/>
      <c r="L438" s="124" t="s">
        <v>338</v>
      </c>
      <c r="M438" s="112" t="s">
        <v>374</v>
      </c>
      <c r="N438" s="132" t="s">
        <v>631</v>
      </c>
      <c r="O438" s="112"/>
      <c r="P438" s="116"/>
      <c r="Q438" s="112" t="s">
        <v>355</v>
      </c>
      <c r="R438" s="112"/>
      <c r="S438" s="116"/>
      <c r="T438" s="112" t="s">
        <v>355</v>
      </c>
      <c r="U438" s="112" t="s">
        <v>355</v>
      </c>
      <c r="V438" s="112" t="s">
        <v>355</v>
      </c>
      <c r="W438" s="112" t="s">
        <v>402</v>
      </c>
      <c r="X438" s="112" t="s">
        <v>355</v>
      </c>
      <c r="Y438" s="112" t="s">
        <v>355</v>
      </c>
      <c r="Z438" s="112" t="s">
        <v>402</v>
      </c>
      <c r="AA438" s="112" t="s">
        <v>402</v>
      </c>
      <c r="AB438" s="116"/>
      <c r="AC438" s="573" t="s">
        <v>979</v>
      </c>
      <c r="AD438" s="120" t="s">
        <v>1039</v>
      </c>
      <c r="AE438" s="112" t="s">
        <v>354</v>
      </c>
      <c r="AF438" s="112" t="s">
        <v>385</v>
      </c>
      <c r="AG438" s="112" t="s">
        <v>385</v>
      </c>
      <c r="AH438" s="120" t="s">
        <v>1039</v>
      </c>
      <c r="AI438" s="573" t="s">
        <v>652</v>
      </c>
      <c r="AJ438" s="112" t="s">
        <v>402</v>
      </c>
      <c r="AK438" s="112" t="s">
        <v>402</v>
      </c>
      <c r="AL438" s="112" t="s">
        <v>385</v>
      </c>
      <c r="AM438" s="112"/>
      <c r="AN438" s="112"/>
      <c r="AO438" s="112"/>
      <c r="AP438" s="112"/>
      <c r="AQ438" s="112" t="s">
        <v>1731</v>
      </c>
      <c r="AR438" s="139" t="s">
        <v>1614</v>
      </c>
      <c r="AS438" s="172"/>
    </row>
    <row r="439" spans="1:45" ht="57">
      <c r="A439" s="379"/>
      <c r="B439" s="70" t="s">
        <v>356</v>
      </c>
      <c r="C439" s="72">
        <v>43440</v>
      </c>
      <c r="D439" s="74" t="s">
        <v>363</v>
      </c>
      <c r="E439" s="76">
        <v>43572</v>
      </c>
      <c r="F439" s="78" t="s">
        <v>360</v>
      </c>
      <c r="G439" s="76">
        <v>43581</v>
      </c>
      <c r="H439" s="78" t="s">
        <v>355</v>
      </c>
      <c r="I439" s="129" t="s">
        <v>1735</v>
      </c>
      <c r="J439" s="105" t="s">
        <v>244</v>
      </c>
      <c r="K439" s="126" t="s">
        <v>994</v>
      </c>
      <c r="L439" s="84" t="s">
        <v>342</v>
      </c>
      <c r="M439" s="85" t="s">
        <v>1736</v>
      </c>
      <c r="N439" s="614" t="s">
        <v>632</v>
      </c>
      <c r="O439" s="613"/>
      <c r="P439" s="613"/>
      <c r="Q439" s="85" t="s">
        <v>355</v>
      </c>
      <c r="R439" s="110" t="s">
        <v>1737</v>
      </c>
      <c r="S439" s="91" t="s">
        <v>632</v>
      </c>
      <c r="T439" s="85" t="s">
        <v>1738</v>
      </c>
      <c r="U439" s="85" t="s">
        <v>402</v>
      </c>
      <c r="V439" s="85" t="s">
        <v>402</v>
      </c>
      <c r="W439" s="85" t="s">
        <v>402</v>
      </c>
      <c r="X439" s="85" t="s">
        <v>355</v>
      </c>
      <c r="Y439" s="85" t="s">
        <v>355</v>
      </c>
      <c r="Z439" s="85" t="s">
        <v>1739</v>
      </c>
      <c r="AA439" s="85" t="s">
        <v>1740</v>
      </c>
      <c r="AB439" s="85" t="s">
        <v>945</v>
      </c>
      <c r="AC439" s="110" t="s">
        <v>1741</v>
      </c>
      <c r="AD439" s="91" t="s">
        <v>632</v>
      </c>
      <c r="AE439" s="85" t="s">
        <v>385</v>
      </c>
      <c r="AF439" s="85" t="s">
        <v>385</v>
      </c>
      <c r="AG439" s="85" t="s">
        <v>385</v>
      </c>
      <c r="AH439" s="91" t="s">
        <v>1123</v>
      </c>
      <c r="AI439" s="177" t="s">
        <v>460</v>
      </c>
      <c r="AJ439" s="177" t="s">
        <v>1203</v>
      </c>
      <c r="AK439" s="85" t="s">
        <v>402</v>
      </c>
      <c r="AL439" s="85" t="s">
        <v>385</v>
      </c>
      <c r="AM439" s="177" t="s">
        <v>1259</v>
      </c>
      <c r="AN439" s="85" t="s">
        <v>529</v>
      </c>
      <c r="AO439" s="85" t="s">
        <v>402</v>
      </c>
      <c r="AP439" s="85" t="s">
        <v>402</v>
      </c>
      <c r="AQ439" s="85" t="s">
        <v>1742</v>
      </c>
      <c r="AR439" s="128" t="s">
        <v>725</v>
      </c>
      <c r="AS439" s="67"/>
    </row>
    <row r="440" spans="1:45" ht="15">
      <c r="A440" s="379"/>
      <c r="B440" s="70"/>
      <c r="C440" s="72"/>
      <c r="D440" s="74"/>
      <c r="E440" s="104"/>
      <c r="F440" s="104"/>
      <c r="G440" s="104"/>
      <c r="H440" s="104"/>
      <c r="I440" s="129"/>
      <c r="J440" s="105"/>
      <c r="K440" s="106"/>
      <c r="L440" s="84"/>
      <c r="M440" s="85"/>
      <c r="N440" s="85"/>
      <c r="O440" s="85"/>
      <c r="P440" s="85"/>
      <c r="Q440" s="85"/>
      <c r="R440" s="110" t="s">
        <v>835</v>
      </c>
      <c r="S440" s="15" t="s">
        <v>907</v>
      </c>
      <c r="T440" s="85" t="s">
        <v>355</v>
      </c>
      <c r="U440" s="85"/>
      <c r="V440" s="85"/>
      <c r="W440" s="85"/>
      <c r="X440" s="85"/>
      <c r="Y440" s="85"/>
      <c r="Z440" s="85" t="s">
        <v>355</v>
      </c>
      <c r="AA440" s="85"/>
      <c r="AB440" s="85" t="s">
        <v>1743</v>
      </c>
      <c r="AC440" s="110" t="s">
        <v>984</v>
      </c>
      <c r="AD440" s="15" t="s">
        <v>1040</v>
      </c>
      <c r="AE440" s="85" t="s">
        <v>385</v>
      </c>
      <c r="AF440" s="85" t="s">
        <v>385</v>
      </c>
      <c r="AG440" s="85" t="s">
        <v>385</v>
      </c>
      <c r="AH440" s="85"/>
      <c r="AI440" s="177"/>
      <c r="AJ440" s="177"/>
      <c r="AK440" s="85"/>
      <c r="AL440" s="85"/>
      <c r="AM440" s="177"/>
      <c r="AN440" s="85"/>
      <c r="AO440" s="85"/>
      <c r="AP440" s="85"/>
      <c r="AQ440" s="85"/>
      <c r="AR440" s="128"/>
      <c r="AS440" s="67"/>
    </row>
    <row r="441" spans="1:45" ht="15">
      <c r="A441" s="388"/>
      <c r="B441" s="164"/>
      <c r="C441" s="165"/>
      <c r="D441" s="166"/>
      <c r="E441" s="167"/>
      <c r="F441" s="167"/>
      <c r="G441" s="167"/>
      <c r="H441" s="167"/>
      <c r="I441" s="168"/>
      <c r="J441" s="169"/>
      <c r="K441" s="170"/>
      <c r="L441" s="124" t="s">
        <v>342</v>
      </c>
      <c r="M441" s="112" t="s">
        <v>385</v>
      </c>
      <c r="N441" s="120" t="s">
        <v>632</v>
      </c>
      <c r="O441" s="112"/>
      <c r="P441" s="112"/>
      <c r="Q441" s="112" t="s">
        <v>355</v>
      </c>
      <c r="R441" s="122" t="s">
        <v>835</v>
      </c>
      <c r="S441" s="171" t="s">
        <v>907</v>
      </c>
      <c r="T441" s="112" t="s">
        <v>355</v>
      </c>
      <c r="U441" s="112" t="s">
        <v>402</v>
      </c>
      <c r="V441" s="112" t="s">
        <v>402</v>
      </c>
      <c r="W441" s="112" t="s">
        <v>402</v>
      </c>
      <c r="X441" s="112" t="s">
        <v>355</v>
      </c>
      <c r="Y441" s="112" t="s">
        <v>355</v>
      </c>
      <c r="Z441" s="112" t="s">
        <v>402</v>
      </c>
      <c r="AA441" s="112" t="s">
        <v>354</v>
      </c>
      <c r="AB441" s="112" t="s">
        <v>945</v>
      </c>
      <c r="AC441" s="122" t="s">
        <v>984</v>
      </c>
      <c r="AD441" s="171" t="s">
        <v>1040</v>
      </c>
      <c r="AE441" s="112" t="s">
        <v>385</v>
      </c>
      <c r="AF441" s="112" t="s">
        <v>385</v>
      </c>
      <c r="AG441" s="112" t="s">
        <v>385</v>
      </c>
      <c r="AH441" s="120" t="s">
        <v>1123</v>
      </c>
      <c r="AI441" s="178" t="s">
        <v>460</v>
      </c>
      <c r="AJ441" s="178" t="s">
        <v>1203</v>
      </c>
      <c r="AK441" s="112" t="s">
        <v>402</v>
      </c>
      <c r="AL441" s="112" t="s">
        <v>385</v>
      </c>
      <c r="AM441" s="178" t="s">
        <v>1259</v>
      </c>
      <c r="AN441" s="112"/>
      <c r="AO441" s="112"/>
      <c r="AP441" s="112"/>
      <c r="AQ441" s="112" t="s">
        <v>1744</v>
      </c>
      <c r="AR441" s="139" t="s">
        <v>725</v>
      </c>
      <c r="AS441" s="140"/>
    </row>
    <row r="442" spans="1:45" ht="15">
      <c r="A442" s="379"/>
      <c r="B442" s="70" t="s">
        <v>356</v>
      </c>
      <c r="C442" s="72">
        <v>43440</v>
      </c>
      <c r="D442" s="74" t="s">
        <v>363</v>
      </c>
      <c r="E442" s="76">
        <v>43572</v>
      </c>
      <c r="F442" s="78" t="s">
        <v>360</v>
      </c>
      <c r="G442" s="76">
        <v>43581</v>
      </c>
      <c r="H442" s="78" t="s">
        <v>355</v>
      </c>
      <c r="I442" s="129" t="s">
        <v>1745</v>
      </c>
      <c r="J442" s="105" t="s">
        <v>245</v>
      </c>
      <c r="K442" s="106"/>
      <c r="L442" s="84" t="s">
        <v>342</v>
      </c>
      <c r="M442" s="85" t="s">
        <v>1736</v>
      </c>
      <c r="N442" s="614" t="s">
        <v>632</v>
      </c>
      <c r="O442" s="613"/>
      <c r="P442" s="613"/>
      <c r="Q442" s="85" t="s">
        <v>355</v>
      </c>
      <c r="R442" s="110" t="s">
        <v>1737</v>
      </c>
      <c r="S442" s="91" t="s">
        <v>632</v>
      </c>
      <c r="T442" s="85" t="s">
        <v>1738</v>
      </c>
      <c r="U442" s="85" t="s">
        <v>402</v>
      </c>
      <c r="V442" s="85" t="s">
        <v>402</v>
      </c>
      <c r="W442" s="85" t="s">
        <v>402</v>
      </c>
      <c r="X442" s="85" t="s">
        <v>355</v>
      </c>
      <c r="Y442" s="85" t="s">
        <v>355</v>
      </c>
      <c r="Z442" s="85" t="s">
        <v>1739</v>
      </c>
      <c r="AA442" s="85" t="s">
        <v>1740</v>
      </c>
      <c r="AB442" s="85" t="s">
        <v>945</v>
      </c>
      <c r="AC442" s="110" t="s">
        <v>1741</v>
      </c>
      <c r="AD442" s="91" t="s">
        <v>632</v>
      </c>
      <c r="AE442" s="85" t="s">
        <v>385</v>
      </c>
      <c r="AF442" s="85" t="s">
        <v>385</v>
      </c>
      <c r="AG442" s="85" t="s">
        <v>385</v>
      </c>
      <c r="AH442" s="91" t="s">
        <v>1746</v>
      </c>
      <c r="AI442" s="177" t="s">
        <v>460</v>
      </c>
      <c r="AJ442" s="177" t="s">
        <v>1203</v>
      </c>
      <c r="AK442" s="85" t="s">
        <v>402</v>
      </c>
      <c r="AL442" s="85" t="s">
        <v>385</v>
      </c>
      <c r="AM442" s="85" t="s">
        <v>1260</v>
      </c>
      <c r="AN442" s="85" t="s">
        <v>529</v>
      </c>
      <c r="AO442" s="85" t="s">
        <v>402</v>
      </c>
      <c r="AP442" s="85" t="s">
        <v>402</v>
      </c>
      <c r="AQ442" s="85" t="s">
        <v>1742</v>
      </c>
      <c r="AR442" s="128" t="s">
        <v>725</v>
      </c>
      <c r="AS442" s="67"/>
    </row>
    <row r="443" spans="1:45" ht="15">
      <c r="A443" s="379"/>
      <c r="B443" s="70"/>
      <c r="C443" s="72"/>
      <c r="D443" s="74"/>
      <c r="E443" s="104"/>
      <c r="F443" s="104"/>
      <c r="G443" s="104"/>
      <c r="H443" s="104"/>
      <c r="I443" s="129"/>
      <c r="J443" s="105"/>
      <c r="K443" s="106"/>
      <c r="L443" s="84"/>
      <c r="M443" s="85"/>
      <c r="N443" s="15" t="s">
        <v>634</v>
      </c>
      <c r="O443" s="85"/>
      <c r="P443" s="15" t="s">
        <v>1041</v>
      </c>
      <c r="Q443" s="85"/>
      <c r="R443" s="110"/>
      <c r="S443" s="85" t="s">
        <v>590</v>
      </c>
      <c r="T443" s="85"/>
      <c r="U443" s="85"/>
      <c r="V443" s="85"/>
      <c r="W443" s="85"/>
      <c r="X443" s="85"/>
      <c r="Y443" s="85"/>
      <c r="Z443" s="85" t="s">
        <v>355</v>
      </c>
      <c r="AA443" s="85" t="s">
        <v>355</v>
      </c>
      <c r="AB443" s="85" t="s">
        <v>1747</v>
      </c>
      <c r="AC443" s="110" t="s">
        <v>984</v>
      </c>
      <c r="AD443" s="15" t="s">
        <v>1041</v>
      </c>
      <c r="AE443" s="85"/>
      <c r="AF443" s="85"/>
      <c r="AG443" s="85"/>
      <c r="AH443" s="15" t="s">
        <v>634</v>
      </c>
      <c r="AI443" s="177"/>
      <c r="AJ443" s="177"/>
      <c r="AK443" s="85"/>
      <c r="AL443" s="85"/>
      <c r="AM443" s="85"/>
      <c r="AN443" s="85"/>
      <c r="AO443" s="85"/>
      <c r="AP443" s="85"/>
      <c r="AQ443" s="85"/>
      <c r="AR443" s="128"/>
      <c r="AS443" s="67"/>
    </row>
    <row r="444" spans="1:45" ht="15">
      <c r="A444" s="388"/>
      <c r="B444" s="164"/>
      <c r="C444" s="165"/>
      <c r="D444" s="166"/>
      <c r="E444" s="167"/>
      <c r="F444" s="167"/>
      <c r="G444" s="167"/>
      <c r="H444" s="167"/>
      <c r="I444" s="168"/>
      <c r="J444" s="169"/>
      <c r="K444" s="170"/>
      <c r="L444" s="124"/>
      <c r="M444" s="112" t="s">
        <v>385</v>
      </c>
      <c r="N444" s="171" t="s">
        <v>634</v>
      </c>
      <c r="O444" s="112"/>
      <c r="P444" s="131"/>
      <c r="Q444" s="112" t="s">
        <v>355</v>
      </c>
      <c r="R444" s="122"/>
      <c r="S444" s="112"/>
      <c r="T444" s="112" t="s">
        <v>355</v>
      </c>
      <c r="U444" s="112" t="s">
        <v>402</v>
      </c>
      <c r="V444" s="112" t="s">
        <v>402</v>
      </c>
      <c r="W444" s="112" t="s">
        <v>402</v>
      </c>
      <c r="X444" s="112" t="s">
        <v>355</v>
      </c>
      <c r="Y444" s="112" t="s">
        <v>355</v>
      </c>
      <c r="Z444" s="112" t="s">
        <v>402</v>
      </c>
      <c r="AA444" s="112" t="s">
        <v>402</v>
      </c>
      <c r="AB444" s="112"/>
      <c r="AC444" s="122" t="s">
        <v>984</v>
      </c>
      <c r="AD444" s="171" t="s">
        <v>1041</v>
      </c>
      <c r="AE444" s="112" t="s">
        <v>385</v>
      </c>
      <c r="AF444" s="112" t="s">
        <v>385</v>
      </c>
      <c r="AG444" s="112" t="s">
        <v>385</v>
      </c>
      <c r="AH444" s="171" t="s">
        <v>634</v>
      </c>
      <c r="AI444" s="178" t="s">
        <v>460</v>
      </c>
      <c r="AJ444" s="178" t="s">
        <v>1203</v>
      </c>
      <c r="AK444" s="112" t="s">
        <v>402</v>
      </c>
      <c r="AL444" s="112" t="s">
        <v>385</v>
      </c>
      <c r="AM444" s="112" t="s">
        <v>1260</v>
      </c>
      <c r="AN444" s="112"/>
      <c r="AO444" s="112"/>
      <c r="AP444" s="112"/>
      <c r="AQ444" s="112"/>
      <c r="AR444" s="139" t="s">
        <v>725</v>
      </c>
      <c r="AS444" s="140"/>
    </row>
    <row r="445" spans="1:45" ht="57">
      <c r="A445" s="379"/>
      <c r="B445" s="70" t="s">
        <v>356</v>
      </c>
      <c r="C445" s="72">
        <v>43440</v>
      </c>
      <c r="D445" s="74" t="s">
        <v>363</v>
      </c>
      <c r="E445" s="76">
        <v>43572</v>
      </c>
      <c r="F445" s="78" t="s">
        <v>360</v>
      </c>
      <c r="G445" s="76">
        <v>43581</v>
      </c>
      <c r="H445" s="78" t="s">
        <v>355</v>
      </c>
      <c r="I445" s="129" t="s">
        <v>1748</v>
      </c>
      <c r="J445" s="105" t="s">
        <v>246</v>
      </c>
      <c r="K445" s="126" t="s">
        <v>994</v>
      </c>
      <c r="L445" s="84" t="s">
        <v>332</v>
      </c>
      <c r="M445" s="85" t="s">
        <v>1565</v>
      </c>
      <c r="N445" s="614" t="s">
        <v>594</v>
      </c>
      <c r="O445" s="613"/>
      <c r="P445" s="96"/>
      <c r="Q445" s="85" t="s">
        <v>355</v>
      </c>
      <c r="R445" s="177" t="s">
        <v>836</v>
      </c>
      <c r="S445" s="91" t="s">
        <v>884</v>
      </c>
      <c r="T445" s="85" t="s">
        <v>404</v>
      </c>
      <c r="U445" s="85" t="s">
        <v>354</v>
      </c>
      <c r="V445" s="85" t="s">
        <v>402</v>
      </c>
      <c r="W445" s="85" t="s">
        <v>402</v>
      </c>
      <c r="X445" s="85" t="s">
        <v>404</v>
      </c>
      <c r="Y445" s="85" t="s">
        <v>404</v>
      </c>
      <c r="Z445" s="85" t="s">
        <v>402</v>
      </c>
      <c r="AA445" s="85" t="s">
        <v>355</v>
      </c>
      <c r="AB445" s="96"/>
      <c r="AC445" s="177" t="s">
        <v>1610</v>
      </c>
      <c r="AD445" s="91" t="s">
        <v>594</v>
      </c>
      <c r="AE445" s="85" t="s">
        <v>354</v>
      </c>
      <c r="AF445" s="85" t="s">
        <v>385</v>
      </c>
      <c r="AG445" s="85" t="s">
        <v>385</v>
      </c>
      <c r="AH445" s="91" t="s">
        <v>1102</v>
      </c>
      <c r="AI445" s="85" t="s">
        <v>1611</v>
      </c>
      <c r="AJ445" s="177" t="s">
        <v>1612</v>
      </c>
      <c r="AK445" s="490" t="s">
        <v>1237</v>
      </c>
      <c r="AL445" s="491" t="s">
        <v>354</v>
      </c>
      <c r="AM445" s="96"/>
      <c r="AN445" s="85" t="s">
        <v>529</v>
      </c>
      <c r="AO445" s="85" t="s">
        <v>402</v>
      </c>
      <c r="AP445" s="85" t="s">
        <v>402</v>
      </c>
      <c r="AQ445" s="85" t="s">
        <v>1749</v>
      </c>
      <c r="AR445" s="128" t="s">
        <v>1614</v>
      </c>
      <c r="AS445" s="67"/>
    </row>
    <row r="446" spans="1:45" ht="15">
      <c r="A446" s="379"/>
      <c r="B446" s="70"/>
      <c r="C446" s="72"/>
      <c r="D446" s="74"/>
      <c r="E446" s="104"/>
      <c r="F446" s="104"/>
      <c r="G446" s="104"/>
      <c r="H446" s="104"/>
      <c r="I446" s="129"/>
      <c r="J446" s="105"/>
      <c r="K446" s="106"/>
      <c r="L446" s="84"/>
      <c r="M446" s="85" t="s">
        <v>374</v>
      </c>
      <c r="N446" s="15" t="s">
        <v>636</v>
      </c>
      <c r="O446" s="85"/>
      <c r="P446" s="96"/>
      <c r="Q446" s="85"/>
      <c r="R446" s="177"/>
      <c r="S446" s="85"/>
      <c r="T446" s="85" t="s">
        <v>355</v>
      </c>
      <c r="U446" s="85" t="s">
        <v>355</v>
      </c>
      <c r="V446" s="85" t="s">
        <v>355</v>
      </c>
      <c r="W446" s="85" t="s">
        <v>355</v>
      </c>
      <c r="X446" s="85" t="s">
        <v>355</v>
      </c>
      <c r="Y446" s="85" t="s">
        <v>403</v>
      </c>
      <c r="Z446" s="85" t="s">
        <v>355</v>
      </c>
      <c r="AA446" s="85" t="s">
        <v>355</v>
      </c>
      <c r="AB446" s="96"/>
      <c r="AC446" s="177" t="s">
        <v>985</v>
      </c>
      <c r="AD446" s="91" t="s">
        <v>1042</v>
      </c>
      <c r="AE446" s="85"/>
      <c r="AF446" s="85"/>
      <c r="AG446" s="85"/>
      <c r="AH446" s="15" t="s">
        <v>1124</v>
      </c>
      <c r="AI446" s="85" t="s">
        <v>652</v>
      </c>
      <c r="AJ446" s="177" t="s">
        <v>1204</v>
      </c>
      <c r="AK446" s="490"/>
      <c r="AL446" s="85"/>
      <c r="AM446" s="85" t="s">
        <v>1261</v>
      </c>
      <c r="AN446" s="85"/>
      <c r="AO446" s="85"/>
      <c r="AP446" s="85"/>
      <c r="AQ446" s="85" t="s">
        <v>1750</v>
      </c>
      <c r="AR446" s="128"/>
      <c r="AS446" s="67"/>
    </row>
    <row r="447" spans="1:45" ht="15">
      <c r="A447" s="388"/>
      <c r="B447" s="164"/>
      <c r="C447" s="165"/>
      <c r="D447" s="166"/>
      <c r="E447" s="167"/>
      <c r="F447" s="167"/>
      <c r="G447" s="167"/>
      <c r="H447" s="167"/>
      <c r="I447" s="168"/>
      <c r="J447" s="169"/>
      <c r="K447" s="170"/>
      <c r="L447" s="124" t="s">
        <v>332</v>
      </c>
      <c r="M447" s="112" t="s">
        <v>374</v>
      </c>
      <c r="N447" s="171" t="s">
        <v>636</v>
      </c>
      <c r="O447" s="131"/>
      <c r="P447" s="116"/>
      <c r="Q447" s="112" t="s">
        <v>355</v>
      </c>
      <c r="R447" s="178" t="s">
        <v>836</v>
      </c>
      <c r="S447" s="120" t="s">
        <v>884</v>
      </c>
      <c r="T447" s="112" t="s">
        <v>402</v>
      </c>
      <c r="U447" s="112" t="s">
        <v>402</v>
      </c>
      <c r="V447" s="112" t="s">
        <v>402</v>
      </c>
      <c r="W447" s="112" t="s">
        <v>402</v>
      </c>
      <c r="X447" s="112" t="s">
        <v>402</v>
      </c>
      <c r="Y447" s="112" t="s">
        <v>403</v>
      </c>
      <c r="Z447" s="112" t="s">
        <v>402</v>
      </c>
      <c r="AA447" s="112" t="s">
        <v>402</v>
      </c>
      <c r="AB447" s="116"/>
      <c r="AC447" s="178" t="s">
        <v>985</v>
      </c>
      <c r="AD447" s="120" t="s">
        <v>1042</v>
      </c>
      <c r="AE447" s="112" t="s">
        <v>354</v>
      </c>
      <c r="AF447" s="112" t="s">
        <v>385</v>
      </c>
      <c r="AG447" s="112" t="s">
        <v>385</v>
      </c>
      <c r="AH447" s="171" t="s">
        <v>1124</v>
      </c>
      <c r="AI447" s="112" t="s">
        <v>652</v>
      </c>
      <c r="AJ447" s="178" t="s">
        <v>1204</v>
      </c>
      <c r="AK447" s="574" t="s">
        <v>1237</v>
      </c>
      <c r="AL447" s="575" t="s">
        <v>354</v>
      </c>
      <c r="AM447" s="112" t="s">
        <v>1261</v>
      </c>
      <c r="AN447" s="112"/>
      <c r="AO447" s="112"/>
      <c r="AP447" s="112"/>
      <c r="AQ447" s="112" t="s">
        <v>1749</v>
      </c>
      <c r="AR447" s="139" t="s">
        <v>1614</v>
      </c>
      <c r="AS447" s="140"/>
    </row>
    <row r="448" spans="1:45" ht="29">
      <c r="A448" s="576" t="s">
        <v>247</v>
      </c>
      <c r="B448" s="70" t="s">
        <v>1751</v>
      </c>
      <c r="C448" s="72">
        <v>43472</v>
      </c>
      <c r="D448" s="74" t="s">
        <v>360</v>
      </c>
      <c r="E448" s="76">
        <v>43575</v>
      </c>
      <c r="F448" s="78" t="s">
        <v>363</v>
      </c>
      <c r="G448" s="76">
        <v>43581</v>
      </c>
      <c r="H448" s="78" t="s">
        <v>355</v>
      </c>
      <c r="I448" s="80" t="s">
        <v>1752</v>
      </c>
      <c r="J448" s="82" t="s">
        <v>247</v>
      </c>
      <c r="K448" s="126" t="s">
        <v>368</v>
      </c>
      <c r="L448" s="84" t="s">
        <v>291</v>
      </c>
      <c r="M448" s="85" t="s">
        <v>382</v>
      </c>
      <c r="N448" s="625" t="s">
        <v>638</v>
      </c>
      <c r="O448" s="613"/>
      <c r="P448" s="92"/>
      <c r="Q448" s="437" t="s">
        <v>385</v>
      </c>
      <c r="R448" s="195" t="s">
        <v>818</v>
      </c>
      <c r="S448" s="91" t="s">
        <v>638</v>
      </c>
      <c r="T448" s="85" t="s">
        <v>402</v>
      </c>
      <c r="U448" s="85" t="s">
        <v>402</v>
      </c>
      <c r="V448" s="85" t="s">
        <v>402</v>
      </c>
      <c r="W448" s="85" t="s">
        <v>402</v>
      </c>
      <c r="X448" s="85" t="s">
        <v>402</v>
      </c>
      <c r="Y448" s="85" t="s">
        <v>402</v>
      </c>
      <c r="Z448" s="85" t="s">
        <v>402</v>
      </c>
      <c r="AA448" s="85" t="s">
        <v>402</v>
      </c>
      <c r="AB448" s="85" t="s">
        <v>402</v>
      </c>
      <c r="AC448" s="439" t="s">
        <v>385</v>
      </c>
      <c r="AD448" s="577"/>
      <c r="AE448" s="441" t="s">
        <v>385</v>
      </c>
      <c r="AF448" s="441" t="s">
        <v>385</v>
      </c>
      <c r="AG448" s="441" t="s">
        <v>385</v>
      </c>
      <c r="AH448" s="85" t="s">
        <v>1126</v>
      </c>
      <c r="AI448" s="85" t="s">
        <v>1161</v>
      </c>
      <c r="AJ448" s="195" t="s">
        <v>1205</v>
      </c>
      <c r="AK448" s="439" t="s">
        <v>385</v>
      </c>
      <c r="AL448" s="441" t="s">
        <v>385</v>
      </c>
      <c r="AM448" s="577"/>
      <c r="AN448" s="577"/>
      <c r="AO448" s="577"/>
      <c r="AP448" s="577"/>
      <c r="AQ448" s="96"/>
      <c r="AR448" s="578">
        <v>0.3659722222222222</v>
      </c>
      <c r="AS448" s="67"/>
    </row>
    <row r="449" spans="1:45" ht="15">
      <c r="A449" s="576"/>
      <c r="B449" s="70"/>
      <c r="C449" s="72"/>
      <c r="D449" s="74"/>
      <c r="E449" s="104"/>
      <c r="F449" s="104"/>
      <c r="G449" s="104"/>
      <c r="H449" s="104"/>
      <c r="I449" s="80"/>
      <c r="J449" s="82"/>
      <c r="K449" s="84"/>
      <c r="L449" s="84"/>
      <c r="M449" s="85"/>
      <c r="N449" s="107"/>
      <c r="O449" s="107"/>
      <c r="P449" s="96"/>
      <c r="Q449" s="441"/>
      <c r="R449" s="195"/>
      <c r="S449" s="85"/>
      <c r="T449" s="85"/>
      <c r="U449" s="85"/>
      <c r="V449" s="85"/>
      <c r="W449" s="85"/>
      <c r="X449" s="85"/>
      <c r="Y449" s="85"/>
      <c r="Z449" s="85"/>
      <c r="AA449" s="85"/>
      <c r="AB449" s="85"/>
      <c r="AC449" s="136"/>
      <c r="AD449" s="579"/>
      <c r="AE449" s="136"/>
      <c r="AF449" s="136"/>
      <c r="AG449" s="136"/>
      <c r="AH449" s="85"/>
      <c r="AI449" s="85"/>
      <c r="AJ449" s="195"/>
      <c r="AK449" s="136"/>
      <c r="AL449" s="136"/>
      <c r="AM449" s="579"/>
      <c r="AN449" s="579"/>
      <c r="AO449" s="579"/>
      <c r="AP449" s="579"/>
      <c r="AQ449" s="96"/>
      <c r="AR449" s="578"/>
      <c r="AS449" s="67"/>
    </row>
    <row r="450" spans="1:45" ht="15">
      <c r="A450" s="576"/>
      <c r="B450" s="70"/>
      <c r="C450" s="72"/>
      <c r="D450" s="74"/>
      <c r="E450" s="104"/>
      <c r="F450" s="104"/>
      <c r="G450" s="104"/>
      <c r="H450" s="104"/>
      <c r="I450" s="80"/>
      <c r="J450" s="82"/>
      <c r="K450" s="84"/>
      <c r="L450" s="84" t="s">
        <v>291</v>
      </c>
      <c r="M450" s="85" t="s">
        <v>382</v>
      </c>
      <c r="N450" s="625" t="s">
        <v>638</v>
      </c>
      <c r="O450" s="613"/>
      <c r="P450" s="96"/>
      <c r="Q450" s="437" t="s">
        <v>385</v>
      </c>
      <c r="R450" s="195" t="s">
        <v>818</v>
      </c>
      <c r="S450" s="91" t="s">
        <v>638</v>
      </c>
      <c r="T450" s="85" t="s">
        <v>402</v>
      </c>
      <c r="U450" s="85" t="s">
        <v>402</v>
      </c>
      <c r="V450" s="85" t="s">
        <v>402</v>
      </c>
      <c r="W450" s="85" t="s">
        <v>402</v>
      </c>
      <c r="X450" s="85" t="s">
        <v>402</v>
      </c>
      <c r="Y450" s="85" t="s">
        <v>402</v>
      </c>
      <c r="Z450" s="85" t="s">
        <v>402</v>
      </c>
      <c r="AA450" s="85" t="s">
        <v>402</v>
      </c>
      <c r="AB450" s="85"/>
      <c r="AC450" s="439"/>
      <c r="AD450" s="579"/>
      <c r="AE450" s="441" t="s">
        <v>385</v>
      </c>
      <c r="AF450" s="441" t="s">
        <v>385</v>
      </c>
      <c r="AG450" s="441" t="s">
        <v>385</v>
      </c>
      <c r="AH450" s="85" t="s">
        <v>1126</v>
      </c>
      <c r="AI450" s="85" t="s">
        <v>1161</v>
      </c>
      <c r="AJ450" s="195" t="s">
        <v>1205</v>
      </c>
      <c r="AK450" s="439" t="s">
        <v>385</v>
      </c>
      <c r="AL450" s="441" t="s">
        <v>385</v>
      </c>
      <c r="AM450" s="579"/>
      <c r="AN450" s="579"/>
      <c r="AO450" s="579"/>
      <c r="AP450" s="579"/>
      <c r="AQ450" s="96"/>
      <c r="AR450" s="578"/>
      <c r="AS450" s="67"/>
    </row>
    <row r="451" spans="1:45" ht="71">
      <c r="A451" s="576" t="s">
        <v>248</v>
      </c>
      <c r="B451" s="70" t="s">
        <v>1751</v>
      </c>
      <c r="C451" s="72">
        <v>43472</v>
      </c>
      <c r="D451" s="74" t="s">
        <v>782</v>
      </c>
      <c r="E451" s="76">
        <v>43579</v>
      </c>
      <c r="F451" s="78" t="s">
        <v>363</v>
      </c>
      <c r="G451" s="76">
        <v>43583</v>
      </c>
      <c r="H451" s="78" t="s">
        <v>355</v>
      </c>
      <c r="I451" s="125" t="s">
        <v>1753</v>
      </c>
      <c r="J451" s="82" t="s">
        <v>248</v>
      </c>
      <c r="K451" s="83" t="s">
        <v>524</v>
      </c>
      <c r="L451" s="219" t="s">
        <v>343</v>
      </c>
      <c r="M451" s="220" t="s">
        <v>385</v>
      </c>
      <c r="N451" s="250"/>
      <c r="O451" s="250"/>
      <c r="P451" s="220" t="s">
        <v>385</v>
      </c>
      <c r="Q451" s="580"/>
      <c r="R451" s="250"/>
      <c r="S451" s="250"/>
      <c r="T451" s="220" t="s">
        <v>402</v>
      </c>
      <c r="U451" s="220" t="s">
        <v>402</v>
      </c>
      <c r="V451" s="220" t="s">
        <v>402</v>
      </c>
      <c r="W451" s="220" t="s">
        <v>402</v>
      </c>
      <c r="X451" s="220" t="s">
        <v>402</v>
      </c>
      <c r="Y451" s="220" t="s">
        <v>402</v>
      </c>
      <c r="Z451" s="220" t="s">
        <v>402</v>
      </c>
      <c r="AA451" s="220" t="s">
        <v>402</v>
      </c>
      <c r="AB451" s="220" t="s">
        <v>402</v>
      </c>
      <c r="AC451" s="220" t="s">
        <v>402</v>
      </c>
      <c r="AD451" s="250"/>
      <c r="AE451" s="220" t="s">
        <v>355</v>
      </c>
      <c r="AF451" s="250"/>
      <c r="AG451" s="250"/>
      <c r="AH451" s="220" t="s">
        <v>1127</v>
      </c>
      <c r="AI451" s="220" t="s">
        <v>530</v>
      </c>
      <c r="AJ451" s="220" t="s">
        <v>1206</v>
      </c>
      <c r="AK451" s="581" t="s">
        <v>354</v>
      </c>
      <c r="AL451" s="220" t="s">
        <v>385</v>
      </c>
      <c r="AM451" s="250"/>
      <c r="AN451" s="250"/>
      <c r="AO451" s="250"/>
      <c r="AP451" s="250"/>
      <c r="AQ451" s="220" t="s">
        <v>1754</v>
      </c>
      <c r="AR451" s="582">
        <v>0.5444444444444444</v>
      </c>
      <c r="AS451" s="251" t="s">
        <v>1755</v>
      </c>
    </row>
    <row r="452" spans="1:45" ht="15">
      <c r="A452" s="576"/>
      <c r="B452" s="70"/>
      <c r="C452" s="72"/>
      <c r="D452" s="74"/>
      <c r="E452" s="104"/>
      <c r="F452" s="104"/>
      <c r="G452" s="104"/>
      <c r="H452" s="104"/>
      <c r="I452" s="129"/>
      <c r="J452" s="82"/>
      <c r="K452" s="82"/>
      <c r="L452" s="219"/>
      <c r="M452" s="220"/>
      <c r="N452" s="254" t="s">
        <v>1755</v>
      </c>
      <c r="O452" s="222"/>
      <c r="P452" s="220"/>
      <c r="Q452" s="222"/>
      <c r="R452" s="222"/>
      <c r="S452" s="222"/>
      <c r="T452" s="220"/>
      <c r="U452" s="220"/>
      <c r="V452" s="220"/>
      <c r="W452" s="220"/>
      <c r="X452" s="220"/>
      <c r="Y452" s="220"/>
      <c r="Z452" s="220"/>
      <c r="AA452" s="220"/>
      <c r="AB452" s="220"/>
      <c r="AC452" s="220"/>
      <c r="AD452" s="222"/>
      <c r="AE452" s="220"/>
      <c r="AF452" s="222"/>
      <c r="AG452" s="222"/>
      <c r="AH452" s="220"/>
      <c r="AI452" s="220"/>
      <c r="AJ452" s="220"/>
      <c r="AK452" s="456"/>
      <c r="AL452" s="220"/>
      <c r="AM452" s="222"/>
      <c r="AN452" s="222"/>
      <c r="AO452" s="222"/>
      <c r="AP452" s="222"/>
      <c r="AQ452" s="220"/>
      <c r="AR452" s="582"/>
      <c r="AS452" s="225"/>
    </row>
    <row r="453" spans="1:45" ht="15">
      <c r="A453" s="576"/>
      <c r="B453" s="70"/>
      <c r="C453" s="72"/>
      <c r="D453" s="74"/>
      <c r="E453" s="104"/>
      <c r="F453" s="104"/>
      <c r="G453" s="104"/>
      <c r="H453" s="78" t="s">
        <v>1756</v>
      </c>
      <c r="I453" s="129"/>
      <c r="J453" s="82"/>
      <c r="K453" s="82"/>
      <c r="L453" s="219" t="s">
        <v>343</v>
      </c>
      <c r="M453" s="220" t="s">
        <v>385</v>
      </c>
      <c r="N453" s="96"/>
      <c r="O453" s="96"/>
      <c r="P453" s="85"/>
      <c r="Q453" s="85" t="s">
        <v>385</v>
      </c>
      <c r="R453" s="96"/>
      <c r="S453" s="96"/>
      <c r="T453" s="220" t="s">
        <v>402</v>
      </c>
      <c r="U453" s="220" t="s">
        <v>402</v>
      </c>
      <c r="V453" s="220" t="s">
        <v>402</v>
      </c>
      <c r="W453" s="220" t="s">
        <v>402</v>
      </c>
      <c r="X453" s="220" t="s">
        <v>402</v>
      </c>
      <c r="Y453" s="220" t="s">
        <v>402</v>
      </c>
      <c r="Z453" s="220" t="s">
        <v>402</v>
      </c>
      <c r="AA453" s="220" t="s">
        <v>402</v>
      </c>
      <c r="AB453" s="220" t="s">
        <v>402</v>
      </c>
      <c r="AC453" s="583" t="s">
        <v>976</v>
      </c>
      <c r="AD453" s="15" t="s">
        <v>1031</v>
      </c>
      <c r="AE453" s="85" t="s">
        <v>385</v>
      </c>
      <c r="AF453" s="85" t="s">
        <v>385</v>
      </c>
      <c r="AG453" s="85" t="s">
        <v>385</v>
      </c>
      <c r="AH453" s="220" t="s">
        <v>1127</v>
      </c>
      <c r="AI453" s="220" t="s">
        <v>530</v>
      </c>
      <c r="AJ453" s="220" t="s">
        <v>1206</v>
      </c>
      <c r="AK453" s="440" t="s">
        <v>354</v>
      </c>
      <c r="AL453" s="220" t="s">
        <v>385</v>
      </c>
      <c r="AM453" s="96"/>
      <c r="AN453" s="96"/>
      <c r="AO453" s="96"/>
      <c r="AP453" s="96"/>
      <c r="AQ453" s="85"/>
      <c r="AR453" s="578"/>
      <c r="AS453" s="67"/>
    </row>
    <row r="454" spans="1:45" ht="42">
      <c r="A454" s="576" t="s">
        <v>249</v>
      </c>
      <c r="B454" s="70" t="s">
        <v>1751</v>
      </c>
      <c r="C454" s="72">
        <v>43472</v>
      </c>
      <c r="D454" s="74" t="s">
        <v>782</v>
      </c>
      <c r="E454" s="76">
        <v>43579</v>
      </c>
      <c r="F454" s="78" t="s">
        <v>363</v>
      </c>
      <c r="G454" s="76">
        <v>43583</v>
      </c>
      <c r="H454" s="78" t="s">
        <v>355</v>
      </c>
      <c r="I454" s="129" t="s">
        <v>1757</v>
      </c>
      <c r="J454" s="82" t="s">
        <v>249</v>
      </c>
      <c r="K454" s="126" t="s">
        <v>786</v>
      </c>
      <c r="L454" s="197" t="s">
        <v>326</v>
      </c>
      <c r="M454" s="198" t="s">
        <v>382</v>
      </c>
      <c r="N454" s="627" t="s">
        <v>640</v>
      </c>
      <c r="O454" s="613"/>
      <c r="P454" s="613"/>
      <c r="Q454" s="198" t="s">
        <v>385</v>
      </c>
      <c r="R454" s="204"/>
      <c r="S454" s="204"/>
      <c r="T454" s="198" t="s">
        <v>402</v>
      </c>
      <c r="U454" s="198" t="s">
        <v>402</v>
      </c>
      <c r="V454" s="198" t="s">
        <v>402</v>
      </c>
      <c r="W454" s="198" t="s">
        <v>402</v>
      </c>
      <c r="X454" s="198" t="s">
        <v>402</v>
      </c>
      <c r="Y454" s="198" t="s">
        <v>402</v>
      </c>
      <c r="Z454" s="198" t="s">
        <v>402</v>
      </c>
      <c r="AA454" s="198" t="s">
        <v>402</v>
      </c>
      <c r="AB454" s="198" t="s">
        <v>402</v>
      </c>
      <c r="AC454" s="584"/>
      <c r="AD454" s="204"/>
      <c r="AE454" s="198" t="s">
        <v>385</v>
      </c>
      <c r="AF454" s="198" t="s">
        <v>385</v>
      </c>
      <c r="AG454" s="198" t="s">
        <v>385</v>
      </c>
      <c r="AH454" s="199" t="s">
        <v>640</v>
      </c>
      <c r="AI454" s="198" t="s">
        <v>530</v>
      </c>
      <c r="AJ454" s="198" t="s">
        <v>1207</v>
      </c>
      <c r="AK454" s="198" t="s">
        <v>402</v>
      </c>
      <c r="AL454" s="198" t="s">
        <v>385</v>
      </c>
      <c r="AM454" s="204"/>
      <c r="AN454" s="204"/>
      <c r="AO454" s="204"/>
      <c r="AP454" s="204"/>
      <c r="AQ454" s="198" t="s">
        <v>1758</v>
      </c>
      <c r="AR454" s="585">
        <v>0.56736111111111109</v>
      </c>
      <c r="AS454" s="204"/>
    </row>
    <row r="455" spans="1:45" ht="15">
      <c r="A455" s="576"/>
      <c r="B455" s="70"/>
      <c r="C455" s="72"/>
      <c r="D455" s="74"/>
      <c r="E455" s="104"/>
      <c r="F455" s="104"/>
      <c r="G455" s="104"/>
      <c r="H455" s="104"/>
      <c r="I455" s="129"/>
      <c r="J455" s="82"/>
      <c r="K455" s="82"/>
      <c r="L455" s="197"/>
      <c r="M455" s="29" t="s">
        <v>1759</v>
      </c>
      <c r="N455" s="457"/>
      <c r="O455" s="457"/>
      <c r="P455" s="457"/>
      <c r="Q455" s="198"/>
      <c r="R455" s="204"/>
      <c r="S455" s="204"/>
      <c r="T455" s="198"/>
      <c r="U455" s="198"/>
      <c r="V455" s="198"/>
      <c r="W455" s="198"/>
      <c r="X455" s="198"/>
      <c r="Y455" s="198"/>
      <c r="Z455" s="198"/>
      <c r="AA455" s="198"/>
      <c r="AB455" s="198"/>
      <c r="AC455" s="584"/>
      <c r="AD455" s="204"/>
      <c r="AE455" s="198"/>
      <c r="AF455" s="198"/>
      <c r="AG455" s="198"/>
      <c r="AH455" s="198"/>
      <c r="AI455" s="198"/>
      <c r="AJ455" s="198"/>
      <c r="AK455" s="198"/>
      <c r="AL455" s="198"/>
      <c r="AM455" s="204"/>
      <c r="AN455" s="204"/>
      <c r="AO455" s="204"/>
      <c r="AP455" s="204"/>
      <c r="AQ455" s="198"/>
      <c r="AR455" s="585"/>
      <c r="AS455" s="204"/>
    </row>
    <row r="456" spans="1:45" ht="15">
      <c r="A456" s="576"/>
      <c r="B456" s="70"/>
      <c r="C456" s="72"/>
      <c r="D456" s="74"/>
      <c r="E456" s="104"/>
      <c r="F456" s="104"/>
      <c r="G456" s="104"/>
      <c r="H456" s="104"/>
      <c r="I456" s="129"/>
      <c r="J456" s="82"/>
      <c r="K456" s="82"/>
      <c r="L456" s="197" t="s">
        <v>326</v>
      </c>
      <c r="M456" s="198" t="s">
        <v>382</v>
      </c>
      <c r="N456" s="627" t="s">
        <v>640</v>
      </c>
      <c r="O456" s="613"/>
      <c r="P456" s="613"/>
      <c r="Q456" s="198" t="s">
        <v>385</v>
      </c>
      <c r="R456" s="96"/>
      <c r="S456" s="96"/>
      <c r="T456" s="198" t="s">
        <v>402</v>
      </c>
      <c r="U456" s="198" t="s">
        <v>402</v>
      </c>
      <c r="V456" s="198" t="s">
        <v>402</v>
      </c>
      <c r="W456" s="198" t="s">
        <v>402</v>
      </c>
      <c r="X456" s="198" t="s">
        <v>402</v>
      </c>
      <c r="Y456" s="198" t="s">
        <v>402</v>
      </c>
      <c r="Z456" s="198" t="s">
        <v>402</v>
      </c>
      <c r="AA456" s="198" t="s">
        <v>402</v>
      </c>
      <c r="AB456" s="198" t="s">
        <v>402</v>
      </c>
      <c r="AC456" s="586"/>
      <c r="AD456" s="96"/>
      <c r="AE456" s="198" t="s">
        <v>385</v>
      </c>
      <c r="AF456" s="198" t="s">
        <v>385</v>
      </c>
      <c r="AG456" s="198" t="s">
        <v>385</v>
      </c>
      <c r="AH456" s="199" t="s">
        <v>640</v>
      </c>
      <c r="AI456" s="198" t="s">
        <v>530</v>
      </c>
      <c r="AJ456" s="198" t="s">
        <v>1207</v>
      </c>
      <c r="AK456" s="198" t="s">
        <v>402</v>
      </c>
      <c r="AL456" s="198" t="s">
        <v>385</v>
      </c>
      <c r="AM456" s="96"/>
      <c r="AN456" s="96"/>
      <c r="AO456" s="96"/>
      <c r="AP456" s="96"/>
      <c r="AQ456" s="85"/>
      <c r="AR456" s="578"/>
      <c r="AS456" s="67"/>
    </row>
    <row r="457" spans="1:45" ht="42">
      <c r="A457" s="576" t="s">
        <v>250</v>
      </c>
      <c r="B457" s="70" t="s">
        <v>1751</v>
      </c>
      <c r="C457" s="72">
        <v>43472</v>
      </c>
      <c r="D457" s="74" t="s">
        <v>782</v>
      </c>
      <c r="E457" s="76">
        <v>43579</v>
      </c>
      <c r="F457" s="78" t="s">
        <v>363</v>
      </c>
      <c r="G457" s="76">
        <v>43583</v>
      </c>
      <c r="H457" s="78" t="s">
        <v>355</v>
      </c>
      <c r="I457" s="129" t="s">
        <v>1760</v>
      </c>
      <c r="J457" s="82" t="s">
        <v>250</v>
      </c>
      <c r="K457" s="126" t="s">
        <v>786</v>
      </c>
      <c r="L457" s="219" t="s">
        <v>291</v>
      </c>
      <c r="M457" s="220" t="s">
        <v>382</v>
      </c>
      <c r="N457" s="626" t="s">
        <v>644</v>
      </c>
      <c r="O457" s="613"/>
      <c r="P457" s="222"/>
      <c r="Q457" s="220" t="s">
        <v>385</v>
      </c>
      <c r="R457" s="220" t="s">
        <v>837</v>
      </c>
      <c r="S457" s="220" t="s">
        <v>1761</v>
      </c>
      <c r="T457" s="220" t="s">
        <v>402</v>
      </c>
      <c r="U457" s="220" t="s">
        <v>402</v>
      </c>
      <c r="V457" s="220" t="s">
        <v>402</v>
      </c>
      <c r="W457" s="220" t="s">
        <v>402</v>
      </c>
      <c r="X457" s="220" t="s">
        <v>402</v>
      </c>
      <c r="Y457" s="220" t="s">
        <v>402</v>
      </c>
      <c r="Z457" s="220" t="s">
        <v>402</v>
      </c>
      <c r="AA457" s="220" t="s">
        <v>402</v>
      </c>
      <c r="AB457" s="220" t="s">
        <v>402</v>
      </c>
      <c r="AC457" s="222"/>
      <c r="AD457" s="222"/>
      <c r="AE457" s="220" t="s">
        <v>385</v>
      </c>
      <c r="AF457" s="220" t="s">
        <v>385</v>
      </c>
      <c r="AG457" s="220" t="s">
        <v>385</v>
      </c>
      <c r="AH457" s="222"/>
      <c r="AI457" s="220" t="s">
        <v>530</v>
      </c>
      <c r="AJ457" s="222"/>
      <c r="AK457" s="220" t="s">
        <v>402</v>
      </c>
      <c r="AL457" s="220" t="s">
        <v>385</v>
      </c>
      <c r="AM457" s="222"/>
      <c r="AN457" s="222"/>
      <c r="AO457" s="222"/>
      <c r="AP457" s="222"/>
      <c r="AQ457" s="222"/>
      <c r="AR457" s="582">
        <v>0.25277777777777777</v>
      </c>
      <c r="AS457" s="225"/>
    </row>
    <row r="458" spans="1:45" ht="13">
      <c r="A458" s="576"/>
      <c r="B458" s="70"/>
      <c r="C458" s="72"/>
      <c r="D458" s="74"/>
      <c r="E458" s="104"/>
      <c r="F458" s="104"/>
      <c r="G458" s="104"/>
      <c r="H458" s="104"/>
      <c r="I458" s="129"/>
      <c r="J458" s="82"/>
      <c r="K458" s="82"/>
      <c r="L458" s="219"/>
      <c r="M458" s="220"/>
      <c r="N458" s="399"/>
      <c r="O458" s="399"/>
      <c r="P458" s="222"/>
      <c r="Q458" s="220"/>
      <c r="R458" s="220"/>
      <c r="S458" s="220"/>
      <c r="T458" s="220"/>
      <c r="U458" s="220"/>
      <c r="V458" s="220"/>
      <c r="W458" s="220"/>
      <c r="X458" s="220"/>
      <c r="Y458" s="220"/>
      <c r="Z458" s="220"/>
      <c r="AA458" s="220"/>
      <c r="AB458" s="220"/>
      <c r="AC458" s="222"/>
      <c r="AD458" s="222"/>
      <c r="AE458" s="220"/>
      <c r="AF458" s="220"/>
      <c r="AG458" s="384" t="s">
        <v>864</v>
      </c>
      <c r="AH458" s="222"/>
      <c r="AI458" s="220"/>
      <c r="AJ458" s="222"/>
      <c r="AK458" s="220"/>
      <c r="AL458" s="220"/>
      <c r="AM458" s="222"/>
      <c r="AN458" s="222"/>
      <c r="AO458" s="222"/>
      <c r="AP458" s="222"/>
      <c r="AQ458" s="222"/>
      <c r="AR458" s="582"/>
      <c r="AS458" s="225"/>
    </row>
    <row r="459" spans="1:45" ht="15">
      <c r="A459" s="576"/>
      <c r="B459" s="70"/>
      <c r="C459" s="72"/>
      <c r="D459" s="74"/>
      <c r="E459" s="104"/>
      <c r="F459" s="104"/>
      <c r="G459" s="104"/>
      <c r="H459" s="104"/>
      <c r="I459" s="129"/>
      <c r="J459" s="82"/>
      <c r="K459" s="82"/>
      <c r="L459" s="219" t="s">
        <v>291</v>
      </c>
      <c r="M459" s="220" t="s">
        <v>382</v>
      </c>
      <c r="N459" s="107" t="s">
        <v>644</v>
      </c>
      <c r="O459" s="107"/>
      <c r="P459" s="91" t="s">
        <v>781</v>
      </c>
      <c r="Q459" s="384" t="s">
        <v>795</v>
      </c>
      <c r="R459" s="220" t="s">
        <v>837</v>
      </c>
      <c r="S459" s="85"/>
      <c r="T459" s="220" t="s">
        <v>402</v>
      </c>
      <c r="U459" s="220" t="s">
        <v>402</v>
      </c>
      <c r="V459" s="220" t="s">
        <v>402</v>
      </c>
      <c r="W459" s="220" t="s">
        <v>402</v>
      </c>
      <c r="X459" s="220" t="s">
        <v>402</v>
      </c>
      <c r="Y459" s="220" t="s">
        <v>402</v>
      </c>
      <c r="Z459" s="220" t="s">
        <v>402</v>
      </c>
      <c r="AA459" s="220" t="s">
        <v>402</v>
      </c>
      <c r="AB459" s="220" t="s">
        <v>402</v>
      </c>
      <c r="AC459" s="96"/>
      <c r="AD459" s="96"/>
      <c r="AE459" s="220" t="s">
        <v>385</v>
      </c>
      <c r="AF459" s="220" t="s">
        <v>385</v>
      </c>
      <c r="AG459" s="220" t="s">
        <v>385</v>
      </c>
      <c r="AH459" s="96"/>
      <c r="AI459" s="220" t="s">
        <v>530</v>
      </c>
      <c r="AJ459" s="96"/>
      <c r="AK459" s="220" t="s">
        <v>402</v>
      </c>
      <c r="AL459" s="220" t="s">
        <v>385</v>
      </c>
      <c r="AM459" s="96"/>
      <c r="AN459" s="96"/>
      <c r="AO459" s="96"/>
      <c r="AP459" s="96"/>
      <c r="AQ459" s="96"/>
      <c r="AR459" s="578"/>
      <c r="AS459" s="67"/>
    </row>
    <row r="460" spans="1:45" ht="29">
      <c r="A460" s="576" t="s">
        <v>251</v>
      </c>
      <c r="B460" s="70" t="s">
        <v>1751</v>
      </c>
      <c r="C460" s="72">
        <v>43472</v>
      </c>
      <c r="D460" s="74" t="s">
        <v>360</v>
      </c>
      <c r="E460" s="76">
        <v>43575</v>
      </c>
      <c r="F460" s="78" t="s">
        <v>363</v>
      </c>
      <c r="G460" s="76">
        <v>43581</v>
      </c>
      <c r="H460" s="78" t="s">
        <v>355</v>
      </c>
      <c r="I460" s="129" t="s">
        <v>1762</v>
      </c>
      <c r="J460" s="82" t="s">
        <v>251</v>
      </c>
      <c r="K460" s="126" t="s">
        <v>368</v>
      </c>
      <c r="L460" s="84" t="s">
        <v>291</v>
      </c>
      <c r="M460" s="85" t="s">
        <v>382</v>
      </c>
      <c r="N460" s="625" t="s">
        <v>645</v>
      </c>
      <c r="O460" s="613"/>
      <c r="P460" s="613"/>
      <c r="Q460" s="85" t="s">
        <v>385</v>
      </c>
      <c r="R460" s="420"/>
      <c r="S460" s="420"/>
      <c r="T460" s="85" t="s">
        <v>402</v>
      </c>
      <c r="U460" s="85" t="s">
        <v>402</v>
      </c>
      <c r="V460" s="85" t="s">
        <v>402</v>
      </c>
      <c r="W460" s="85" t="s">
        <v>402</v>
      </c>
      <c r="X460" s="85" t="s">
        <v>402</v>
      </c>
      <c r="Y460" s="85" t="s">
        <v>402</v>
      </c>
      <c r="Z460" s="96"/>
      <c r="AA460" s="85" t="s">
        <v>402</v>
      </c>
      <c r="AB460" s="96"/>
      <c r="AC460" s="586"/>
      <c r="AD460" s="96"/>
      <c r="AE460" s="85" t="s">
        <v>385</v>
      </c>
      <c r="AF460" s="85" t="s">
        <v>385</v>
      </c>
      <c r="AG460" s="85" t="s">
        <v>385</v>
      </c>
      <c r="AH460" s="107" t="s">
        <v>1128</v>
      </c>
      <c r="AI460" s="85" t="s">
        <v>1161</v>
      </c>
      <c r="AJ460" s="195" t="s">
        <v>1205</v>
      </c>
      <c r="AK460" s="85" t="s">
        <v>402</v>
      </c>
      <c r="AL460" s="85" t="s">
        <v>385</v>
      </c>
      <c r="AM460" s="96"/>
      <c r="AN460" s="96"/>
      <c r="AO460" s="96"/>
      <c r="AP460" s="96"/>
      <c r="AQ460" s="96"/>
      <c r="AR460" s="578">
        <v>0.17430555555555555</v>
      </c>
      <c r="AS460" s="67"/>
    </row>
    <row r="461" spans="1:45" ht="15">
      <c r="A461" s="576"/>
      <c r="B461" s="70"/>
      <c r="C461" s="72"/>
      <c r="D461" s="74"/>
      <c r="E461" s="104"/>
      <c r="F461" s="104"/>
      <c r="G461" s="104"/>
      <c r="H461" s="104"/>
      <c r="I461" s="129"/>
      <c r="J461" s="82"/>
      <c r="K461" s="84"/>
      <c r="L461" s="84"/>
      <c r="M461" s="85"/>
      <c r="N461" s="107"/>
      <c r="O461" s="107"/>
      <c r="P461" s="107"/>
      <c r="Q461" s="85"/>
      <c r="R461" s="85" t="s">
        <v>838</v>
      </c>
      <c r="S461" s="15" t="s">
        <v>645</v>
      </c>
      <c r="T461" s="85"/>
      <c r="U461" s="85"/>
      <c r="V461" s="85"/>
      <c r="W461" s="85"/>
      <c r="X461" s="85" t="s">
        <v>355</v>
      </c>
      <c r="Y461" s="85" t="s">
        <v>355</v>
      </c>
      <c r="Z461" s="96"/>
      <c r="AA461" s="85"/>
      <c r="AB461" s="96"/>
      <c r="AC461" s="586"/>
      <c r="AD461" s="96"/>
      <c r="AE461" s="85"/>
      <c r="AF461" s="85"/>
      <c r="AG461" s="85"/>
      <c r="AH461" s="107"/>
      <c r="AI461" s="85"/>
      <c r="AJ461" s="195"/>
      <c r="AK461" s="85"/>
      <c r="AL461" s="85"/>
      <c r="AM461" s="96"/>
      <c r="AN461" s="96"/>
      <c r="AO461" s="96"/>
      <c r="AP461" s="96"/>
      <c r="AQ461" s="96"/>
      <c r="AR461" s="578"/>
      <c r="AS461" s="67"/>
    </row>
    <row r="462" spans="1:45" ht="15">
      <c r="A462" s="576"/>
      <c r="B462" s="70"/>
      <c r="C462" s="72"/>
      <c r="D462" s="74"/>
      <c r="E462" s="104"/>
      <c r="F462" s="104"/>
      <c r="G462" s="104"/>
      <c r="H462" s="104"/>
      <c r="I462" s="129"/>
      <c r="J462" s="82"/>
      <c r="K462" s="84"/>
      <c r="L462" s="84" t="s">
        <v>291</v>
      </c>
      <c r="M462" s="85" t="s">
        <v>382</v>
      </c>
      <c r="N462" s="625" t="s">
        <v>645</v>
      </c>
      <c r="O462" s="613"/>
      <c r="P462" s="613"/>
      <c r="Q462" s="85" t="s">
        <v>385</v>
      </c>
      <c r="R462" s="85" t="s">
        <v>838</v>
      </c>
      <c r="S462" s="15" t="s">
        <v>645</v>
      </c>
      <c r="T462" s="85" t="s">
        <v>402</v>
      </c>
      <c r="U462" s="85" t="s">
        <v>402</v>
      </c>
      <c r="V462" s="85" t="s">
        <v>402</v>
      </c>
      <c r="W462" s="85" t="s">
        <v>402</v>
      </c>
      <c r="X462" s="85" t="s">
        <v>355</v>
      </c>
      <c r="Y462" s="85" t="s">
        <v>355</v>
      </c>
      <c r="Z462" s="85" t="s">
        <v>402</v>
      </c>
      <c r="AA462" s="85" t="s">
        <v>402</v>
      </c>
      <c r="AB462" s="96"/>
      <c r="AC462" s="586"/>
      <c r="AD462" s="96"/>
      <c r="AE462" s="85" t="s">
        <v>385</v>
      </c>
      <c r="AF462" s="85" t="s">
        <v>385</v>
      </c>
      <c r="AG462" s="85" t="s">
        <v>385</v>
      </c>
      <c r="AH462" s="107" t="s">
        <v>1128</v>
      </c>
      <c r="AI462" s="85" t="s">
        <v>1161</v>
      </c>
      <c r="AJ462" s="195" t="s">
        <v>1205</v>
      </c>
      <c r="AK462" s="85" t="s">
        <v>402</v>
      </c>
      <c r="AL462" s="85" t="s">
        <v>385</v>
      </c>
      <c r="AM462" s="96"/>
      <c r="AN462" s="96"/>
      <c r="AO462" s="96"/>
      <c r="AP462" s="96"/>
      <c r="AQ462" s="96"/>
      <c r="AR462" s="578"/>
      <c r="AS462" s="67"/>
    </row>
    <row r="463" spans="1:45" ht="43">
      <c r="A463" s="576" t="s">
        <v>252</v>
      </c>
      <c r="B463" s="70" t="s">
        <v>1751</v>
      </c>
      <c r="C463" s="72">
        <v>43472</v>
      </c>
      <c r="D463" s="74" t="s">
        <v>360</v>
      </c>
      <c r="E463" s="76">
        <v>43575</v>
      </c>
      <c r="F463" s="78" t="s">
        <v>363</v>
      </c>
      <c r="G463" s="76">
        <v>43581</v>
      </c>
      <c r="H463" s="78" t="s">
        <v>355</v>
      </c>
      <c r="I463" s="129" t="s">
        <v>1763</v>
      </c>
      <c r="J463" s="82" t="s">
        <v>252</v>
      </c>
      <c r="K463" s="126" t="s">
        <v>786</v>
      </c>
      <c r="L463" s="84" t="s">
        <v>344</v>
      </c>
      <c r="M463" s="85" t="s">
        <v>399</v>
      </c>
      <c r="N463" s="614" t="s">
        <v>646</v>
      </c>
      <c r="O463" s="613"/>
      <c r="P463" s="96"/>
      <c r="Q463" s="85" t="s">
        <v>385</v>
      </c>
      <c r="R463" s="96"/>
      <c r="S463" s="96"/>
      <c r="T463" s="85" t="s">
        <v>402</v>
      </c>
      <c r="U463" s="85" t="s">
        <v>402</v>
      </c>
      <c r="V463" s="85" t="s">
        <v>402</v>
      </c>
      <c r="W463" s="85" t="s">
        <v>402</v>
      </c>
      <c r="X463" s="85" t="s">
        <v>402</v>
      </c>
      <c r="Y463" s="85" t="s">
        <v>402</v>
      </c>
      <c r="Z463" s="85" t="s">
        <v>402</v>
      </c>
      <c r="AA463" s="85" t="s">
        <v>402</v>
      </c>
      <c r="AB463" s="96"/>
      <c r="AC463" s="96"/>
      <c r="AD463" s="96"/>
      <c r="AE463" s="85" t="s">
        <v>385</v>
      </c>
      <c r="AF463" s="85" t="s">
        <v>385</v>
      </c>
      <c r="AG463" s="85" t="s">
        <v>385</v>
      </c>
      <c r="AH463" s="91" t="s">
        <v>1129</v>
      </c>
      <c r="AI463" s="85" t="s">
        <v>530</v>
      </c>
      <c r="AJ463" s="185" t="s">
        <v>1208</v>
      </c>
      <c r="AK463" s="85" t="s">
        <v>385</v>
      </c>
      <c r="AL463" s="85" t="s">
        <v>385</v>
      </c>
      <c r="AM463" s="96"/>
      <c r="AN463" s="96"/>
      <c r="AO463" s="96"/>
      <c r="AP463" s="96"/>
      <c r="AQ463" s="96"/>
      <c r="AR463" s="578">
        <v>0.30208333333333331</v>
      </c>
      <c r="AS463" s="67"/>
    </row>
    <row r="464" spans="1:45" ht="15">
      <c r="A464" s="576"/>
      <c r="B464" s="70"/>
      <c r="C464" s="72"/>
      <c r="D464" s="74"/>
      <c r="E464" s="104"/>
      <c r="F464" s="104"/>
      <c r="G464" s="104"/>
      <c r="H464" s="104"/>
      <c r="I464" s="129"/>
      <c r="J464" s="82"/>
      <c r="K464" s="84"/>
      <c r="L464" s="84"/>
      <c r="M464" s="85"/>
      <c r="N464" s="85"/>
      <c r="O464" s="85"/>
      <c r="P464" s="15" t="s">
        <v>710</v>
      </c>
      <c r="Q464" s="85" t="s">
        <v>354</v>
      </c>
      <c r="R464" s="96"/>
      <c r="S464" s="96"/>
      <c r="T464" s="85"/>
      <c r="U464" s="85"/>
      <c r="V464" s="85"/>
      <c r="W464" s="85"/>
      <c r="X464" s="85"/>
      <c r="Y464" s="85"/>
      <c r="Z464" s="85"/>
      <c r="AA464" s="85"/>
      <c r="AB464" s="96"/>
      <c r="AC464" s="96"/>
      <c r="AD464" s="96"/>
      <c r="AE464" s="85"/>
      <c r="AF464" s="85"/>
      <c r="AG464" s="85"/>
      <c r="AH464" s="85"/>
      <c r="AI464" s="85"/>
      <c r="AJ464" s="185"/>
      <c r="AK464" s="85"/>
      <c r="AL464" s="85"/>
      <c r="AM464" s="96"/>
      <c r="AN464" s="96"/>
      <c r="AO464" s="96"/>
      <c r="AP464" s="96"/>
      <c r="AQ464" s="96"/>
      <c r="AR464" s="578"/>
      <c r="AS464" s="67"/>
    </row>
    <row r="465" spans="1:45" ht="15">
      <c r="A465" s="576"/>
      <c r="B465" s="70"/>
      <c r="C465" s="72"/>
      <c r="D465" s="74"/>
      <c r="E465" s="104"/>
      <c r="F465" s="104"/>
      <c r="G465" s="104"/>
      <c r="H465" s="104"/>
      <c r="I465" s="129"/>
      <c r="J465" s="82"/>
      <c r="K465" s="84"/>
      <c r="L465" s="84" t="s">
        <v>344</v>
      </c>
      <c r="M465" s="85" t="s">
        <v>399</v>
      </c>
      <c r="N465" s="614" t="s">
        <v>646</v>
      </c>
      <c r="O465" s="613"/>
      <c r="P465" s="15" t="s">
        <v>710</v>
      </c>
      <c r="Q465" s="85" t="s">
        <v>354</v>
      </c>
      <c r="R465" s="96"/>
      <c r="S465" s="96"/>
      <c r="T465" s="85" t="s">
        <v>402</v>
      </c>
      <c r="U465" s="85" t="s">
        <v>402</v>
      </c>
      <c r="V465" s="85" t="s">
        <v>402</v>
      </c>
      <c r="W465" s="85" t="s">
        <v>402</v>
      </c>
      <c r="X465" s="85" t="s">
        <v>402</v>
      </c>
      <c r="Y465" s="85" t="s">
        <v>402</v>
      </c>
      <c r="Z465" s="85" t="s">
        <v>402</v>
      </c>
      <c r="AA465" s="85" t="s">
        <v>402</v>
      </c>
      <c r="AB465" s="96"/>
      <c r="AC465" s="96"/>
      <c r="AD465" s="96"/>
      <c r="AE465" s="85" t="s">
        <v>385</v>
      </c>
      <c r="AF465" s="85" t="s">
        <v>385</v>
      </c>
      <c r="AG465" s="85" t="s">
        <v>385</v>
      </c>
      <c r="AH465" s="91" t="s">
        <v>1129</v>
      </c>
      <c r="AI465" s="85" t="s">
        <v>530</v>
      </c>
      <c r="AJ465" s="185" t="s">
        <v>1208</v>
      </c>
      <c r="AK465" s="85" t="s">
        <v>385</v>
      </c>
      <c r="AL465" s="85" t="s">
        <v>385</v>
      </c>
      <c r="AM465" s="96"/>
      <c r="AN465" s="96"/>
      <c r="AO465" s="96"/>
      <c r="AP465" s="96"/>
      <c r="AQ465" s="96"/>
      <c r="AR465" s="578"/>
      <c r="AS465" s="67"/>
    </row>
    <row r="466" spans="1:45" ht="43">
      <c r="A466" s="576" t="s">
        <v>253</v>
      </c>
      <c r="B466" s="70" t="s">
        <v>1751</v>
      </c>
      <c r="C466" s="72">
        <v>43472</v>
      </c>
      <c r="D466" s="74" t="s">
        <v>360</v>
      </c>
      <c r="E466" s="76">
        <v>43575</v>
      </c>
      <c r="F466" s="78" t="s">
        <v>363</v>
      </c>
      <c r="G466" s="76">
        <v>43581</v>
      </c>
      <c r="H466" s="78" t="s">
        <v>355</v>
      </c>
      <c r="I466" s="129" t="s">
        <v>1764</v>
      </c>
      <c r="J466" s="82" t="s">
        <v>253</v>
      </c>
      <c r="K466" s="126" t="s">
        <v>851</v>
      </c>
      <c r="L466" s="84" t="s">
        <v>345</v>
      </c>
      <c r="M466" s="85" t="s">
        <v>385</v>
      </c>
      <c r="N466" s="96"/>
      <c r="O466" s="96"/>
      <c r="P466" s="96"/>
      <c r="Q466" s="85" t="s">
        <v>385</v>
      </c>
      <c r="R466" s="96"/>
      <c r="S466" s="96"/>
      <c r="T466" s="85" t="s">
        <v>402</v>
      </c>
      <c r="U466" s="85" t="s">
        <v>402</v>
      </c>
      <c r="V466" s="85" t="s">
        <v>402</v>
      </c>
      <c r="W466" s="85" t="s">
        <v>402</v>
      </c>
      <c r="X466" s="85" t="s">
        <v>402</v>
      </c>
      <c r="Y466" s="85" t="s">
        <v>402</v>
      </c>
      <c r="Z466" s="85" t="s">
        <v>402</v>
      </c>
      <c r="AA466" s="85" t="s">
        <v>402</v>
      </c>
      <c r="AB466" s="96"/>
      <c r="AC466" s="96"/>
      <c r="AD466" s="96"/>
      <c r="AE466" s="85" t="s">
        <v>385</v>
      </c>
      <c r="AF466" s="85" t="s">
        <v>385</v>
      </c>
      <c r="AG466" s="85" t="s">
        <v>385</v>
      </c>
      <c r="AH466" s="96"/>
      <c r="AI466" s="85" t="s">
        <v>530</v>
      </c>
      <c r="AJ466" s="96"/>
      <c r="AK466" s="85" t="s">
        <v>385</v>
      </c>
      <c r="AL466" s="85" t="s">
        <v>385</v>
      </c>
      <c r="AM466" s="96"/>
      <c r="AN466" s="96"/>
      <c r="AO466" s="96"/>
      <c r="AP466" s="96"/>
      <c r="AQ466" s="85" t="s">
        <v>1765</v>
      </c>
      <c r="AR466" s="578">
        <v>0.2048611111111111</v>
      </c>
      <c r="AS466" s="67"/>
    </row>
    <row r="467" spans="1:45" ht="15">
      <c r="A467" s="576"/>
      <c r="B467" s="70"/>
      <c r="C467" s="72"/>
      <c r="D467" s="74"/>
      <c r="E467" s="104"/>
      <c r="F467" s="104"/>
      <c r="G467" s="104"/>
      <c r="H467" s="104"/>
      <c r="I467" s="129"/>
      <c r="J467" s="82"/>
      <c r="K467" s="84"/>
      <c r="L467" s="84"/>
      <c r="M467" s="85"/>
      <c r="N467" s="96"/>
      <c r="O467" s="96"/>
      <c r="P467" s="96"/>
      <c r="Q467" s="85"/>
      <c r="R467" s="96"/>
      <c r="S467" s="96"/>
      <c r="T467" s="85"/>
      <c r="U467" s="85"/>
      <c r="V467" s="85"/>
      <c r="W467" s="85"/>
      <c r="X467" s="85"/>
      <c r="Y467" s="85"/>
      <c r="Z467" s="85"/>
      <c r="AA467" s="85"/>
      <c r="AB467" s="96"/>
      <c r="AC467" s="96"/>
      <c r="AD467" s="96"/>
      <c r="AE467" s="85"/>
      <c r="AF467" s="85"/>
      <c r="AG467" s="85"/>
      <c r="AH467" s="96"/>
      <c r="AI467" s="85"/>
      <c r="AJ467" s="96"/>
      <c r="AK467" s="85"/>
      <c r="AL467" s="85"/>
      <c r="AM467" s="96"/>
      <c r="AN467" s="96"/>
      <c r="AO467" s="96"/>
      <c r="AP467" s="96"/>
      <c r="AQ467" s="85" t="s">
        <v>1766</v>
      </c>
      <c r="AR467" s="578"/>
      <c r="AS467" s="67"/>
    </row>
    <row r="468" spans="1:45" ht="15">
      <c r="A468" s="576"/>
      <c r="B468" s="70"/>
      <c r="C468" s="72"/>
      <c r="D468" s="74"/>
      <c r="E468" s="104"/>
      <c r="F468" s="104"/>
      <c r="G468" s="104"/>
      <c r="H468" s="104"/>
      <c r="I468" s="129"/>
      <c r="J468" s="82"/>
      <c r="K468" s="84"/>
      <c r="L468" s="84" t="s">
        <v>345</v>
      </c>
      <c r="M468" s="85" t="s">
        <v>385</v>
      </c>
      <c r="N468" s="96"/>
      <c r="O468" s="96"/>
      <c r="P468" s="96"/>
      <c r="Q468" s="85" t="s">
        <v>385</v>
      </c>
      <c r="R468" s="96"/>
      <c r="S468" s="96"/>
      <c r="T468" s="85" t="s">
        <v>402</v>
      </c>
      <c r="U468" s="85" t="s">
        <v>402</v>
      </c>
      <c r="V468" s="85" t="s">
        <v>402</v>
      </c>
      <c r="W468" s="85" t="s">
        <v>402</v>
      </c>
      <c r="X468" s="85" t="s">
        <v>402</v>
      </c>
      <c r="Y468" s="85" t="s">
        <v>402</v>
      </c>
      <c r="Z468" s="85" t="s">
        <v>402</v>
      </c>
      <c r="AA468" s="85" t="s">
        <v>402</v>
      </c>
      <c r="AB468" s="96"/>
      <c r="AC468" s="96"/>
      <c r="AD468" s="96"/>
      <c r="AE468" s="85" t="s">
        <v>385</v>
      </c>
      <c r="AF468" s="85" t="s">
        <v>385</v>
      </c>
      <c r="AG468" s="85" t="s">
        <v>385</v>
      </c>
      <c r="AH468" s="96"/>
      <c r="AI468" s="85" t="s">
        <v>530</v>
      </c>
      <c r="AJ468" s="96"/>
      <c r="AK468" s="85" t="s">
        <v>385</v>
      </c>
      <c r="AL468" s="85" t="s">
        <v>385</v>
      </c>
      <c r="AM468" s="96"/>
      <c r="AN468" s="96"/>
      <c r="AO468" s="96"/>
      <c r="AP468" s="96"/>
      <c r="AQ468" s="85"/>
      <c r="AR468" s="578"/>
      <c r="AS468" s="67"/>
    </row>
    <row r="469" spans="1:45" ht="43">
      <c r="A469" s="576" t="s">
        <v>254</v>
      </c>
      <c r="B469" s="70" t="s">
        <v>1751</v>
      </c>
      <c r="C469" s="72">
        <v>43473</v>
      </c>
      <c r="D469" s="74" t="s">
        <v>360</v>
      </c>
      <c r="E469" s="76">
        <v>43575</v>
      </c>
      <c r="F469" s="78" t="s">
        <v>363</v>
      </c>
      <c r="G469" s="76">
        <v>43581</v>
      </c>
      <c r="H469" s="78" t="s">
        <v>355</v>
      </c>
      <c r="I469" s="129" t="s">
        <v>1767</v>
      </c>
      <c r="J469" s="82" t="s">
        <v>254</v>
      </c>
      <c r="K469" s="126" t="s">
        <v>786</v>
      </c>
      <c r="L469" s="84" t="s">
        <v>1768</v>
      </c>
      <c r="M469" s="85" t="s">
        <v>385</v>
      </c>
      <c r="N469" s="96"/>
      <c r="O469" s="96"/>
      <c r="P469" s="96"/>
      <c r="Q469" s="85" t="s">
        <v>385</v>
      </c>
      <c r="R469" s="96"/>
      <c r="S469" s="96"/>
      <c r="T469" s="85" t="s">
        <v>402</v>
      </c>
      <c r="U469" s="85" t="s">
        <v>402</v>
      </c>
      <c r="V469" s="85" t="s">
        <v>402</v>
      </c>
      <c r="W469" s="85" t="s">
        <v>402</v>
      </c>
      <c r="X469" s="85" t="s">
        <v>402</v>
      </c>
      <c r="Y469" s="85" t="s">
        <v>402</v>
      </c>
      <c r="Z469" s="85" t="s">
        <v>402</v>
      </c>
      <c r="AA469" s="85" t="s">
        <v>402</v>
      </c>
      <c r="AB469" s="96"/>
      <c r="AC469" s="96"/>
      <c r="AD469" s="96"/>
      <c r="AE469" s="85" t="s">
        <v>385</v>
      </c>
      <c r="AF469" s="85" t="s">
        <v>385</v>
      </c>
      <c r="AG469" s="85" t="s">
        <v>385</v>
      </c>
      <c r="AH469" s="96"/>
      <c r="AI469" s="85" t="s">
        <v>530</v>
      </c>
      <c r="AJ469" s="96"/>
      <c r="AK469" s="85" t="s">
        <v>385</v>
      </c>
      <c r="AL469" s="85" t="s">
        <v>385</v>
      </c>
      <c r="AM469" s="96"/>
      <c r="AN469" s="96"/>
      <c r="AO469" s="96"/>
      <c r="AP469" s="96"/>
      <c r="AQ469" s="85" t="s">
        <v>1769</v>
      </c>
      <c r="AR469" s="578">
        <v>0.21527777777777779</v>
      </c>
      <c r="AS469" s="67"/>
    </row>
    <row r="470" spans="1:45" ht="15">
      <c r="A470" s="576"/>
      <c r="B470" s="70"/>
      <c r="C470" s="72"/>
      <c r="D470" s="74"/>
      <c r="E470" s="104"/>
      <c r="F470" s="104"/>
      <c r="G470" s="104"/>
      <c r="H470" s="104"/>
      <c r="I470" s="129"/>
      <c r="J470" s="82"/>
      <c r="K470" s="84"/>
      <c r="L470" s="84"/>
      <c r="M470" s="85" t="s">
        <v>400</v>
      </c>
      <c r="N470" s="85" t="s">
        <v>649</v>
      </c>
      <c r="O470" s="96"/>
      <c r="P470" s="96"/>
      <c r="Q470" s="85"/>
      <c r="R470" s="96"/>
      <c r="S470" s="96"/>
      <c r="T470" s="85"/>
      <c r="U470" s="85"/>
      <c r="V470" s="85"/>
      <c r="W470" s="85"/>
      <c r="X470" s="85"/>
      <c r="Y470" s="85"/>
      <c r="Z470" s="85"/>
      <c r="AA470" s="85"/>
      <c r="AB470" s="96"/>
      <c r="AC470" s="96"/>
      <c r="AD470" s="96"/>
      <c r="AE470" s="85"/>
      <c r="AF470" s="85"/>
      <c r="AG470" s="85"/>
      <c r="AH470" s="96"/>
      <c r="AI470" s="85"/>
      <c r="AJ470" s="96"/>
      <c r="AK470" s="85"/>
      <c r="AL470" s="85"/>
      <c r="AM470" s="96"/>
      <c r="AN470" s="96"/>
      <c r="AO470" s="96"/>
      <c r="AP470" s="96"/>
      <c r="AQ470" s="85"/>
      <c r="AR470" s="578"/>
      <c r="AS470" s="67"/>
    </row>
    <row r="471" spans="1:45" ht="15">
      <c r="A471" s="576"/>
      <c r="B471" s="70"/>
      <c r="C471" s="72"/>
      <c r="D471" s="74"/>
      <c r="E471" s="104"/>
      <c r="F471" s="104"/>
      <c r="G471" s="104"/>
      <c r="H471" s="104"/>
      <c r="I471" s="129"/>
      <c r="J471" s="82"/>
      <c r="K471" s="84"/>
      <c r="L471" s="84"/>
      <c r="M471" s="85" t="s">
        <v>400</v>
      </c>
      <c r="N471" s="85" t="s">
        <v>649</v>
      </c>
      <c r="O471" s="96"/>
      <c r="P471" s="96"/>
      <c r="Q471" s="85" t="s">
        <v>385</v>
      </c>
      <c r="R471" s="96"/>
      <c r="S471" s="96"/>
      <c r="T471" s="85" t="s">
        <v>402</v>
      </c>
      <c r="U471" s="85" t="s">
        <v>402</v>
      </c>
      <c r="V471" s="85" t="s">
        <v>402</v>
      </c>
      <c r="W471" s="85" t="s">
        <v>402</v>
      </c>
      <c r="X471" s="85" t="s">
        <v>402</v>
      </c>
      <c r="Y471" s="85" t="s">
        <v>402</v>
      </c>
      <c r="Z471" s="85" t="s">
        <v>402</v>
      </c>
      <c r="AA471" s="85" t="s">
        <v>402</v>
      </c>
      <c r="AB471" s="96"/>
      <c r="AC471" s="96"/>
      <c r="AD471" s="96"/>
      <c r="AE471" s="85" t="s">
        <v>385</v>
      </c>
      <c r="AF471" s="85" t="s">
        <v>385</v>
      </c>
      <c r="AG471" s="85" t="s">
        <v>385</v>
      </c>
      <c r="AH471" s="96"/>
      <c r="AI471" s="85" t="s">
        <v>530</v>
      </c>
      <c r="AJ471" s="96"/>
      <c r="AK471" s="85" t="s">
        <v>385</v>
      </c>
      <c r="AL471" s="85" t="s">
        <v>385</v>
      </c>
      <c r="AM471" s="96"/>
      <c r="AN471" s="96"/>
      <c r="AO471" s="96"/>
      <c r="AP471" s="96"/>
      <c r="AQ471" s="85"/>
      <c r="AR471" s="578"/>
      <c r="AS471" s="67"/>
    </row>
    <row r="472" spans="1:45" ht="43">
      <c r="A472" s="576" t="s">
        <v>255</v>
      </c>
      <c r="B472" s="70" t="s">
        <v>1751</v>
      </c>
      <c r="C472" s="72">
        <v>43473</v>
      </c>
      <c r="D472" s="74" t="s">
        <v>360</v>
      </c>
      <c r="E472" s="76">
        <v>43576</v>
      </c>
      <c r="F472" s="78" t="s">
        <v>363</v>
      </c>
      <c r="G472" s="76">
        <v>43581</v>
      </c>
      <c r="H472" s="78" t="s">
        <v>355</v>
      </c>
      <c r="I472" s="129" t="s">
        <v>1770</v>
      </c>
      <c r="J472" s="82" t="s">
        <v>255</v>
      </c>
      <c r="K472" s="126" t="s">
        <v>876</v>
      </c>
      <c r="L472" s="84" t="s">
        <v>346</v>
      </c>
      <c r="M472" s="85" t="s">
        <v>386</v>
      </c>
      <c r="N472" s="614" t="s">
        <v>650</v>
      </c>
      <c r="O472" s="613"/>
      <c r="P472" s="85" t="s">
        <v>783</v>
      </c>
      <c r="Q472" s="85" t="s">
        <v>385</v>
      </c>
      <c r="R472" s="85"/>
      <c r="S472" s="85"/>
      <c r="T472" s="85" t="s">
        <v>355</v>
      </c>
      <c r="U472" s="85" t="s">
        <v>355</v>
      </c>
      <c r="V472" s="85" t="s">
        <v>355</v>
      </c>
      <c r="W472" s="85" t="s">
        <v>355</v>
      </c>
      <c r="X472" s="85" t="s">
        <v>355</v>
      </c>
      <c r="Y472" s="85" t="s">
        <v>892</v>
      </c>
      <c r="Z472" s="85" t="s">
        <v>355</v>
      </c>
      <c r="AA472" s="85" t="s">
        <v>355</v>
      </c>
      <c r="AB472" s="85" t="s">
        <v>946</v>
      </c>
      <c r="AC472" s="85"/>
      <c r="AD472" s="85"/>
      <c r="AE472" s="85" t="s">
        <v>385</v>
      </c>
      <c r="AF472" s="85" t="s">
        <v>385</v>
      </c>
      <c r="AG472" s="85" t="s">
        <v>385</v>
      </c>
      <c r="AH472" s="91" t="s">
        <v>1131</v>
      </c>
      <c r="AI472" s="85" t="s">
        <v>530</v>
      </c>
      <c r="AJ472" s="85"/>
      <c r="AK472" s="85" t="s">
        <v>1238</v>
      </c>
      <c r="AL472" s="85" t="s">
        <v>385</v>
      </c>
      <c r="AM472" s="96"/>
      <c r="AN472" s="96"/>
      <c r="AO472" s="96"/>
      <c r="AP472" s="96"/>
      <c r="AQ472" s="85" t="s">
        <v>1771</v>
      </c>
      <c r="AR472" s="578">
        <v>0.59375</v>
      </c>
      <c r="AS472" s="67"/>
    </row>
    <row r="473" spans="1:45" ht="15">
      <c r="A473" s="576"/>
      <c r="B473" s="70"/>
      <c r="C473" s="72"/>
      <c r="D473" s="74"/>
      <c r="E473" s="104"/>
      <c r="F473" s="104"/>
      <c r="G473" s="104"/>
      <c r="H473" s="104"/>
      <c r="I473" s="129"/>
      <c r="J473" s="82"/>
      <c r="K473" s="84"/>
      <c r="L473" s="84"/>
      <c r="M473" s="85"/>
      <c r="N473" s="85"/>
      <c r="O473" s="85"/>
      <c r="P473" s="85"/>
      <c r="Q473" s="85"/>
      <c r="R473" s="85"/>
      <c r="S473" s="85"/>
      <c r="T473" s="85"/>
      <c r="U473" s="85"/>
      <c r="V473" s="85"/>
      <c r="W473" s="85"/>
      <c r="X473" s="85"/>
      <c r="Y473" s="85"/>
      <c r="Z473" s="85"/>
      <c r="AA473" s="85"/>
      <c r="AB473" s="85"/>
      <c r="AC473" s="85"/>
      <c r="AD473" s="85"/>
      <c r="AE473" s="85"/>
      <c r="AF473" s="85"/>
      <c r="AG473" s="85"/>
      <c r="AH473" s="85"/>
      <c r="AI473" s="85"/>
      <c r="AJ473" s="85"/>
      <c r="AK473" s="85"/>
      <c r="AL473" s="85"/>
      <c r="AM473" s="96"/>
      <c r="AN473" s="96"/>
      <c r="AO473" s="96"/>
      <c r="AP473" s="96"/>
      <c r="AQ473" s="85"/>
      <c r="AR473" s="578"/>
      <c r="AS473" s="67"/>
    </row>
    <row r="474" spans="1:45" ht="15">
      <c r="A474" s="576"/>
      <c r="B474" s="70"/>
      <c r="C474" s="72"/>
      <c r="D474" s="74"/>
      <c r="E474" s="104"/>
      <c r="F474" s="104"/>
      <c r="G474" s="104"/>
      <c r="H474" s="104"/>
      <c r="I474" s="129"/>
      <c r="J474" s="82"/>
      <c r="K474" s="84"/>
      <c r="L474" s="84" t="s">
        <v>346</v>
      </c>
      <c r="M474" s="85" t="s">
        <v>386</v>
      </c>
      <c r="N474" s="614" t="s">
        <v>650</v>
      </c>
      <c r="O474" s="613"/>
      <c r="P474" s="85" t="s">
        <v>783</v>
      </c>
      <c r="Q474" s="85" t="s">
        <v>385</v>
      </c>
      <c r="R474" s="85"/>
      <c r="S474" s="85"/>
      <c r="T474" s="85" t="s">
        <v>355</v>
      </c>
      <c r="U474" s="85" t="s">
        <v>355</v>
      </c>
      <c r="V474" s="85" t="s">
        <v>355</v>
      </c>
      <c r="W474" s="85" t="s">
        <v>355</v>
      </c>
      <c r="X474" s="85" t="s">
        <v>355</v>
      </c>
      <c r="Y474" s="85" t="s">
        <v>892</v>
      </c>
      <c r="Z474" s="85" t="s">
        <v>355</v>
      </c>
      <c r="AA474" s="85" t="s">
        <v>355</v>
      </c>
      <c r="AB474" s="85" t="s">
        <v>946</v>
      </c>
      <c r="AC474" s="85"/>
      <c r="AD474" s="85"/>
      <c r="AE474" s="85" t="s">
        <v>385</v>
      </c>
      <c r="AF474" s="85" t="s">
        <v>385</v>
      </c>
      <c r="AG474" s="85" t="s">
        <v>385</v>
      </c>
      <c r="AH474" s="91" t="s">
        <v>1131</v>
      </c>
      <c r="AI474" s="85" t="s">
        <v>530</v>
      </c>
      <c r="AJ474" s="85"/>
      <c r="AK474" s="85" t="s">
        <v>1238</v>
      </c>
      <c r="AL474" s="85" t="s">
        <v>385</v>
      </c>
      <c r="AM474" s="96"/>
      <c r="AN474" s="96"/>
      <c r="AO474" s="96"/>
      <c r="AP474" s="96"/>
      <c r="AQ474" s="85"/>
      <c r="AR474" s="578"/>
      <c r="AS474" s="67"/>
    </row>
    <row r="475" spans="1:45" ht="43">
      <c r="A475" s="576" t="s">
        <v>256</v>
      </c>
      <c r="B475" s="70" t="s">
        <v>1751</v>
      </c>
      <c r="C475" s="72">
        <v>43473</v>
      </c>
      <c r="D475" s="74" t="s">
        <v>360</v>
      </c>
      <c r="E475" s="76">
        <v>43576</v>
      </c>
      <c r="F475" s="78" t="s">
        <v>363</v>
      </c>
      <c r="G475" s="76">
        <v>43581</v>
      </c>
      <c r="H475" s="78" t="s">
        <v>355</v>
      </c>
      <c r="I475" s="129" t="s">
        <v>1772</v>
      </c>
      <c r="J475" s="82" t="s">
        <v>256</v>
      </c>
      <c r="K475" s="126" t="s">
        <v>851</v>
      </c>
      <c r="L475" s="84" t="s">
        <v>326</v>
      </c>
      <c r="M475" s="85" t="s">
        <v>374</v>
      </c>
      <c r="N475" s="91" t="s">
        <v>651</v>
      </c>
      <c r="O475" s="85"/>
      <c r="P475" s="85"/>
      <c r="Q475" s="85" t="s">
        <v>385</v>
      </c>
      <c r="R475" s="96"/>
      <c r="S475" s="96"/>
      <c r="T475" s="85" t="s">
        <v>402</v>
      </c>
      <c r="U475" s="85" t="s">
        <v>402</v>
      </c>
      <c r="V475" s="85" t="s">
        <v>402</v>
      </c>
      <c r="W475" s="85" t="s">
        <v>402</v>
      </c>
      <c r="X475" s="85" t="s">
        <v>402</v>
      </c>
      <c r="Y475" s="85" t="s">
        <v>402</v>
      </c>
      <c r="Z475" s="85" t="s">
        <v>402</v>
      </c>
      <c r="AA475" s="85" t="s">
        <v>402</v>
      </c>
      <c r="AB475" s="96"/>
      <c r="AC475" s="96"/>
      <c r="AD475" s="96"/>
      <c r="AE475" s="85" t="s">
        <v>385</v>
      </c>
      <c r="AF475" s="85" t="s">
        <v>385</v>
      </c>
      <c r="AG475" s="85" t="s">
        <v>385</v>
      </c>
      <c r="AH475" s="91" t="s">
        <v>1133</v>
      </c>
      <c r="AI475" s="85" t="s">
        <v>1162</v>
      </c>
      <c r="AJ475" s="110" t="s">
        <v>1209</v>
      </c>
      <c r="AK475" s="85" t="s">
        <v>385</v>
      </c>
      <c r="AL475" s="85" t="s">
        <v>385</v>
      </c>
      <c r="AM475" s="96"/>
      <c r="AN475" s="96"/>
      <c r="AO475" s="96"/>
      <c r="AP475" s="96"/>
      <c r="AQ475" s="96"/>
      <c r="AR475" s="578">
        <v>0.22916666666666666</v>
      </c>
      <c r="AS475" s="67"/>
    </row>
    <row r="476" spans="1:45" ht="15">
      <c r="A476" s="576"/>
      <c r="B476" s="70"/>
      <c r="C476" s="72"/>
      <c r="D476" s="74"/>
      <c r="E476" s="104"/>
      <c r="F476" s="104"/>
      <c r="G476" s="104"/>
      <c r="H476" s="104"/>
      <c r="I476" s="129"/>
      <c r="J476" s="82"/>
      <c r="K476" s="84"/>
      <c r="L476" s="84"/>
      <c r="M476" s="85"/>
      <c r="N476" s="85"/>
      <c r="O476" s="85"/>
      <c r="P476" s="85"/>
      <c r="Q476" s="85"/>
      <c r="R476" s="96"/>
      <c r="S476" s="96"/>
      <c r="T476" s="85"/>
      <c r="U476" s="85"/>
      <c r="V476" s="85"/>
      <c r="W476" s="85"/>
      <c r="X476" s="85"/>
      <c r="Y476" s="85"/>
      <c r="Z476" s="85"/>
      <c r="AA476" s="85"/>
      <c r="AB476" s="96"/>
      <c r="AC476" s="96"/>
      <c r="AD476" s="96"/>
      <c r="AE476" s="85"/>
      <c r="AF476" s="85"/>
      <c r="AG476" s="85"/>
      <c r="AH476" s="85"/>
      <c r="AI476" s="85"/>
      <c r="AJ476" s="110"/>
      <c r="AK476" s="85"/>
      <c r="AL476" s="85"/>
      <c r="AM476" s="96"/>
      <c r="AN476" s="96"/>
      <c r="AO476" s="96"/>
      <c r="AP476" s="96"/>
      <c r="AQ476" s="96"/>
      <c r="AR476" s="578"/>
      <c r="AS476" s="67"/>
    </row>
    <row r="477" spans="1:45" ht="15">
      <c r="A477" s="576"/>
      <c r="B477" s="70"/>
      <c r="C477" s="72"/>
      <c r="D477" s="74"/>
      <c r="E477" s="104"/>
      <c r="F477" s="104"/>
      <c r="G477" s="104"/>
      <c r="H477" s="104"/>
      <c r="I477" s="129"/>
      <c r="J477" s="82"/>
      <c r="K477" s="84"/>
      <c r="L477" s="84" t="s">
        <v>326</v>
      </c>
      <c r="M477" s="85" t="s">
        <v>374</v>
      </c>
      <c r="N477" s="91" t="s">
        <v>651</v>
      </c>
      <c r="O477" s="85"/>
      <c r="P477" s="85"/>
      <c r="Q477" s="85" t="s">
        <v>385</v>
      </c>
      <c r="R477" s="96"/>
      <c r="S477" s="96"/>
      <c r="T477" s="85" t="s">
        <v>402</v>
      </c>
      <c r="U477" s="85" t="s">
        <v>402</v>
      </c>
      <c r="V477" s="85" t="s">
        <v>402</v>
      </c>
      <c r="W477" s="85" t="s">
        <v>402</v>
      </c>
      <c r="X477" s="85" t="s">
        <v>402</v>
      </c>
      <c r="Y477" s="85" t="s">
        <v>402</v>
      </c>
      <c r="Z477" s="85" t="s">
        <v>402</v>
      </c>
      <c r="AA477" s="85" t="s">
        <v>402</v>
      </c>
      <c r="AB477" s="96"/>
      <c r="AC477" s="96"/>
      <c r="AD477" s="96"/>
      <c r="AE477" s="85" t="s">
        <v>385</v>
      </c>
      <c r="AF477" s="85" t="s">
        <v>385</v>
      </c>
      <c r="AG477" s="85" t="s">
        <v>385</v>
      </c>
      <c r="AH477" s="91" t="s">
        <v>1133</v>
      </c>
      <c r="AI477" s="85" t="s">
        <v>1162</v>
      </c>
      <c r="AJ477" s="110" t="s">
        <v>1209</v>
      </c>
      <c r="AK477" s="85" t="s">
        <v>385</v>
      </c>
      <c r="AL477" s="85" t="s">
        <v>385</v>
      </c>
      <c r="AM477" s="96"/>
      <c r="AN477" s="96"/>
      <c r="AO477" s="96"/>
      <c r="AP477" s="96"/>
      <c r="AQ477" s="96"/>
      <c r="AR477" s="578"/>
      <c r="AS477" s="67"/>
    </row>
    <row r="478" spans="1:45" ht="15.75" customHeight="1">
      <c r="A478" s="576" t="s">
        <v>257</v>
      </c>
      <c r="B478" s="70" t="s">
        <v>1751</v>
      </c>
      <c r="C478" s="72">
        <v>43473</v>
      </c>
      <c r="D478" s="74" t="s">
        <v>360</v>
      </c>
      <c r="E478" s="76">
        <v>43576</v>
      </c>
      <c r="F478" s="78" t="s">
        <v>363</v>
      </c>
      <c r="G478" s="76">
        <v>43581</v>
      </c>
      <c r="H478" s="78" t="s">
        <v>355</v>
      </c>
      <c r="I478" s="129" t="s">
        <v>1773</v>
      </c>
      <c r="J478" s="82" t="s">
        <v>257</v>
      </c>
      <c r="K478" s="84"/>
      <c r="L478" s="84" t="s">
        <v>347</v>
      </c>
      <c r="M478" s="85" t="s">
        <v>385</v>
      </c>
      <c r="N478" s="614" t="s">
        <v>653</v>
      </c>
      <c r="O478" s="613"/>
      <c r="P478" s="96"/>
      <c r="Q478" s="85" t="s">
        <v>385</v>
      </c>
      <c r="R478" s="96"/>
      <c r="S478" s="96"/>
      <c r="T478" s="85" t="s">
        <v>402</v>
      </c>
      <c r="U478" s="85" t="s">
        <v>402</v>
      </c>
      <c r="V478" s="85" t="s">
        <v>402</v>
      </c>
      <c r="W478" s="85" t="s">
        <v>402</v>
      </c>
      <c r="X478" s="85" t="s">
        <v>402</v>
      </c>
      <c r="Y478" s="85" t="s">
        <v>402</v>
      </c>
      <c r="Z478" s="85" t="s">
        <v>402</v>
      </c>
      <c r="AA478" s="85" t="s">
        <v>402</v>
      </c>
      <c r="AB478" s="96"/>
      <c r="AC478" s="85" t="s">
        <v>986</v>
      </c>
      <c r="AD478" s="91" t="s">
        <v>653</v>
      </c>
      <c r="AE478" s="85" t="s">
        <v>385</v>
      </c>
      <c r="AF478" s="85" t="s">
        <v>385</v>
      </c>
      <c r="AG478" s="85" t="s">
        <v>385</v>
      </c>
      <c r="AH478" s="91" t="s">
        <v>653</v>
      </c>
      <c r="AI478" s="85" t="s">
        <v>385</v>
      </c>
      <c r="AJ478" s="85" t="s">
        <v>1210</v>
      </c>
      <c r="AK478" s="85" t="s">
        <v>385</v>
      </c>
      <c r="AL478" s="85" t="s">
        <v>385</v>
      </c>
      <c r="AM478" s="612" t="s">
        <v>1262</v>
      </c>
      <c r="AN478" s="613"/>
      <c r="AO478" s="613"/>
      <c r="AP478" s="613"/>
      <c r="AQ478" s="85" t="s">
        <v>1774</v>
      </c>
      <c r="AR478" s="578">
        <v>0.34305555555555556</v>
      </c>
      <c r="AS478" s="67"/>
    </row>
    <row r="479" spans="1:45" ht="15">
      <c r="A479" s="576"/>
      <c r="B479" s="70"/>
      <c r="C479" s="72"/>
      <c r="D479" s="74"/>
      <c r="E479" s="104"/>
      <c r="F479" s="104"/>
      <c r="G479" s="104"/>
      <c r="H479" s="104"/>
      <c r="I479" s="129"/>
      <c r="J479" s="82"/>
      <c r="K479" s="84"/>
      <c r="L479" s="84"/>
      <c r="M479" s="85"/>
      <c r="N479" s="85"/>
      <c r="O479" s="85"/>
      <c r="P479" s="96"/>
      <c r="Q479" s="85"/>
      <c r="R479" s="96"/>
      <c r="S479" s="96"/>
      <c r="T479" s="85"/>
      <c r="U479" s="85"/>
      <c r="V479" s="85"/>
      <c r="W479" s="85"/>
      <c r="X479" s="85"/>
      <c r="Y479" s="85"/>
      <c r="Z479" s="85"/>
      <c r="AA479" s="85"/>
      <c r="AB479" s="96"/>
      <c r="AC479" s="85"/>
      <c r="AD479" s="85"/>
      <c r="AE479" s="85"/>
      <c r="AF479" s="85"/>
      <c r="AG479" s="85"/>
      <c r="AH479" s="85"/>
      <c r="AI479" s="85"/>
      <c r="AJ479" s="85"/>
      <c r="AK479" s="85"/>
      <c r="AL479" s="85"/>
      <c r="AM479" s="85"/>
      <c r="AN479" s="85"/>
      <c r="AO479" s="85"/>
      <c r="AP479" s="85"/>
      <c r="AQ479" s="85"/>
      <c r="AR479" s="578"/>
      <c r="AS479" s="67"/>
    </row>
    <row r="480" spans="1:45" ht="15">
      <c r="A480" s="576"/>
      <c r="B480" s="70"/>
      <c r="C480" s="72"/>
      <c r="D480" s="74"/>
      <c r="E480" s="104"/>
      <c r="F480" s="104"/>
      <c r="G480" s="104"/>
      <c r="H480" s="104"/>
      <c r="I480" s="129"/>
      <c r="J480" s="82"/>
      <c r="K480" s="84"/>
      <c r="L480" s="84" t="s">
        <v>347</v>
      </c>
      <c r="M480" s="85" t="s">
        <v>385</v>
      </c>
      <c r="N480" s="614" t="s">
        <v>653</v>
      </c>
      <c r="O480" s="613"/>
      <c r="P480" s="96"/>
      <c r="Q480" s="85" t="s">
        <v>385</v>
      </c>
      <c r="R480" s="96"/>
      <c r="S480" s="96"/>
      <c r="T480" s="85" t="s">
        <v>402</v>
      </c>
      <c r="U480" s="85" t="s">
        <v>402</v>
      </c>
      <c r="V480" s="85" t="s">
        <v>402</v>
      </c>
      <c r="W480" s="85" t="s">
        <v>402</v>
      </c>
      <c r="X480" s="85" t="s">
        <v>402</v>
      </c>
      <c r="Y480" s="85" t="s">
        <v>402</v>
      </c>
      <c r="Z480" s="85" t="s">
        <v>402</v>
      </c>
      <c r="AA480" s="85" t="s">
        <v>402</v>
      </c>
      <c r="AB480" s="96"/>
      <c r="AC480" s="85" t="s">
        <v>986</v>
      </c>
      <c r="AD480" s="91" t="s">
        <v>653</v>
      </c>
      <c r="AE480" s="85" t="s">
        <v>385</v>
      </c>
      <c r="AF480" s="85" t="s">
        <v>385</v>
      </c>
      <c r="AG480" s="85" t="s">
        <v>385</v>
      </c>
      <c r="AH480" s="91" t="s">
        <v>653</v>
      </c>
      <c r="AI480" s="85" t="s">
        <v>385</v>
      </c>
      <c r="AJ480" s="85" t="s">
        <v>1210</v>
      </c>
      <c r="AK480" s="85" t="s">
        <v>385</v>
      </c>
      <c r="AL480" s="85" t="s">
        <v>385</v>
      </c>
      <c r="AM480" s="612" t="s">
        <v>1262</v>
      </c>
      <c r="AN480" s="613"/>
      <c r="AO480" s="613"/>
      <c r="AP480" s="613"/>
      <c r="AQ480" s="85"/>
      <c r="AR480" s="578"/>
      <c r="AS480" s="67"/>
    </row>
    <row r="481" spans="1:45" ht="17.25" customHeight="1">
      <c r="A481" s="576" t="s">
        <v>258</v>
      </c>
      <c r="B481" s="70" t="s">
        <v>1751</v>
      </c>
      <c r="C481" s="72">
        <v>43473</v>
      </c>
      <c r="D481" s="74" t="s">
        <v>360</v>
      </c>
      <c r="E481" s="76">
        <v>43576</v>
      </c>
      <c r="F481" s="78" t="s">
        <v>363</v>
      </c>
      <c r="G481" s="76">
        <v>43581</v>
      </c>
      <c r="H481" s="78" t="s">
        <v>355</v>
      </c>
      <c r="I481" s="129" t="s">
        <v>1775</v>
      </c>
      <c r="J481" s="82" t="s">
        <v>258</v>
      </c>
      <c r="K481" s="126" t="s">
        <v>524</v>
      </c>
      <c r="L481" s="84" t="s">
        <v>348</v>
      </c>
      <c r="M481" s="85" t="s">
        <v>385</v>
      </c>
      <c r="N481" s="96"/>
      <c r="O481" s="96"/>
      <c r="P481" s="96"/>
      <c r="Q481" s="85" t="s">
        <v>385</v>
      </c>
      <c r="R481" s="96"/>
      <c r="S481" s="96"/>
      <c r="T481" s="85" t="s">
        <v>402</v>
      </c>
      <c r="U481" s="85" t="s">
        <v>402</v>
      </c>
      <c r="V481" s="85" t="s">
        <v>402</v>
      </c>
      <c r="W481" s="85" t="s">
        <v>402</v>
      </c>
      <c r="X481" s="85" t="s">
        <v>402</v>
      </c>
      <c r="Y481" s="85" t="s">
        <v>402</v>
      </c>
      <c r="Z481" s="85" t="s">
        <v>402</v>
      </c>
      <c r="AA481" s="85" t="s">
        <v>402</v>
      </c>
      <c r="AB481" s="96"/>
      <c r="AC481" s="96"/>
      <c r="AD481" s="96"/>
      <c r="AE481" s="85" t="s">
        <v>385</v>
      </c>
      <c r="AF481" s="85" t="s">
        <v>385</v>
      </c>
      <c r="AG481" s="85" t="s">
        <v>385</v>
      </c>
      <c r="AH481" s="91" t="s">
        <v>1134</v>
      </c>
      <c r="AI481" s="612" t="s">
        <v>1163</v>
      </c>
      <c r="AJ481" s="613"/>
      <c r="AK481" s="85" t="s">
        <v>385</v>
      </c>
      <c r="AL481" s="85" t="s">
        <v>385</v>
      </c>
      <c r="AM481" s="96"/>
      <c r="AN481" s="96"/>
      <c r="AO481" s="96"/>
      <c r="AP481" s="96"/>
      <c r="AQ481" s="96"/>
      <c r="AR481" s="578">
        <v>0.29444444444444445</v>
      </c>
      <c r="AS481" s="67"/>
    </row>
    <row r="482" spans="1:45" ht="15">
      <c r="A482" s="576"/>
      <c r="B482" s="70"/>
      <c r="C482" s="72"/>
      <c r="D482" s="74"/>
      <c r="E482" s="104"/>
      <c r="F482" s="104"/>
      <c r="G482" s="104"/>
      <c r="H482" s="104"/>
      <c r="I482" s="129"/>
      <c r="J482" s="82"/>
      <c r="K482" s="84"/>
      <c r="L482" s="84"/>
      <c r="M482" s="85"/>
      <c r="N482" s="96"/>
      <c r="O482" s="96"/>
      <c r="P482" s="15" t="s">
        <v>710</v>
      </c>
      <c r="Q482" s="85" t="s">
        <v>354</v>
      </c>
      <c r="R482" s="96"/>
      <c r="S482" s="96"/>
      <c r="T482" s="85"/>
      <c r="U482" s="85"/>
      <c r="V482" s="85"/>
      <c r="W482" s="85"/>
      <c r="X482" s="85"/>
      <c r="Y482" s="85"/>
      <c r="Z482" s="85"/>
      <c r="AA482" s="85"/>
      <c r="AB482" s="96"/>
      <c r="AC482" s="85" t="s">
        <v>987</v>
      </c>
      <c r="AD482" s="15" t="s">
        <v>1031</v>
      </c>
      <c r="AE482" s="85" t="s">
        <v>385</v>
      </c>
      <c r="AF482" s="85"/>
      <c r="AG482" s="85"/>
      <c r="AH482" s="85"/>
      <c r="AI482" s="85"/>
      <c r="AJ482" s="85"/>
      <c r="AK482" s="85"/>
      <c r="AL482" s="85"/>
      <c r="AM482" s="96"/>
      <c r="AN482" s="96"/>
      <c r="AO482" s="96"/>
      <c r="AP482" s="96"/>
      <c r="AQ482" s="96"/>
      <c r="AR482" s="578"/>
      <c r="AS482" s="67"/>
    </row>
    <row r="483" spans="1:45" ht="15">
      <c r="A483" s="576"/>
      <c r="B483" s="70"/>
      <c r="C483" s="72"/>
      <c r="D483" s="74"/>
      <c r="E483" s="104"/>
      <c r="F483" s="104"/>
      <c r="G483" s="104"/>
      <c r="H483" s="104"/>
      <c r="I483" s="129"/>
      <c r="J483" s="82"/>
      <c r="K483" s="84"/>
      <c r="L483" s="84" t="s">
        <v>348</v>
      </c>
      <c r="M483" s="85" t="s">
        <v>385</v>
      </c>
      <c r="N483" s="96"/>
      <c r="O483" s="96"/>
      <c r="P483" s="15" t="s">
        <v>710</v>
      </c>
      <c r="Q483" s="85" t="s">
        <v>354</v>
      </c>
      <c r="R483" s="96"/>
      <c r="S483" s="96"/>
      <c r="T483" s="85" t="s">
        <v>402</v>
      </c>
      <c r="U483" s="85" t="s">
        <v>402</v>
      </c>
      <c r="V483" s="85" t="s">
        <v>402</v>
      </c>
      <c r="W483" s="85" t="s">
        <v>402</v>
      </c>
      <c r="X483" s="85" t="s">
        <v>402</v>
      </c>
      <c r="Y483" s="85" t="s">
        <v>402</v>
      </c>
      <c r="Z483" s="85" t="s">
        <v>402</v>
      </c>
      <c r="AA483" s="85" t="s">
        <v>402</v>
      </c>
      <c r="AB483" s="96"/>
      <c r="AC483" s="85" t="s">
        <v>987</v>
      </c>
      <c r="AD483" s="15" t="s">
        <v>1031</v>
      </c>
      <c r="AE483" s="85" t="s">
        <v>385</v>
      </c>
      <c r="AF483" s="85" t="s">
        <v>385</v>
      </c>
      <c r="AG483" s="85" t="s">
        <v>385</v>
      </c>
      <c r="AH483" s="91" t="s">
        <v>1134</v>
      </c>
      <c r="AI483" s="612" t="s">
        <v>1163</v>
      </c>
      <c r="AJ483" s="613"/>
      <c r="AK483" s="85" t="s">
        <v>385</v>
      </c>
      <c r="AL483" s="85" t="s">
        <v>385</v>
      </c>
      <c r="AM483" s="96"/>
      <c r="AN483" s="96"/>
      <c r="AO483" s="96"/>
      <c r="AP483" s="96"/>
      <c r="AQ483" s="96"/>
      <c r="AR483" s="578"/>
      <c r="AS483" s="67"/>
    </row>
    <row r="484" spans="1:45" ht="18.75" customHeight="1">
      <c r="A484" s="576" t="s">
        <v>259</v>
      </c>
      <c r="B484" s="70" t="s">
        <v>1751</v>
      </c>
      <c r="C484" s="72">
        <v>43473</v>
      </c>
      <c r="D484" s="74" t="s">
        <v>360</v>
      </c>
      <c r="E484" s="76">
        <v>43576</v>
      </c>
      <c r="F484" s="78" t="s">
        <v>363</v>
      </c>
      <c r="G484" s="76">
        <v>43581</v>
      </c>
      <c r="H484" s="78" t="s">
        <v>355</v>
      </c>
      <c r="I484" s="125" t="s">
        <v>1776</v>
      </c>
      <c r="J484" s="82" t="s">
        <v>259</v>
      </c>
      <c r="K484" s="126" t="s">
        <v>1777</v>
      </c>
      <c r="L484" s="84" t="s">
        <v>281</v>
      </c>
      <c r="M484" s="85" t="s">
        <v>374</v>
      </c>
      <c r="N484" s="614" t="s">
        <v>413</v>
      </c>
      <c r="O484" s="613"/>
      <c r="P484" s="613"/>
      <c r="Q484" s="633"/>
      <c r="R484" s="85" t="s">
        <v>839</v>
      </c>
      <c r="S484" s="91" t="s">
        <v>908</v>
      </c>
      <c r="T484" s="85" t="s">
        <v>402</v>
      </c>
      <c r="U484" s="85" t="s">
        <v>402</v>
      </c>
      <c r="V484" s="85" t="s">
        <v>402</v>
      </c>
      <c r="W484" s="85" t="s">
        <v>402</v>
      </c>
      <c r="X484" s="85" t="s">
        <v>402</v>
      </c>
      <c r="Y484" s="85" t="s">
        <v>404</v>
      </c>
      <c r="Z484" s="85" t="s">
        <v>402</v>
      </c>
      <c r="AA484" s="85" t="s">
        <v>402</v>
      </c>
      <c r="AB484" s="85" t="s">
        <v>947</v>
      </c>
      <c r="AC484" s="85"/>
      <c r="AD484" s="85"/>
      <c r="AE484" s="85" t="s">
        <v>385</v>
      </c>
      <c r="AF484" s="85" t="s">
        <v>385</v>
      </c>
      <c r="AG484" s="85" t="s">
        <v>385</v>
      </c>
      <c r="AH484" s="91" t="s">
        <v>908</v>
      </c>
      <c r="AI484" s="85" t="s">
        <v>1161</v>
      </c>
      <c r="AJ484" s="85" t="s">
        <v>1211</v>
      </c>
      <c r="AK484" s="85" t="s">
        <v>385</v>
      </c>
      <c r="AL484" s="85" t="s">
        <v>385</v>
      </c>
      <c r="AM484" s="96"/>
      <c r="AN484" s="96"/>
      <c r="AO484" s="96"/>
      <c r="AP484" s="96"/>
      <c r="AQ484" s="96"/>
      <c r="AR484" s="578">
        <v>0.28125</v>
      </c>
      <c r="AS484" s="29" t="s">
        <v>1778</v>
      </c>
    </row>
    <row r="485" spans="1:45" ht="15">
      <c r="A485" s="576"/>
      <c r="B485" s="70"/>
      <c r="C485" s="72"/>
      <c r="D485" s="74"/>
      <c r="E485" s="104"/>
      <c r="F485" s="104"/>
      <c r="G485" s="104"/>
      <c r="H485" s="104"/>
      <c r="I485" s="129"/>
      <c r="J485" s="82"/>
      <c r="K485" s="84"/>
      <c r="L485" s="84"/>
      <c r="M485" s="85"/>
      <c r="N485" s="69" t="s">
        <v>654</v>
      </c>
      <c r="O485" s="85"/>
      <c r="P485" s="85"/>
      <c r="Q485" s="633"/>
      <c r="R485" s="85"/>
      <c r="S485" s="85"/>
      <c r="T485" s="85"/>
      <c r="U485" s="85"/>
      <c r="V485" s="85"/>
      <c r="W485" s="85"/>
      <c r="X485" s="85"/>
      <c r="Y485" s="85" t="s">
        <v>403</v>
      </c>
      <c r="Z485" s="85"/>
      <c r="AA485" s="85"/>
      <c r="AB485" s="85"/>
      <c r="AC485" s="85"/>
      <c r="AD485" s="85"/>
      <c r="AE485" s="85"/>
      <c r="AF485" s="85"/>
      <c r="AG485" s="85"/>
      <c r="AH485" s="85"/>
      <c r="AI485" s="85"/>
      <c r="AJ485" s="85"/>
      <c r="AK485" s="85"/>
      <c r="AL485" s="85"/>
      <c r="AM485" s="96"/>
      <c r="AN485" s="96"/>
      <c r="AO485" s="96"/>
      <c r="AP485" s="96"/>
      <c r="AQ485" s="96"/>
      <c r="AR485" s="578"/>
      <c r="AS485" s="67"/>
    </row>
    <row r="486" spans="1:45" ht="15">
      <c r="A486" s="576"/>
      <c r="B486" s="70"/>
      <c r="C486" s="72"/>
      <c r="D486" s="74"/>
      <c r="E486" s="104"/>
      <c r="F486" s="104"/>
      <c r="G486" s="104"/>
      <c r="H486" s="78" t="s">
        <v>1779</v>
      </c>
      <c r="I486" s="129"/>
      <c r="J486" s="82"/>
      <c r="K486" s="84"/>
      <c r="L486" s="84" t="s">
        <v>281</v>
      </c>
      <c r="M486" s="85" t="s">
        <v>374</v>
      </c>
      <c r="N486" s="69" t="s">
        <v>654</v>
      </c>
      <c r="O486" s="85"/>
      <c r="P486" s="85"/>
      <c r="Q486" s="633"/>
      <c r="R486" s="85" t="s">
        <v>839</v>
      </c>
      <c r="S486" s="91" t="s">
        <v>908</v>
      </c>
      <c r="T486" s="85" t="s">
        <v>402</v>
      </c>
      <c r="U486" s="85" t="s">
        <v>402</v>
      </c>
      <c r="V486" s="85" t="s">
        <v>402</v>
      </c>
      <c r="W486" s="85" t="s">
        <v>402</v>
      </c>
      <c r="X486" s="85" t="s">
        <v>402</v>
      </c>
      <c r="Y486" s="85" t="s">
        <v>404</v>
      </c>
      <c r="Z486" s="85" t="s">
        <v>402</v>
      </c>
      <c r="AA486" s="85" t="s">
        <v>402</v>
      </c>
      <c r="AB486" s="85" t="s">
        <v>947</v>
      </c>
      <c r="AC486" s="85"/>
      <c r="AD486" s="85"/>
      <c r="AE486" s="85" t="s">
        <v>385</v>
      </c>
      <c r="AF486" s="85" t="s">
        <v>385</v>
      </c>
      <c r="AG486" s="85" t="s">
        <v>385</v>
      </c>
      <c r="AH486" s="91" t="s">
        <v>908</v>
      </c>
      <c r="AI486" s="85" t="s">
        <v>1161</v>
      </c>
      <c r="AJ486" s="85" t="s">
        <v>1211</v>
      </c>
      <c r="AK486" s="85" t="s">
        <v>385</v>
      </c>
      <c r="AL486" s="85" t="s">
        <v>385</v>
      </c>
      <c r="AM486" s="96"/>
      <c r="AN486" s="96"/>
      <c r="AO486" s="96"/>
      <c r="AP486" s="96"/>
      <c r="AQ486" s="96"/>
      <c r="AR486" s="578"/>
      <c r="AS486" s="67"/>
    </row>
    <row r="487" spans="1:45" ht="43">
      <c r="A487" s="576" t="s">
        <v>260</v>
      </c>
      <c r="B487" s="70" t="s">
        <v>1751</v>
      </c>
      <c r="C487" s="72">
        <v>43473</v>
      </c>
      <c r="D487" s="74" t="s">
        <v>360</v>
      </c>
      <c r="E487" s="76">
        <v>43576</v>
      </c>
      <c r="F487" s="78" t="s">
        <v>363</v>
      </c>
      <c r="G487" s="76">
        <v>43581</v>
      </c>
      <c r="H487" s="78" t="s">
        <v>355</v>
      </c>
      <c r="I487" s="129" t="s">
        <v>1780</v>
      </c>
      <c r="J487" s="82" t="s">
        <v>260</v>
      </c>
      <c r="K487" s="126" t="s">
        <v>876</v>
      </c>
      <c r="L487" s="84" t="s">
        <v>291</v>
      </c>
      <c r="M487" s="85" t="s">
        <v>385</v>
      </c>
      <c r="N487" s="614" t="s">
        <v>1781</v>
      </c>
      <c r="O487" s="613"/>
      <c r="P487" s="96"/>
      <c r="Q487" s="85" t="s">
        <v>385</v>
      </c>
      <c r="R487" s="96"/>
      <c r="S487" s="96"/>
      <c r="T487" s="85" t="s">
        <v>402</v>
      </c>
      <c r="U487" s="85" t="s">
        <v>402</v>
      </c>
      <c r="V487" s="85" t="s">
        <v>402</v>
      </c>
      <c r="W487" s="85" t="s">
        <v>402</v>
      </c>
      <c r="X487" s="85" t="s">
        <v>402</v>
      </c>
      <c r="Y487" s="85" t="s">
        <v>402</v>
      </c>
      <c r="Z487" s="85" t="s">
        <v>402</v>
      </c>
      <c r="AA487" s="85" t="s">
        <v>402</v>
      </c>
      <c r="AB487" s="96"/>
      <c r="AC487" s="96"/>
      <c r="AD487" s="96"/>
      <c r="AE487" s="85" t="s">
        <v>385</v>
      </c>
      <c r="AF487" s="85" t="s">
        <v>385</v>
      </c>
      <c r="AG487" s="85" t="s">
        <v>385</v>
      </c>
      <c r="AH487" s="85" t="s">
        <v>1135</v>
      </c>
      <c r="AI487" s="85" t="s">
        <v>385</v>
      </c>
      <c r="AJ487" s="85" t="s">
        <v>1212</v>
      </c>
      <c r="AK487" s="85" t="s">
        <v>385</v>
      </c>
      <c r="AL487" s="85" t="s">
        <v>385</v>
      </c>
      <c r="AM487" s="625" t="s">
        <v>1782</v>
      </c>
      <c r="AN487" s="613"/>
      <c r="AO487" s="613"/>
      <c r="AP487" s="628" t="s">
        <v>1783</v>
      </c>
      <c r="AQ487" s="613"/>
      <c r="AR487" s="578">
        <v>0.75</v>
      </c>
      <c r="AS487" s="67"/>
    </row>
    <row r="488" spans="1:45" ht="15">
      <c r="A488" s="576"/>
      <c r="B488" s="70"/>
      <c r="C488" s="72"/>
      <c r="D488" s="74"/>
      <c r="E488" s="104"/>
      <c r="F488" s="104"/>
      <c r="G488" s="104"/>
      <c r="H488" s="104"/>
      <c r="I488" s="129"/>
      <c r="J488" s="82"/>
      <c r="K488" s="84"/>
      <c r="L488" s="84"/>
      <c r="M488" s="85"/>
      <c r="N488" s="91" t="s">
        <v>655</v>
      </c>
      <c r="O488" s="85"/>
      <c r="P488" s="96"/>
      <c r="Q488" s="85"/>
      <c r="R488" s="85" t="s">
        <v>840</v>
      </c>
      <c r="S488" s="91" t="s">
        <v>655</v>
      </c>
      <c r="T488" s="85"/>
      <c r="U488" s="85"/>
      <c r="V488" s="85"/>
      <c r="W488" s="85"/>
      <c r="X488" s="85"/>
      <c r="Y488" s="85"/>
      <c r="Z488" s="85"/>
      <c r="AA488" s="85"/>
      <c r="AB488" s="96"/>
      <c r="AC488" s="96"/>
      <c r="AD488" s="96"/>
      <c r="AE488" s="85"/>
      <c r="AF488" s="85"/>
      <c r="AG488" s="85"/>
      <c r="AH488" s="85"/>
      <c r="AI488" s="85"/>
      <c r="AJ488" s="85"/>
      <c r="AK488" s="85" t="s">
        <v>402</v>
      </c>
      <c r="AL488" s="85"/>
      <c r="AM488" s="107"/>
      <c r="AN488" s="107"/>
      <c r="AO488" s="107"/>
      <c r="AP488" s="110" t="s">
        <v>1784</v>
      </c>
      <c r="AQ488" s="110"/>
      <c r="AR488" s="578"/>
      <c r="AS488" s="67"/>
    </row>
    <row r="489" spans="1:45" ht="15">
      <c r="A489" s="576"/>
      <c r="B489" s="70"/>
      <c r="C489" s="72"/>
      <c r="D489" s="74"/>
      <c r="E489" s="104"/>
      <c r="F489" s="104"/>
      <c r="G489" s="104"/>
      <c r="H489" s="104"/>
      <c r="I489" s="129"/>
      <c r="J489" s="82"/>
      <c r="K489" s="84"/>
      <c r="L489" s="84" t="s">
        <v>291</v>
      </c>
      <c r="M489" s="85" t="s">
        <v>385</v>
      </c>
      <c r="N489" s="91" t="s">
        <v>655</v>
      </c>
      <c r="O489" s="85"/>
      <c r="P489" s="96"/>
      <c r="Q489" s="85" t="s">
        <v>385</v>
      </c>
      <c r="R489" s="85" t="s">
        <v>840</v>
      </c>
      <c r="S489" s="91" t="s">
        <v>655</v>
      </c>
      <c r="T489" s="85" t="s">
        <v>402</v>
      </c>
      <c r="U489" s="85" t="s">
        <v>402</v>
      </c>
      <c r="V489" s="85" t="s">
        <v>402</v>
      </c>
      <c r="W489" s="85" t="s">
        <v>402</v>
      </c>
      <c r="X489" s="85" t="s">
        <v>402</v>
      </c>
      <c r="Y489" s="85" t="s">
        <v>402</v>
      </c>
      <c r="Z489" s="85" t="s">
        <v>402</v>
      </c>
      <c r="AA489" s="85" t="s">
        <v>402</v>
      </c>
      <c r="AB489" s="96"/>
      <c r="AC489" s="96"/>
      <c r="AD489" s="96"/>
      <c r="AE489" s="85" t="s">
        <v>385</v>
      </c>
      <c r="AF489" s="85" t="s">
        <v>385</v>
      </c>
      <c r="AG489" s="85" t="s">
        <v>385</v>
      </c>
      <c r="AH489" s="85" t="s">
        <v>1135</v>
      </c>
      <c r="AI489" s="85" t="s">
        <v>385</v>
      </c>
      <c r="AJ489" s="85" t="s">
        <v>1212</v>
      </c>
      <c r="AK489" s="85" t="s">
        <v>402</v>
      </c>
      <c r="AL489" s="85" t="s">
        <v>385</v>
      </c>
      <c r="AM489" s="107" t="s">
        <v>1263</v>
      </c>
      <c r="AN489" s="107"/>
      <c r="AO489" s="107"/>
      <c r="AP489" s="110"/>
      <c r="AQ489" s="110"/>
      <c r="AR489" s="578"/>
      <c r="AS489" s="67"/>
    </row>
    <row r="490" spans="1:45" ht="15">
      <c r="A490" s="379"/>
      <c r="B490" s="70" t="s">
        <v>356</v>
      </c>
      <c r="C490" s="72">
        <v>43444</v>
      </c>
      <c r="D490" s="74" t="s">
        <v>360</v>
      </c>
      <c r="E490" s="76">
        <v>43575</v>
      </c>
      <c r="F490" s="78" t="s">
        <v>363</v>
      </c>
      <c r="G490" s="76">
        <v>43581</v>
      </c>
      <c r="H490" s="78" t="s">
        <v>355</v>
      </c>
      <c r="I490" s="129" t="s">
        <v>1785</v>
      </c>
      <c r="J490" s="380" t="s">
        <v>261</v>
      </c>
      <c r="K490" s="386"/>
      <c r="L490" s="84" t="s">
        <v>291</v>
      </c>
      <c r="M490" s="85" t="s">
        <v>385</v>
      </c>
      <c r="N490" s="614" t="s">
        <v>656</v>
      </c>
      <c r="O490" s="613"/>
      <c r="P490" s="613"/>
      <c r="Q490" s="85" t="s">
        <v>385</v>
      </c>
      <c r="R490" s="96"/>
      <c r="S490" s="96"/>
      <c r="T490" s="85" t="s">
        <v>402</v>
      </c>
      <c r="U490" s="85" t="s">
        <v>402</v>
      </c>
      <c r="V490" s="85" t="s">
        <v>402</v>
      </c>
      <c r="W490" s="85" t="s">
        <v>402</v>
      </c>
      <c r="X490" s="85" t="s">
        <v>402</v>
      </c>
      <c r="Y490" s="85" t="s">
        <v>402</v>
      </c>
      <c r="Z490" s="85" t="s">
        <v>402</v>
      </c>
      <c r="AA490" s="85" t="s">
        <v>402</v>
      </c>
      <c r="AB490" s="96"/>
      <c r="AC490" s="177" t="s">
        <v>402</v>
      </c>
      <c r="AD490" s="96"/>
      <c r="AE490" s="85" t="s">
        <v>385</v>
      </c>
      <c r="AF490" s="85" t="s">
        <v>385</v>
      </c>
      <c r="AG490" s="85" t="s">
        <v>385</v>
      </c>
      <c r="AH490" s="91" t="s">
        <v>1786</v>
      </c>
      <c r="AI490" s="85" t="s">
        <v>1161</v>
      </c>
      <c r="AJ490" s="85" t="s">
        <v>1787</v>
      </c>
      <c r="AK490" s="85" t="s">
        <v>402</v>
      </c>
      <c r="AL490" s="96"/>
      <c r="AM490" s="110" t="s">
        <v>1788</v>
      </c>
      <c r="AN490" s="85" t="s">
        <v>402</v>
      </c>
      <c r="AO490" s="110" t="s">
        <v>1275</v>
      </c>
      <c r="AP490" s="85" t="s">
        <v>402</v>
      </c>
      <c r="AQ490" s="85" t="s">
        <v>1789</v>
      </c>
      <c r="AR490" s="128" t="s">
        <v>674</v>
      </c>
      <c r="AS490" s="67"/>
    </row>
    <row r="491" spans="1:45" ht="15">
      <c r="A491" s="379"/>
      <c r="B491" s="70"/>
      <c r="C491" s="72"/>
      <c r="D491" s="74"/>
      <c r="E491" s="104"/>
      <c r="F491" s="104"/>
      <c r="G491" s="104"/>
      <c r="H491" s="104"/>
      <c r="I491" s="129"/>
      <c r="J491" s="380"/>
      <c r="K491" s="386"/>
      <c r="L491" s="84"/>
      <c r="M491" s="85"/>
      <c r="N491" s="85"/>
      <c r="O491" s="85"/>
      <c r="P491" s="85"/>
      <c r="Q491" s="85"/>
      <c r="R491" s="85" t="s">
        <v>841</v>
      </c>
      <c r="S491" s="96"/>
      <c r="T491" s="85"/>
      <c r="U491" s="85"/>
      <c r="V491" s="85"/>
      <c r="W491" s="85"/>
      <c r="X491" s="85"/>
      <c r="Y491" s="85"/>
      <c r="Z491" s="85"/>
      <c r="AA491" s="85"/>
      <c r="AB491" s="96"/>
      <c r="AC491" s="177"/>
      <c r="AD491" s="96"/>
      <c r="AE491" s="85"/>
      <c r="AF491" s="85"/>
      <c r="AG491" s="85"/>
      <c r="AH491" s="15" t="s">
        <v>656</v>
      </c>
      <c r="AI491" s="85" t="s">
        <v>385</v>
      </c>
      <c r="AJ491" s="69" t="s">
        <v>1213</v>
      </c>
      <c r="AK491" s="85"/>
      <c r="AL491" s="85" t="s">
        <v>385</v>
      </c>
      <c r="AM491" s="587" t="s">
        <v>1264</v>
      </c>
      <c r="AN491" s="85"/>
      <c r="AO491" s="110" t="s">
        <v>402</v>
      </c>
      <c r="AP491" s="85"/>
      <c r="AQ491" s="85" t="s">
        <v>1790</v>
      </c>
      <c r="AR491" s="128"/>
      <c r="AS491" s="67"/>
    </row>
    <row r="492" spans="1:45" ht="15">
      <c r="A492" s="379"/>
      <c r="B492" s="70"/>
      <c r="C492" s="72"/>
      <c r="D492" s="74"/>
      <c r="E492" s="104"/>
      <c r="F492" s="104"/>
      <c r="G492" s="104"/>
      <c r="H492" s="78" t="s">
        <v>1791</v>
      </c>
      <c r="I492" s="129"/>
      <c r="J492" s="380"/>
      <c r="K492" s="386"/>
      <c r="L492" s="84" t="s">
        <v>291</v>
      </c>
      <c r="M492" s="85" t="s">
        <v>385</v>
      </c>
      <c r="N492" s="614" t="s">
        <v>656</v>
      </c>
      <c r="O492" s="613"/>
      <c r="P492" s="613"/>
      <c r="Q492" s="85" t="s">
        <v>385</v>
      </c>
      <c r="R492" s="85" t="s">
        <v>841</v>
      </c>
      <c r="S492" s="15" t="s">
        <v>656</v>
      </c>
      <c r="T492" s="85" t="s">
        <v>402</v>
      </c>
      <c r="U492" s="85" t="s">
        <v>402</v>
      </c>
      <c r="V492" s="85" t="s">
        <v>402</v>
      </c>
      <c r="W492" s="85" t="s">
        <v>402</v>
      </c>
      <c r="X492" s="85" t="s">
        <v>402</v>
      </c>
      <c r="Y492" s="85" t="s">
        <v>402</v>
      </c>
      <c r="Z492" s="85" t="s">
        <v>402</v>
      </c>
      <c r="AA492" s="85" t="s">
        <v>402</v>
      </c>
      <c r="AB492" s="96"/>
      <c r="AC492" s="177"/>
      <c r="AD492" s="96"/>
      <c r="AE492" s="85" t="s">
        <v>385</v>
      </c>
      <c r="AF492" s="85" t="s">
        <v>385</v>
      </c>
      <c r="AG492" s="85" t="s">
        <v>385</v>
      </c>
      <c r="AH492" s="15" t="s">
        <v>656</v>
      </c>
      <c r="AI492" s="85" t="s">
        <v>385</v>
      </c>
      <c r="AJ492" s="69" t="s">
        <v>1213</v>
      </c>
      <c r="AK492" s="85" t="s">
        <v>402</v>
      </c>
      <c r="AL492" s="85" t="s">
        <v>385</v>
      </c>
      <c r="AM492" s="587" t="s">
        <v>1264</v>
      </c>
      <c r="AN492" s="85"/>
      <c r="AO492" s="110"/>
      <c r="AP492" s="85"/>
      <c r="AQ492" s="85"/>
      <c r="AR492" s="128"/>
      <c r="AS492" s="67"/>
    </row>
    <row r="493" spans="1:45" ht="43">
      <c r="A493" s="379"/>
      <c r="B493" s="70" t="s">
        <v>356</v>
      </c>
      <c r="C493" s="72">
        <v>43444</v>
      </c>
      <c r="D493" s="74" t="s">
        <v>363</v>
      </c>
      <c r="E493" s="76">
        <v>43572</v>
      </c>
      <c r="F493" s="78" t="s">
        <v>360</v>
      </c>
      <c r="G493" s="76">
        <v>43581</v>
      </c>
      <c r="H493" s="78" t="s">
        <v>355</v>
      </c>
      <c r="I493" s="129" t="s">
        <v>1792</v>
      </c>
      <c r="J493" s="380" t="s">
        <v>262</v>
      </c>
      <c r="K493" s="126" t="s">
        <v>876</v>
      </c>
      <c r="L493" s="84" t="s">
        <v>291</v>
      </c>
      <c r="M493" s="85" t="s">
        <v>385</v>
      </c>
      <c r="N493" s="614" t="s">
        <v>657</v>
      </c>
      <c r="O493" s="613"/>
      <c r="P493" s="613"/>
      <c r="Q493" s="85" t="s">
        <v>385</v>
      </c>
      <c r="R493" s="85" t="s">
        <v>842</v>
      </c>
      <c r="S493" s="91" t="s">
        <v>657</v>
      </c>
      <c r="T493" s="85" t="s">
        <v>402</v>
      </c>
      <c r="U493" s="85" t="s">
        <v>402</v>
      </c>
      <c r="V493" s="85" t="s">
        <v>402</v>
      </c>
      <c r="W493" s="85" t="s">
        <v>402</v>
      </c>
      <c r="X493" s="85" t="s">
        <v>402</v>
      </c>
      <c r="Y493" s="85" t="s">
        <v>402</v>
      </c>
      <c r="Z493" s="85" t="s">
        <v>402</v>
      </c>
      <c r="AA493" s="85" t="s">
        <v>402</v>
      </c>
      <c r="AB493" s="96"/>
      <c r="AC493" s="177" t="s">
        <v>402</v>
      </c>
      <c r="AD493" s="96"/>
      <c r="AE493" s="85" t="s">
        <v>385</v>
      </c>
      <c r="AF493" s="85" t="s">
        <v>385</v>
      </c>
      <c r="AG493" s="85" t="s">
        <v>385</v>
      </c>
      <c r="AH493" s="91" t="s">
        <v>1786</v>
      </c>
      <c r="AI493" s="85" t="s">
        <v>1161</v>
      </c>
      <c r="AJ493" s="85" t="s">
        <v>1787</v>
      </c>
      <c r="AK493" s="85" t="s">
        <v>402</v>
      </c>
      <c r="AL493" s="96"/>
      <c r="AM493" s="110" t="s">
        <v>1788</v>
      </c>
      <c r="AN493" s="85" t="s">
        <v>402</v>
      </c>
      <c r="AO493" s="110" t="s">
        <v>1275</v>
      </c>
      <c r="AP493" s="85" t="s">
        <v>402</v>
      </c>
      <c r="AQ493" s="85" t="s">
        <v>1789</v>
      </c>
      <c r="AR493" s="128" t="s">
        <v>725</v>
      </c>
      <c r="AS493" s="67"/>
    </row>
    <row r="494" spans="1:45" ht="15">
      <c r="A494" s="379"/>
      <c r="B494" s="70"/>
      <c r="C494" s="72"/>
      <c r="D494" s="74"/>
      <c r="E494" s="104"/>
      <c r="F494" s="104"/>
      <c r="G494" s="104"/>
      <c r="H494" s="104"/>
      <c r="I494" s="129"/>
      <c r="J494" s="380"/>
      <c r="K494" s="386"/>
      <c r="L494" s="84"/>
      <c r="M494" s="85"/>
      <c r="N494" s="85"/>
      <c r="O494" s="85"/>
      <c r="P494" s="85"/>
      <c r="Q494" s="85"/>
      <c r="R494" s="85"/>
      <c r="S494" s="85"/>
      <c r="T494" s="85"/>
      <c r="U494" s="85"/>
      <c r="V494" s="85"/>
      <c r="W494" s="85"/>
      <c r="X494" s="85"/>
      <c r="Y494" s="85"/>
      <c r="Z494" s="85"/>
      <c r="AA494" s="85"/>
      <c r="AB494" s="96"/>
      <c r="AC494" s="177"/>
      <c r="AD494" s="96"/>
      <c r="AE494" s="85"/>
      <c r="AF494" s="85"/>
      <c r="AG494" s="85"/>
      <c r="AH494" s="15" t="s">
        <v>1793</v>
      </c>
      <c r="AI494" s="85"/>
      <c r="AJ494" s="85" t="s">
        <v>1214</v>
      </c>
      <c r="AK494" s="85"/>
      <c r="AL494" s="96"/>
      <c r="AM494" s="110" t="s">
        <v>1265</v>
      </c>
      <c r="AN494" s="85"/>
      <c r="AO494" s="110" t="s">
        <v>402</v>
      </c>
      <c r="AP494" s="85"/>
      <c r="AQ494" s="85"/>
      <c r="AR494" s="128"/>
      <c r="AS494" s="67"/>
    </row>
    <row r="495" spans="1:45" ht="15">
      <c r="A495" s="388"/>
      <c r="B495" s="164"/>
      <c r="C495" s="165"/>
      <c r="D495" s="166"/>
      <c r="E495" s="167"/>
      <c r="F495" s="167"/>
      <c r="G495" s="167"/>
      <c r="H495" s="167"/>
      <c r="I495" s="168"/>
      <c r="J495" s="390"/>
      <c r="K495" s="391"/>
      <c r="L495" s="124" t="s">
        <v>291</v>
      </c>
      <c r="M495" s="112" t="s">
        <v>385</v>
      </c>
      <c r="N495" s="120" t="s">
        <v>657</v>
      </c>
      <c r="O495" s="112"/>
      <c r="P495" s="112"/>
      <c r="Q495" s="112" t="s">
        <v>385</v>
      </c>
      <c r="R495" s="112" t="s">
        <v>842</v>
      </c>
      <c r="S495" s="120" t="s">
        <v>657</v>
      </c>
      <c r="T495" s="112" t="s">
        <v>402</v>
      </c>
      <c r="U495" s="112" t="s">
        <v>402</v>
      </c>
      <c r="V495" s="112" t="s">
        <v>402</v>
      </c>
      <c r="W495" s="112" t="s">
        <v>402</v>
      </c>
      <c r="X495" s="112" t="s">
        <v>402</v>
      </c>
      <c r="Y495" s="112" t="s">
        <v>402</v>
      </c>
      <c r="Z495" s="112" t="s">
        <v>402</v>
      </c>
      <c r="AA495" s="112" t="s">
        <v>402</v>
      </c>
      <c r="AB495" s="116"/>
      <c r="AC495" s="178"/>
      <c r="AD495" s="116"/>
      <c r="AE495" s="112" t="s">
        <v>385</v>
      </c>
      <c r="AF495" s="112" t="s">
        <v>385</v>
      </c>
      <c r="AG495" s="112" t="s">
        <v>385</v>
      </c>
      <c r="AH495" s="112" t="s">
        <v>1136</v>
      </c>
      <c r="AI495" s="112" t="s">
        <v>1161</v>
      </c>
      <c r="AJ495" s="112" t="s">
        <v>1214</v>
      </c>
      <c r="AK495" s="112" t="s">
        <v>402</v>
      </c>
      <c r="AL495" s="112" t="s">
        <v>385</v>
      </c>
      <c r="AM495" s="122" t="s">
        <v>1265</v>
      </c>
      <c r="AN495" s="112"/>
      <c r="AO495" s="122" t="s">
        <v>1275</v>
      </c>
      <c r="AP495" s="112"/>
      <c r="AQ495" s="112" t="s">
        <v>1789</v>
      </c>
      <c r="AR495" s="139" t="s">
        <v>725</v>
      </c>
      <c r="AS495" s="140"/>
    </row>
    <row r="496" spans="1:45" ht="43">
      <c r="A496" s="238"/>
      <c r="B496" s="70" t="s">
        <v>356</v>
      </c>
      <c r="C496" s="72">
        <v>43444</v>
      </c>
      <c r="D496" s="74" t="s">
        <v>492</v>
      </c>
      <c r="E496" s="76">
        <v>43576</v>
      </c>
      <c r="F496" s="78" t="s">
        <v>363</v>
      </c>
      <c r="G496" s="76">
        <v>43581</v>
      </c>
      <c r="H496" s="78" t="s">
        <v>355</v>
      </c>
      <c r="I496" s="125" t="s">
        <v>1794</v>
      </c>
      <c r="J496" s="82" t="s">
        <v>263</v>
      </c>
      <c r="K496" s="83" t="s">
        <v>786</v>
      </c>
      <c r="L496" s="84" t="s">
        <v>329</v>
      </c>
      <c r="M496" s="85" t="s">
        <v>382</v>
      </c>
      <c r="N496" s="614" t="s">
        <v>1795</v>
      </c>
      <c r="O496" s="613"/>
      <c r="P496" s="613"/>
      <c r="Q496" s="85" t="s">
        <v>385</v>
      </c>
      <c r="R496" s="85" t="s">
        <v>402</v>
      </c>
      <c r="S496" s="96"/>
      <c r="T496" s="85" t="s">
        <v>402</v>
      </c>
      <c r="U496" s="85" t="s">
        <v>402</v>
      </c>
      <c r="V496" s="85" t="s">
        <v>402</v>
      </c>
      <c r="W496" s="85" t="s">
        <v>402</v>
      </c>
      <c r="X496" s="85" t="s">
        <v>404</v>
      </c>
      <c r="Y496" s="85" t="s">
        <v>402</v>
      </c>
      <c r="Z496" s="85" t="s">
        <v>402</v>
      </c>
      <c r="AA496" s="85" t="s">
        <v>402</v>
      </c>
      <c r="AB496" s="96"/>
      <c r="AC496" s="85" t="s">
        <v>402</v>
      </c>
      <c r="AD496" s="96"/>
      <c r="AE496" s="85" t="s">
        <v>385</v>
      </c>
      <c r="AF496" s="85" t="s">
        <v>385</v>
      </c>
      <c r="AG496" s="85" t="s">
        <v>385</v>
      </c>
      <c r="AH496" s="96"/>
      <c r="AI496" s="85" t="s">
        <v>530</v>
      </c>
      <c r="AJ496" s="85" t="s">
        <v>402</v>
      </c>
      <c r="AK496" s="85" t="s">
        <v>402</v>
      </c>
      <c r="AL496" s="85" t="s">
        <v>385</v>
      </c>
      <c r="AM496" s="85" t="s">
        <v>402</v>
      </c>
      <c r="AN496" s="85" t="s">
        <v>402</v>
      </c>
      <c r="AO496" s="85" t="s">
        <v>402</v>
      </c>
      <c r="AP496" s="85" t="s">
        <v>402</v>
      </c>
      <c r="AQ496" s="85" t="s">
        <v>1796</v>
      </c>
      <c r="AR496" s="128" t="s">
        <v>725</v>
      </c>
      <c r="AS496" s="67"/>
    </row>
    <row r="497" spans="1:45" ht="15">
      <c r="A497" s="379"/>
      <c r="B497" s="70"/>
      <c r="C497" s="72"/>
      <c r="D497" s="74"/>
      <c r="E497" s="104"/>
      <c r="F497" s="104"/>
      <c r="G497" s="104"/>
      <c r="H497" s="104"/>
      <c r="I497" s="129"/>
      <c r="J497" s="380"/>
      <c r="K497" s="386"/>
      <c r="L497" s="84"/>
      <c r="M497" s="85"/>
      <c r="N497" s="85"/>
      <c r="O497" s="15" t="s">
        <v>1797</v>
      </c>
      <c r="P497" s="196" t="s">
        <v>710</v>
      </c>
      <c r="Q497" s="85" t="s">
        <v>797</v>
      </c>
      <c r="R497" s="85"/>
      <c r="S497" s="85" t="s">
        <v>680</v>
      </c>
      <c r="T497" s="85"/>
      <c r="U497" s="85"/>
      <c r="V497" s="85"/>
      <c r="W497" s="85"/>
      <c r="X497" s="85" t="s">
        <v>402</v>
      </c>
      <c r="Y497" s="85"/>
      <c r="Z497" s="85"/>
      <c r="AA497" s="85"/>
      <c r="AB497" s="85" t="s">
        <v>948</v>
      </c>
      <c r="AC497" s="177"/>
      <c r="AD497" s="85" t="s">
        <v>680</v>
      </c>
      <c r="AE497" s="85"/>
      <c r="AF497" s="85"/>
      <c r="AG497" s="85"/>
      <c r="AH497" s="85" t="s">
        <v>680</v>
      </c>
      <c r="AI497" s="177"/>
      <c r="AJ497" s="85"/>
      <c r="AK497" s="85"/>
      <c r="AL497" s="85"/>
      <c r="AM497" s="85"/>
      <c r="AN497" s="85"/>
      <c r="AO497" s="85"/>
      <c r="AP497" s="85"/>
      <c r="AQ497" s="85" t="s">
        <v>1798</v>
      </c>
      <c r="AR497" s="128"/>
      <c r="AS497" s="67"/>
    </row>
    <row r="498" spans="1:45" ht="15">
      <c r="A498" s="379"/>
      <c r="B498" s="70"/>
      <c r="C498" s="72"/>
      <c r="D498" s="74"/>
      <c r="E498" s="104"/>
      <c r="F498" s="104"/>
      <c r="G498" s="104"/>
      <c r="H498" s="78" t="s">
        <v>1799</v>
      </c>
      <c r="I498" s="129"/>
      <c r="J498" s="380"/>
      <c r="K498" s="386"/>
      <c r="L498" s="84" t="s">
        <v>329</v>
      </c>
      <c r="M498" s="85" t="s">
        <v>382</v>
      </c>
      <c r="N498" s="91" t="s">
        <v>659</v>
      </c>
      <c r="P498" s="196" t="s">
        <v>710</v>
      </c>
      <c r="Q498" s="85" t="s">
        <v>797</v>
      </c>
      <c r="R498" s="85"/>
      <c r="S498" s="85"/>
      <c r="T498" s="85" t="s">
        <v>402</v>
      </c>
      <c r="U498" s="85" t="s">
        <v>402</v>
      </c>
      <c r="V498" s="85" t="s">
        <v>402</v>
      </c>
      <c r="W498" s="85" t="s">
        <v>402</v>
      </c>
      <c r="X498" s="85" t="s">
        <v>402</v>
      </c>
      <c r="Y498" s="85" t="s">
        <v>402</v>
      </c>
      <c r="Z498" s="85" t="s">
        <v>402</v>
      </c>
      <c r="AA498" s="85" t="s">
        <v>402</v>
      </c>
      <c r="AB498" s="85" t="s">
        <v>948</v>
      </c>
      <c r="AC498" s="177"/>
      <c r="AD498" s="85"/>
      <c r="AE498" s="85" t="s">
        <v>385</v>
      </c>
      <c r="AF498" s="85" t="s">
        <v>385</v>
      </c>
      <c r="AG498" s="85" t="s">
        <v>385</v>
      </c>
      <c r="AH498" s="85"/>
      <c r="AI498" s="177" t="s">
        <v>530</v>
      </c>
      <c r="AJ498" s="85"/>
      <c r="AK498" s="85" t="s">
        <v>402</v>
      </c>
      <c r="AL498" s="85" t="s">
        <v>385</v>
      </c>
      <c r="AM498" s="85"/>
      <c r="AN498" s="85"/>
      <c r="AO498" s="85"/>
      <c r="AP498" s="85"/>
      <c r="AQ498" s="85"/>
      <c r="AR498" s="128"/>
      <c r="AS498" s="67"/>
    </row>
    <row r="499" spans="1:45" ht="43">
      <c r="A499" s="379"/>
      <c r="B499" s="70" t="s">
        <v>356</v>
      </c>
      <c r="C499" s="72">
        <v>43444</v>
      </c>
      <c r="D499" s="74" t="s">
        <v>492</v>
      </c>
      <c r="E499" s="76">
        <v>43576</v>
      </c>
      <c r="F499" s="78" t="s">
        <v>363</v>
      </c>
      <c r="G499" s="76">
        <v>43581</v>
      </c>
      <c r="H499" s="78" t="s">
        <v>355</v>
      </c>
      <c r="I499" s="129" t="s">
        <v>1800</v>
      </c>
      <c r="J499" s="380" t="s">
        <v>264</v>
      </c>
      <c r="K499" s="126" t="s">
        <v>876</v>
      </c>
      <c r="L499" s="84" t="s">
        <v>349</v>
      </c>
      <c r="M499" s="85" t="s">
        <v>385</v>
      </c>
      <c r="N499" s="614" t="s">
        <v>1801</v>
      </c>
      <c r="O499" s="613"/>
      <c r="P499" s="96"/>
      <c r="Q499" s="85" t="s">
        <v>385</v>
      </c>
      <c r="R499" s="85" t="s">
        <v>402</v>
      </c>
      <c r="S499" s="96"/>
      <c r="T499" s="85" t="s">
        <v>402</v>
      </c>
      <c r="U499" s="85" t="s">
        <v>402</v>
      </c>
      <c r="V499" s="85" t="s">
        <v>402</v>
      </c>
      <c r="W499" s="85" t="s">
        <v>402</v>
      </c>
      <c r="X499" s="85" t="s">
        <v>404</v>
      </c>
      <c r="Y499" s="85" t="s">
        <v>402</v>
      </c>
      <c r="Z499" s="85" t="s">
        <v>402</v>
      </c>
      <c r="AA499" s="85" t="s">
        <v>402</v>
      </c>
      <c r="AB499" s="96"/>
      <c r="AC499" s="177" t="s">
        <v>402</v>
      </c>
      <c r="AD499" s="96"/>
      <c r="AE499" s="85" t="s">
        <v>385</v>
      </c>
      <c r="AF499" s="85" t="s">
        <v>385</v>
      </c>
      <c r="AG499" s="85" t="s">
        <v>385</v>
      </c>
      <c r="AH499" s="91" t="s">
        <v>1137</v>
      </c>
      <c r="AI499" s="85" t="s">
        <v>529</v>
      </c>
      <c r="AJ499" s="85" t="s">
        <v>529</v>
      </c>
      <c r="AK499" s="85" t="s">
        <v>402</v>
      </c>
      <c r="AL499" s="85" t="s">
        <v>355</v>
      </c>
      <c r="AM499" s="85" t="s">
        <v>1216</v>
      </c>
      <c r="AN499" s="85" t="s">
        <v>355</v>
      </c>
      <c r="AO499" s="85" t="s">
        <v>355</v>
      </c>
      <c r="AP499" s="85" t="s">
        <v>478</v>
      </c>
      <c r="AQ499" s="85" t="s">
        <v>1802</v>
      </c>
      <c r="AR499" s="128" t="s">
        <v>725</v>
      </c>
      <c r="AS499" s="67"/>
    </row>
    <row r="500" spans="1:45" ht="15">
      <c r="A500" s="379"/>
      <c r="B500" s="70"/>
      <c r="C500" s="72"/>
      <c r="D500" s="74"/>
      <c r="E500" s="104"/>
      <c r="F500" s="104"/>
      <c r="G500" s="104"/>
      <c r="H500" s="104"/>
      <c r="I500" s="129"/>
      <c r="J500" s="380"/>
      <c r="K500" s="386"/>
      <c r="L500" s="84"/>
      <c r="M500" s="85" t="s">
        <v>401</v>
      </c>
      <c r="N500" s="85" t="s">
        <v>1803</v>
      </c>
      <c r="O500" s="85" t="s">
        <v>680</v>
      </c>
      <c r="P500" s="85" t="s">
        <v>680</v>
      </c>
      <c r="Q500" s="85"/>
      <c r="R500" s="85"/>
      <c r="S500" s="85" t="s">
        <v>680</v>
      </c>
      <c r="T500" s="85"/>
      <c r="U500" s="85"/>
      <c r="V500" s="85"/>
      <c r="W500" s="85"/>
      <c r="X500" s="85" t="s">
        <v>402</v>
      </c>
      <c r="Y500" s="85"/>
      <c r="Z500" s="85"/>
      <c r="AA500" s="85"/>
      <c r="AB500" s="96"/>
      <c r="AC500" s="177"/>
      <c r="AD500" s="85" t="s">
        <v>680</v>
      </c>
      <c r="AE500" s="85"/>
      <c r="AF500" s="85"/>
      <c r="AG500" s="85"/>
      <c r="AH500" s="85"/>
      <c r="AI500" s="85"/>
      <c r="AJ500" s="85" t="s">
        <v>1804</v>
      </c>
      <c r="AK500" s="85"/>
      <c r="AL500" s="85" t="s">
        <v>1805</v>
      </c>
      <c r="AM500" s="85" t="s">
        <v>1806</v>
      </c>
      <c r="AN500" s="85" t="s">
        <v>1805</v>
      </c>
      <c r="AO500" s="85" t="s">
        <v>1805</v>
      </c>
      <c r="AP500" s="85" t="s">
        <v>1805</v>
      </c>
      <c r="AQ500" s="85"/>
      <c r="AR500" s="128"/>
      <c r="AS500" s="67"/>
    </row>
    <row r="501" spans="1:45" ht="15">
      <c r="A501" s="379"/>
      <c r="B501" s="70"/>
      <c r="C501" s="72"/>
      <c r="D501" s="74"/>
      <c r="E501" s="104"/>
      <c r="F501" s="104"/>
      <c r="G501" s="104"/>
      <c r="H501" s="104"/>
      <c r="I501" s="129"/>
      <c r="J501" s="380"/>
      <c r="K501" s="386"/>
      <c r="L501" s="84" t="s">
        <v>349</v>
      </c>
      <c r="M501" s="85" t="s">
        <v>401</v>
      </c>
      <c r="N501" s="612" t="s">
        <v>663</v>
      </c>
      <c r="O501" s="613"/>
      <c r="P501" s="85"/>
      <c r="Q501" s="85" t="s">
        <v>385</v>
      </c>
      <c r="R501" s="85"/>
      <c r="S501" s="85"/>
      <c r="T501" s="85" t="s">
        <v>402</v>
      </c>
      <c r="U501" s="85" t="s">
        <v>402</v>
      </c>
      <c r="V501" s="85" t="s">
        <v>402</v>
      </c>
      <c r="W501" s="85" t="s">
        <v>402</v>
      </c>
      <c r="X501" s="85" t="s">
        <v>402</v>
      </c>
      <c r="Y501" s="85" t="s">
        <v>402</v>
      </c>
      <c r="Z501" s="85" t="s">
        <v>402</v>
      </c>
      <c r="AA501" s="85" t="s">
        <v>402</v>
      </c>
      <c r="AB501" s="96"/>
      <c r="AC501" s="177"/>
      <c r="AD501" s="85"/>
      <c r="AE501" s="85" t="s">
        <v>385</v>
      </c>
      <c r="AF501" s="85" t="s">
        <v>385</v>
      </c>
      <c r="AG501" s="85" t="s">
        <v>385</v>
      </c>
      <c r="AH501" s="91" t="s">
        <v>1137</v>
      </c>
      <c r="AI501" s="177" t="s">
        <v>477</v>
      </c>
      <c r="AJ501" s="85"/>
      <c r="AK501" s="85" t="s">
        <v>402</v>
      </c>
      <c r="AL501" s="85" t="s">
        <v>355</v>
      </c>
      <c r="AM501" s="85"/>
      <c r="AN501" s="85"/>
      <c r="AO501" s="85"/>
      <c r="AP501" s="85"/>
      <c r="AQ501" s="85"/>
      <c r="AR501" s="128"/>
      <c r="AS501" s="67"/>
    </row>
    <row r="502" spans="1:45" ht="71">
      <c r="A502" s="379"/>
      <c r="B502" s="70" t="s">
        <v>356</v>
      </c>
      <c r="C502" s="72">
        <v>43444</v>
      </c>
      <c r="D502" s="74" t="s">
        <v>492</v>
      </c>
      <c r="E502" s="76">
        <v>43576</v>
      </c>
      <c r="F502" s="78" t="s">
        <v>363</v>
      </c>
      <c r="G502" s="76">
        <v>43581</v>
      </c>
      <c r="H502" s="78" t="s">
        <v>355</v>
      </c>
      <c r="I502" s="129" t="s">
        <v>1807</v>
      </c>
      <c r="J502" s="380" t="s">
        <v>266</v>
      </c>
      <c r="K502" s="126" t="s">
        <v>524</v>
      </c>
      <c r="L502" s="84" t="s">
        <v>289</v>
      </c>
      <c r="M502" s="85" t="s">
        <v>385</v>
      </c>
      <c r="N502" s="614" t="s">
        <v>664</v>
      </c>
      <c r="O502" s="613"/>
      <c r="P502" s="96"/>
      <c r="Q502" s="96"/>
      <c r="R502" s="588"/>
      <c r="S502" s="91" t="s">
        <v>862</v>
      </c>
      <c r="T502" s="633" t="s">
        <v>402</v>
      </c>
      <c r="U502" s="85" t="s">
        <v>402</v>
      </c>
      <c r="V502" s="85" t="s">
        <v>402</v>
      </c>
      <c r="W502" s="85" t="s">
        <v>402</v>
      </c>
      <c r="X502" s="85" t="s">
        <v>402</v>
      </c>
      <c r="Y502" s="85" t="s">
        <v>402</v>
      </c>
      <c r="Z502" s="85" t="s">
        <v>402</v>
      </c>
      <c r="AA502" s="85" t="s">
        <v>402</v>
      </c>
      <c r="AB502" s="96"/>
      <c r="AC502" s="177" t="s">
        <v>402</v>
      </c>
      <c r="AD502" s="96"/>
      <c r="AE502" s="85" t="s">
        <v>385</v>
      </c>
      <c r="AF502" s="85" t="s">
        <v>385</v>
      </c>
      <c r="AG502" s="85" t="s">
        <v>385</v>
      </c>
      <c r="AH502" s="91" t="s">
        <v>1087</v>
      </c>
      <c r="AI502" s="177" t="s">
        <v>1241</v>
      </c>
      <c r="AJ502" s="85" t="s">
        <v>1242</v>
      </c>
      <c r="AK502" s="589" t="s">
        <v>733</v>
      </c>
      <c r="AL502" s="85" t="s">
        <v>385</v>
      </c>
      <c r="AM502" s="85" t="s">
        <v>402</v>
      </c>
      <c r="AN502" s="85" t="s">
        <v>1808</v>
      </c>
      <c r="AO502" s="85" t="s">
        <v>402</v>
      </c>
      <c r="AP502" s="85" t="s">
        <v>402</v>
      </c>
      <c r="AQ502" s="85" t="s">
        <v>1809</v>
      </c>
      <c r="AR502" s="128" t="s">
        <v>725</v>
      </c>
      <c r="AS502" s="67"/>
    </row>
    <row r="503" spans="1:45" ht="15">
      <c r="A503" s="379"/>
      <c r="B503" s="70"/>
      <c r="C503" s="72"/>
      <c r="D503" s="74"/>
      <c r="E503" s="104"/>
      <c r="F503" s="104"/>
      <c r="G503" s="104"/>
      <c r="H503" s="104"/>
      <c r="I503" s="129"/>
      <c r="J503" s="380"/>
      <c r="K503" s="386"/>
      <c r="L503" s="84"/>
      <c r="M503" s="85"/>
      <c r="N503" s="85"/>
      <c r="O503" s="85" t="s">
        <v>680</v>
      </c>
      <c r="P503" s="85" t="s">
        <v>680</v>
      </c>
      <c r="Q503" s="85" t="s">
        <v>385</v>
      </c>
      <c r="R503" s="590" t="s">
        <v>402</v>
      </c>
      <c r="S503" s="85" t="s">
        <v>1810</v>
      </c>
      <c r="T503" s="633"/>
      <c r="U503" s="85"/>
      <c r="V503" s="85"/>
      <c r="W503" s="85"/>
      <c r="X503" s="85"/>
      <c r="Y503" s="85"/>
      <c r="Z503" s="85"/>
      <c r="AA503" s="85"/>
      <c r="AB503" s="96"/>
      <c r="AC503" s="177"/>
      <c r="AD503" s="96"/>
      <c r="AE503" s="85"/>
      <c r="AF503" s="85"/>
      <c r="AG503" s="85"/>
      <c r="AH503" s="85"/>
      <c r="AI503" s="130" t="s">
        <v>460</v>
      </c>
      <c r="AJ503" s="85" t="s">
        <v>1215</v>
      </c>
      <c r="AK503" s="589" t="s">
        <v>402</v>
      </c>
      <c r="AL503" s="85"/>
      <c r="AM503" s="85"/>
      <c r="AN503" s="85" t="s">
        <v>402</v>
      </c>
      <c r="AO503" s="85"/>
      <c r="AP503" s="85"/>
      <c r="AQ503" s="85" t="s">
        <v>1811</v>
      </c>
      <c r="AR503" s="128"/>
      <c r="AS503" s="67"/>
    </row>
    <row r="504" spans="1:45" ht="15">
      <c r="A504" s="379"/>
      <c r="B504" s="70"/>
      <c r="C504" s="72"/>
      <c r="D504" s="74"/>
      <c r="E504" s="104"/>
      <c r="F504" s="104"/>
      <c r="G504" s="104"/>
      <c r="H504" s="104"/>
      <c r="I504" s="129"/>
      <c r="J504" s="380"/>
      <c r="K504" s="386"/>
      <c r="L504" s="84" t="s">
        <v>289</v>
      </c>
      <c r="M504" s="85" t="s">
        <v>385</v>
      </c>
      <c r="N504" s="91" t="s">
        <v>664</v>
      </c>
      <c r="O504" s="85"/>
      <c r="P504" s="85"/>
      <c r="Q504" s="85" t="s">
        <v>385</v>
      </c>
      <c r="R504" s="590"/>
      <c r="S504" s="85"/>
      <c r="T504" s="633"/>
      <c r="U504" s="85" t="s">
        <v>402</v>
      </c>
      <c r="V504" s="85" t="s">
        <v>402</v>
      </c>
      <c r="W504" s="85" t="s">
        <v>402</v>
      </c>
      <c r="X504" s="85" t="s">
        <v>402</v>
      </c>
      <c r="Y504" s="85" t="s">
        <v>402</v>
      </c>
      <c r="Z504" s="85" t="s">
        <v>402</v>
      </c>
      <c r="AA504" s="85" t="s">
        <v>402</v>
      </c>
      <c r="AB504" s="96"/>
      <c r="AC504" s="177"/>
      <c r="AD504" s="96"/>
      <c r="AE504" s="85" t="s">
        <v>385</v>
      </c>
      <c r="AF504" s="85" t="s">
        <v>385</v>
      </c>
      <c r="AG504" s="85" t="s">
        <v>385</v>
      </c>
      <c r="AH504" s="91" t="s">
        <v>1087</v>
      </c>
      <c r="AI504" s="130" t="s">
        <v>460</v>
      </c>
      <c r="AJ504" s="85"/>
      <c r="AK504" s="589" t="s">
        <v>402</v>
      </c>
      <c r="AL504" s="85" t="s">
        <v>385</v>
      </c>
      <c r="AM504" s="85"/>
      <c r="AN504" s="85"/>
      <c r="AO504" s="85"/>
      <c r="AP504" s="85"/>
      <c r="AQ504" s="85"/>
      <c r="AR504" s="128"/>
      <c r="AS504" s="67"/>
    </row>
    <row r="505" spans="1:45" ht="71">
      <c r="A505" s="379"/>
      <c r="B505" s="70" t="s">
        <v>356</v>
      </c>
      <c r="C505" s="72">
        <v>43440</v>
      </c>
      <c r="D505" s="74" t="s">
        <v>492</v>
      </c>
      <c r="E505" s="76">
        <v>43576</v>
      </c>
      <c r="F505" s="78" t="s">
        <v>363</v>
      </c>
      <c r="G505" s="76">
        <v>43581</v>
      </c>
      <c r="H505" s="78" t="s">
        <v>355</v>
      </c>
      <c r="I505" s="129" t="s">
        <v>1812</v>
      </c>
      <c r="J505" s="105" t="s">
        <v>267</v>
      </c>
      <c r="K505" s="126" t="s">
        <v>524</v>
      </c>
      <c r="L505" s="84" t="s">
        <v>334</v>
      </c>
      <c r="M505" s="85" t="s">
        <v>385</v>
      </c>
      <c r="N505" s="96"/>
      <c r="O505" s="96"/>
      <c r="P505" s="96"/>
      <c r="Q505" s="85" t="s">
        <v>385</v>
      </c>
      <c r="R505" s="85" t="s">
        <v>402</v>
      </c>
      <c r="S505" s="96"/>
      <c r="T505" s="85" t="s">
        <v>402</v>
      </c>
      <c r="U505" s="85" t="s">
        <v>402</v>
      </c>
      <c r="V505" s="85" t="s">
        <v>402</v>
      </c>
      <c r="W505" s="85" t="s">
        <v>402</v>
      </c>
      <c r="X505" s="85" t="s">
        <v>402</v>
      </c>
      <c r="Y505" s="85" t="s">
        <v>402</v>
      </c>
      <c r="Z505" s="85" t="s">
        <v>402</v>
      </c>
      <c r="AA505" s="85" t="s">
        <v>402</v>
      </c>
      <c r="AB505" s="96"/>
      <c r="AC505" s="85" t="s">
        <v>385</v>
      </c>
      <c r="AD505" s="96"/>
      <c r="AE505" s="85" t="s">
        <v>385</v>
      </c>
      <c r="AF505" s="85" t="s">
        <v>385</v>
      </c>
      <c r="AG505" s="85" t="s">
        <v>385</v>
      </c>
      <c r="AH505" s="91" t="s">
        <v>1087</v>
      </c>
      <c r="AI505" s="177" t="s">
        <v>652</v>
      </c>
      <c r="AJ505" s="591" t="s">
        <v>1813</v>
      </c>
      <c r="AK505" s="589" t="s">
        <v>733</v>
      </c>
      <c r="AL505" s="85" t="s">
        <v>385</v>
      </c>
      <c r="AM505" s="85" t="s">
        <v>402</v>
      </c>
      <c r="AN505" s="85" t="s">
        <v>402</v>
      </c>
      <c r="AO505" s="85" t="s">
        <v>402</v>
      </c>
      <c r="AP505" s="85" t="s">
        <v>402</v>
      </c>
      <c r="AQ505" s="85" t="s">
        <v>1814</v>
      </c>
      <c r="AR505" s="128" t="s">
        <v>1449</v>
      </c>
      <c r="AS505" s="67"/>
    </row>
    <row r="506" spans="1:45" ht="15">
      <c r="A506" s="379"/>
      <c r="B506" s="70"/>
      <c r="C506" s="72"/>
      <c r="D506" s="74"/>
      <c r="E506" s="104"/>
      <c r="F506" s="104"/>
      <c r="G506" s="104"/>
      <c r="H506" s="104"/>
      <c r="I506" s="129"/>
      <c r="J506" s="105"/>
      <c r="K506" s="126"/>
      <c r="L506" s="84"/>
      <c r="M506" s="85"/>
      <c r="N506" s="85" t="s">
        <v>680</v>
      </c>
      <c r="O506" s="85" t="s">
        <v>680</v>
      </c>
      <c r="P506" s="69" t="s">
        <v>680</v>
      </c>
      <c r="Q506" s="85"/>
      <c r="R506" s="85"/>
      <c r="S506" s="85" t="s">
        <v>680</v>
      </c>
      <c r="T506" s="85"/>
      <c r="U506" s="85"/>
      <c r="V506" s="85"/>
      <c r="W506" s="85"/>
      <c r="X506" s="85"/>
      <c r="Y506" s="85"/>
      <c r="Z506" s="85"/>
      <c r="AA506" s="85"/>
      <c r="AB506" s="96"/>
      <c r="AC506" s="85"/>
      <c r="AD506" s="85" t="s">
        <v>680</v>
      </c>
      <c r="AE506" s="85"/>
      <c r="AF506" s="85"/>
      <c r="AG506" s="85"/>
      <c r="AH506" s="85"/>
      <c r="AI506" s="130" t="s">
        <v>460</v>
      </c>
      <c r="AJ506" s="85" t="s">
        <v>1215</v>
      </c>
      <c r="AK506" s="589" t="s">
        <v>402</v>
      </c>
      <c r="AL506" s="85"/>
      <c r="AM506" s="85"/>
      <c r="AN506" s="85"/>
      <c r="AO506" s="85"/>
      <c r="AP506" s="85"/>
      <c r="AQ506" s="85" t="s">
        <v>1815</v>
      </c>
      <c r="AR506" s="128"/>
      <c r="AS506" s="67"/>
    </row>
    <row r="507" spans="1:45" ht="15">
      <c r="A507" s="379"/>
      <c r="B507" s="70"/>
      <c r="C507" s="72"/>
      <c r="D507" s="74"/>
      <c r="E507" s="104"/>
      <c r="F507" s="104"/>
      <c r="G507" s="104"/>
      <c r="H507" s="104"/>
      <c r="I507" s="129"/>
      <c r="J507" s="105"/>
      <c r="K507" s="106"/>
      <c r="L507" s="84" t="s">
        <v>334</v>
      </c>
      <c r="M507" s="85" t="s">
        <v>385</v>
      </c>
      <c r="N507" s="85"/>
      <c r="O507" s="85"/>
      <c r="P507" s="69"/>
      <c r="Q507" s="85" t="s">
        <v>385</v>
      </c>
      <c r="R507" s="85"/>
      <c r="S507" s="85"/>
      <c r="T507" s="85" t="s">
        <v>402</v>
      </c>
      <c r="U507" s="85" t="s">
        <v>402</v>
      </c>
      <c r="V507" s="85" t="s">
        <v>402</v>
      </c>
      <c r="W507" s="85" t="s">
        <v>402</v>
      </c>
      <c r="X507" s="85" t="s">
        <v>402</v>
      </c>
      <c r="Y507" s="85" t="s">
        <v>402</v>
      </c>
      <c r="Z507" s="85" t="s">
        <v>402</v>
      </c>
      <c r="AA507" s="85" t="s">
        <v>402</v>
      </c>
      <c r="AB507" s="96"/>
      <c r="AC507" s="85"/>
      <c r="AD507" s="85"/>
      <c r="AE507" s="85" t="s">
        <v>385</v>
      </c>
      <c r="AF507" s="85" t="s">
        <v>385</v>
      </c>
      <c r="AG507" s="85" t="s">
        <v>385</v>
      </c>
      <c r="AH507" s="91" t="s">
        <v>1087</v>
      </c>
      <c r="AI507" s="130" t="s">
        <v>460</v>
      </c>
      <c r="AJ507" s="85" t="s">
        <v>1215</v>
      </c>
      <c r="AK507" s="589" t="s">
        <v>402</v>
      </c>
      <c r="AL507" s="85" t="s">
        <v>385</v>
      </c>
      <c r="AM507" s="85"/>
      <c r="AN507" s="85"/>
      <c r="AO507" s="85"/>
      <c r="AP507" s="85"/>
      <c r="AQ507" s="85"/>
      <c r="AR507" s="128"/>
      <c r="AS507" s="67"/>
    </row>
    <row r="508" spans="1:45" ht="71">
      <c r="A508" s="379"/>
      <c r="B508" s="70" t="s">
        <v>356</v>
      </c>
      <c r="C508" s="72">
        <v>43440</v>
      </c>
      <c r="D508" s="74" t="s">
        <v>363</v>
      </c>
      <c r="E508" s="76">
        <v>43566</v>
      </c>
      <c r="F508" s="78" t="s">
        <v>360</v>
      </c>
      <c r="G508" s="76">
        <v>43581</v>
      </c>
      <c r="H508" s="78" t="s">
        <v>355</v>
      </c>
      <c r="I508" s="129" t="s">
        <v>1816</v>
      </c>
      <c r="J508" s="105" t="s">
        <v>268</v>
      </c>
      <c r="K508" s="126" t="s">
        <v>524</v>
      </c>
      <c r="L508" s="84" t="s">
        <v>350</v>
      </c>
      <c r="M508" s="85" t="s">
        <v>385</v>
      </c>
      <c r="N508" s="96"/>
      <c r="O508" s="96"/>
      <c r="P508" s="96"/>
      <c r="Q508" s="633"/>
      <c r="R508" s="96"/>
      <c r="S508" s="96"/>
      <c r="T508" s="96"/>
      <c r="U508" s="96"/>
      <c r="V508" s="96"/>
      <c r="W508" s="96"/>
      <c r="X508" s="96"/>
      <c r="Y508" s="96"/>
      <c r="Z508" s="96"/>
      <c r="AA508" s="96"/>
      <c r="AB508" s="96"/>
      <c r="AC508" s="96"/>
      <c r="AD508" s="96"/>
      <c r="AE508" s="96"/>
      <c r="AF508" s="96"/>
      <c r="AG508" s="96"/>
      <c r="AH508" s="91" t="s">
        <v>1087</v>
      </c>
      <c r="AI508" s="590" t="s">
        <v>1817</v>
      </c>
      <c r="AJ508" s="177" t="s">
        <v>1216</v>
      </c>
      <c r="AK508" s="85" t="s">
        <v>402</v>
      </c>
      <c r="AL508" s="85" t="s">
        <v>385</v>
      </c>
      <c r="AM508" s="85" t="s">
        <v>402</v>
      </c>
      <c r="AN508" s="85" t="s">
        <v>402</v>
      </c>
      <c r="AO508" s="85" t="s">
        <v>402</v>
      </c>
      <c r="AP508" s="85" t="s">
        <v>402</v>
      </c>
      <c r="AQ508" s="85" t="s">
        <v>1818</v>
      </c>
      <c r="AR508" s="128" t="s">
        <v>725</v>
      </c>
      <c r="AS508" s="29"/>
    </row>
    <row r="509" spans="1:45" ht="15">
      <c r="A509" s="379"/>
      <c r="B509" s="70"/>
      <c r="C509" s="72"/>
      <c r="D509" s="74"/>
      <c r="E509" s="76"/>
      <c r="F509" s="76"/>
      <c r="G509" s="76"/>
      <c r="H509" s="76"/>
      <c r="I509" s="129"/>
      <c r="J509" s="105"/>
      <c r="K509" s="106"/>
      <c r="L509" s="84"/>
      <c r="M509" s="85"/>
      <c r="N509" s="85" t="s">
        <v>1819</v>
      </c>
      <c r="O509" s="96"/>
      <c r="P509" s="96"/>
      <c r="Q509" s="633"/>
      <c r="R509" s="96"/>
      <c r="S509" s="96"/>
      <c r="T509" s="96"/>
      <c r="U509" s="96"/>
      <c r="V509" s="96"/>
      <c r="W509" s="96"/>
      <c r="X509" s="96"/>
      <c r="Y509" s="96"/>
      <c r="Z509" s="96"/>
      <c r="AA509" s="96"/>
      <c r="AB509" s="96"/>
      <c r="AC509" s="96"/>
      <c r="AD509" s="96"/>
      <c r="AE509" s="96"/>
      <c r="AF509" s="96"/>
      <c r="AG509" s="96"/>
      <c r="AH509" s="85" t="s">
        <v>1820</v>
      </c>
      <c r="AI509" s="590" t="s">
        <v>1821</v>
      </c>
      <c r="AJ509" s="177" t="s">
        <v>1822</v>
      </c>
      <c r="AK509" s="85"/>
      <c r="AL509" s="85" t="s">
        <v>1823</v>
      </c>
      <c r="AM509" s="85"/>
      <c r="AN509" s="85"/>
      <c r="AO509" s="85"/>
      <c r="AP509" s="85"/>
      <c r="AQ509" s="85"/>
      <c r="AR509" s="128"/>
      <c r="AS509" s="29"/>
    </row>
    <row r="510" spans="1:45" ht="15">
      <c r="A510" s="388"/>
      <c r="B510" s="164"/>
      <c r="C510" s="165"/>
      <c r="D510" s="166"/>
      <c r="E510" s="193"/>
      <c r="F510" s="193"/>
      <c r="G510" s="193"/>
      <c r="H510" s="193"/>
      <c r="I510" s="168"/>
      <c r="J510" s="169"/>
      <c r="K510" s="170"/>
      <c r="L510" s="124" t="s">
        <v>350</v>
      </c>
      <c r="M510" s="112" t="s">
        <v>385</v>
      </c>
      <c r="N510" s="132" t="s">
        <v>665</v>
      </c>
      <c r="O510" s="116"/>
      <c r="P510" s="116"/>
      <c r="Q510" s="634"/>
      <c r="R510" s="116"/>
      <c r="S510" s="116"/>
      <c r="T510" s="112" t="s">
        <v>402</v>
      </c>
      <c r="U510" s="112" t="s">
        <v>402</v>
      </c>
      <c r="V510" s="112" t="s">
        <v>402</v>
      </c>
      <c r="W510" s="112" t="s">
        <v>402</v>
      </c>
      <c r="X510" s="112" t="s">
        <v>402</v>
      </c>
      <c r="Y510" s="112" t="s">
        <v>402</v>
      </c>
      <c r="Z510" s="112" t="s">
        <v>402</v>
      </c>
      <c r="AA510" s="112" t="s">
        <v>402</v>
      </c>
      <c r="AB510" s="116"/>
      <c r="AC510" s="116"/>
      <c r="AD510" s="116"/>
      <c r="AE510" s="112" t="s">
        <v>385</v>
      </c>
      <c r="AF510" s="112" t="s">
        <v>385</v>
      </c>
      <c r="AG510" s="112" t="s">
        <v>385</v>
      </c>
      <c r="AH510" s="112" t="s">
        <v>1141</v>
      </c>
      <c r="AI510" s="132" t="s">
        <v>642</v>
      </c>
      <c r="AJ510" s="178" t="s">
        <v>1216</v>
      </c>
      <c r="AK510" s="112" t="s">
        <v>402</v>
      </c>
      <c r="AL510" s="112" t="s">
        <v>385</v>
      </c>
      <c r="AM510" s="112"/>
      <c r="AN510" s="112"/>
      <c r="AO510" s="112"/>
      <c r="AP510" s="112"/>
      <c r="AQ510" s="112" t="s">
        <v>1824</v>
      </c>
      <c r="AR510" s="139" t="s">
        <v>725</v>
      </c>
      <c r="AS510" s="172"/>
    </row>
    <row r="511" spans="1:45" ht="71">
      <c r="A511" s="379"/>
      <c r="B511" s="70" t="s">
        <v>356</v>
      </c>
      <c r="C511" s="72">
        <v>43440</v>
      </c>
      <c r="D511" s="74" t="s">
        <v>658</v>
      </c>
      <c r="E511" s="76">
        <v>43575</v>
      </c>
      <c r="F511" s="78" t="s">
        <v>360</v>
      </c>
      <c r="G511" s="76">
        <v>43581</v>
      </c>
      <c r="H511" s="78" t="s">
        <v>355</v>
      </c>
      <c r="I511" s="129" t="s">
        <v>1825</v>
      </c>
      <c r="J511" s="105" t="s">
        <v>269</v>
      </c>
      <c r="K511" s="126" t="s">
        <v>524</v>
      </c>
      <c r="L511" s="84" t="s">
        <v>291</v>
      </c>
      <c r="M511" s="85" t="s">
        <v>382</v>
      </c>
      <c r="N511" s="614" t="s">
        <v>666</v>
      </c>
      <c r="O511" s="613"/>
      <c r="P511" s="91" t="s">
        <v>717</v>
      </c>
      <c r="Q511" s="85" t="s">
        <v>355</v>
      </c>
      <c r="R511" s="85" t="s">
        <v>763</v>
      </c>
      <c r="S511" s="91" t="s">
        <v>764</v>
      </c>
      <c r="T511" s="85" t="s">
        <v>355</v>
      </c>
      <c r="U511" s="85" t="s">
        <v>355</v>
      </c>
      <c r="V511" s="85" t="s">
        <v>355</v>
      </c>
      <c r="W511" s="85" t="s">
        <v>355</v>
      </c>
      <c r="X511" s="85" t="s">
        <v>355</v>
      </c>
      <c r="Y511" s="85" t="s">
        <v>355</v>
      </c>
      <c r="Z511" s="85" t="s">
        <v>355</v>
      </c>
      <c r="AA511" s="85" t="s">
        <v>355</v>
      </c>
      <c r="AB511" s="96"/>
      <c r="AC511" s="177" t="s">
        <v>863</v>
      </c>
      <c r="AD511" s="91" t="s">
        <v>544</v>
      </c>
      <c r="AE511" s="85" t="s">
        <v>385</v>
      </c>
      <c r="AF511" s="85" t="s">
        <v>385</v>
      </c>
      <c r="AG511" s="85" t="s">
        <v>385</v>
      </c>
      <c r="AH511" s="91" t="s">
        <v>766</v>
      </c>
      <c r="AI511" s="177" t="s">
        <v>1306</v>
      </c>
      <c r="AJ511" s="85" t="s">
        <v>402</v>
      </c>
      <c r="AK511" s="85" t="s">
        <v>402</v>
      </c>
      <c r="AL511" s="85" t="s">
        <v>385</v>
      </c>
      <c r="AM511" s="85" t="s">
        <v>402</v>
      </c>
      <c r="AN511" s="85" t="s">
        <v>768</v>
      </c>
      <c r="AO511" s="85" t="s">
        <v>402</v>
      </c>
      <c r="AP511" s="85" t="s">
        <v>402</v>
      </c>
      <c r="AQ511" s="85" t="s">
        <v>1826</v>
      </c>
      <c r="AR511" s="128" t="s">
        <v>725</v>
      </c>
      <c r="AS511" s="67"/>
    </row>
    <row r="512" spans="1:45" ht="15">
      <c r="A512" s="379"/>
      <c r="B512" s="70"/>
      <c r="C512" s="72"/>
      <c r="D512" s="74"/>
      <c r="E512" s="104"/>
      <c r="F512" s="104"/>
      <c r="G512" s="104"/>
      <c r="H512" s="104"/>
      <c r="I512" s="129"/>
      <c r="J512" s="105"/>
      <c r="K512" s="106"/>
      <c r="L512" s="84"/>
      <c r="M512" s="85"/>
      <c r="N512" s="85"/>
      <c r="O512" s="85"/>
      <c r="P512" s="85"/>
      <c r="Q512" s="85" t="s">
        <v>1827</v>
      </c>
      <c r="R512" s="85"/>
      <c r="S512" s="85"/>
      <c r="T512" s="85" t="s">
        <v>402</v>
      </c>
      <c r="U512" s="592" t="s">
        <v>402</v>
      </c>
      <c r="V512" s="592" t="s">
        <v>402</v>
      </c>
      <c r="W512" s="592" t="s">
        <v>402</v>
      </c>
      <c r="X512" s="592" t="s">
        <v>402</v>
      </c>
      <c r="Y512" s="592"/>
      <c r="Z512" s="592" t="s">
        <v>402</v>
      </c>
      <c r="AA512" s="592" t="s">
        <v>402</v>
      </c>
      <c r="AB512" s="96"/>
      <c r="AC512" s="177"/>
      <c r="AD512" s="85"/>
      <c r="AE512" s="85"/>
      <c r="AF512" s="85"/>
      <c r="AG512" s="85"/>
      <c r="AH512" s="15" t="s">
        <v>774</v>
      </c>
      <c r="AI512" s="177" t="s">
        <v>1828</v>
      </c>
      <c r="AJ512" s="85"/>
      <c r="AK512" s="85" t="s">
        <v>1829</v>
      </c>
      <c r="AL512" s="85"/>
      <c r="AM512" s="85"/>
      <c r="AN512" s="85" t="s">
        <v>1830</v>
      </c>
      <c r="AO512" s="85"/>
      <c r="AP512" s="85"/>
      <c r="AQ512" s="85"/>
      <c r="AR512" s="128" t="s">
        <v>1074</v>
      </c>
      <c r="AS512" s="67"/>
    </row>
    <row r="513" spans="1:45" ht="15">
      <c r="A513" s="388"/>
      <c r="B513" s="164"/>
      <c r="C513" s="165"/>
      <c r="D513" s="166"/>
      <c r="E513" s="167"/>
      <c r="F513" s="167"/>
      <c r="G513" s="167"/>
      <c r="H513" s="167"/>
      <c r="I513" s="168"/>
      <c r="J513" s="169"/>
      <c r="K513" s="170"/>
      <c r="L513" s="124" t="s">
        <v>291</v>
      </c>
      <c r="M513" s="112" t="s">
        <v>382</v>
      </c>
      <c r="N513" s="120" t="s">
        <v>666</v>
      </c>
      <c r="O513" s="112"/>
      <c r="P513" s="120" t="s">
        <v>717</v>
      </c>
      <c r="Q513" s="112" t="s">
        <v>355</v>
      </c>
      <c r="R513" s="112" t="s">
        <v>763</v>
      </c>
      <c r="S513" s="120" t="s">
        <v>764</v>
      </c>
      <c r="T513" s="112" t="s">
        <v>402</v>
      </c>
      <c r="U513" s="593" t="s">
        <v>402</v>
      </c>
      <c r="V513" s="593" t="s">
        <v>402</v>
      </c>
      <c r="W513" s="593" t="s">
        <v>402</v>
      </c>
      <c r="X513" s="593" t="s">
        <v>402</v>
      </c>
      <c r="Y513" s="593" t="s">
        <v>355</v>
      </c>
      <c r="Z513" s="593" t="s">
        <v>402</v>
      </c>
      <c r="AA513" s="593" t="s">
        <v>402</v>
      </c>
      <c r="AB513" s="116"/>
      <c r="AC513" s="178" t="s">
        <v>863</v>
      </c>
      <c r="AD513" s="120" t="s">
        <v>544</v>
      </c>
      <c r="AE513" s="112" t="s">
        <v>385</v>
      </c>
      <c r="AF513" s="112" t="s">
        <v>385</v>
      </c>
      <c r="AG513" s="112" t="s">
        <v>385</v>
      </c>
      <c r="AH513" s="171" t="s">
        <v>774</v>
      </c>
      <c r="AI513" s="132" t="s">
        <v>460</v>
      </c>
      <c r="AJ513" s="112"/>
      <c r="AK513" s="112" t="s">
        <v>385</v>
      </c>
      <c r="AL513" s="112" t="s">
        <v>385</v>
      </c>
      <c r="AM513" s="112"/>
      <c r="AN513" s="112"/>
      <c r="AO513" s="112"/>
      <c r="AP513" s="112"/>
      <c r="AQ513" s="112" t="s">
        <v>1831</v>
      </c>
      <c r="AR513" s="139" t="s">
        <v>725</v>
      </c>
      <c r="AS513" s="140"/>
    </row>
    <row r="514" spans="1:45" ht="70">
      <c r="A514" s="594"/>
      <c r="B514" s="70" t="s">
        <v>356</v>
      </c>
      <c r="C514" s="595">
        <v>43440</v>
      </c>
      <c r="D514" s="596" t="s">
        <v>782</v>
      </c>
      <c r="E514" s="597">
        <v>43579</v>
      </c>
      <c r="F514" s="598" t="s">
        <v>363</v>
      </c>
      <c r="G514" s="597">
        <v>43583</v>
      </c>
      <c r="H514" s="598" t="s">
        <v>355</v>
      </c>
      <c r="I514" s="599" t="s">
        <v>1832</v>
      </c>
      <c r="J514" s="600" t="s">
        <v>270</v>
      </c>
      <c r="K514" s="83" t="s">
        <v>524</v>
      </c>
      <c r="L514" s="601" t="s">
        <v>291</v>
      </c>
      <c r="M514" s="602" t="s">
        <v>382</v>
      </c>
      <c r="N514" s="629" t="s">
        <v>667</v>
      </c>
      <c r="O514" s="630"/>
      <c r="P514" s="603" t="s">
        <v>717</v>
      </c>
      <c r="Q514" s="602" t="s">
        <v>355</v>
      </c>
      <c r="R514" s="602" t="s">
        <v>763</v>
      </c>
      <c r="S514" s="603" t="s">
        <v>764</v>
      </c>
      <c r="T514" s="602" t="s">
        <v>355</v>
      </c>
      <c r="U514" s="602" t="s">
        <v>355</v>
      </c>
      <c r="V514" s="602" t="s">
        <v>355</v>
      </c>
      <c r="W514" s="602" t="s">
        <v>355</v>
      </c>
      <c r="X514" s="602" t="s">
        <v>355</v>
      </c>
      <c r="Y514" s="602" t="s">
        <v>355</v>
      </c>
      <c r="Z514" s="602" t="s">
        <v>355</v>
      </c>
      <c r="AA514" s="602" t="s">
        <v>355</v>
      </c>
      <c r="AB514" s="604"/>
      <c r="AC514" s="602" t="s">
        <v>863</v>
      </c>
      <c r="AD514" s="603" t="s">
        <v>544</v>
      </c>
      <c r="AE514" s="602" t="s">
        <v>385</v>
      </c>
      <c r="AF514" s="602" t="s">
        <v>385</v>
      </c>
      <c r="AG514" s="602" t="s">
        <v>385</v>
      </c>
      <c r="AH514" s="603" t="s">
        <v>766</v>
      </c>
      <c r="AI514" s="602" t="s">
        <v>1306</v>
      </c>
      <c r="AJ514" s="602" t="s">
        <v>402</v>
      </c>
      <c r="AK514" s="602" t="s">
        <v>402</v>
      </c>
      <c r="AL514" s="602" t="s">
        <v>385</v>
      </c>
      <c r="AM514" s="602" t="s">
        <v>402</v>
      </c>
      <c r="AN514" s="602" t="s">
        <v>768</v>
      </c>
      <c r="AO514" s="602" t="s">
        <v>402</v>
      </c>
      <c r="AP514" s="602" t="s">
        <v>402</v>
      </c>
      <c r="AQ514" s="602" t="s">
        <v>1833</v>
      </c>
      <c r="AR514" s="605" t="s">
        <v>725</v>
      </c>
      <c r="AS514" s="200"/>
    </row>
    <row r="515" spans="1:45" ht="13">
      <c r="A515" s="606"/>
      <c r="B515" s="70"/>
      <c r="C515" s="72"/>
      <c r="D515" s="78"/>
      <c r="E515" s="104"/>
      <c r="F515" s="104"/>
      <c r="G515" s="104"/>
      <c r="H515" s="104"/>
      <c r="I515" s="129"/>
      <c r="J515" s="397"/>
      <c r="K515" s="397"/>
      <c r="L515" s="241"/>
      <c r="M515" s="241"/>
      <c r="N515" s="241"/>
      <c r="O515" s="241"/>
      <c r="P515" s="241"/>
      <c r="Q515" s="241"/>
      <c r="R515" s="241"/>
      <c r="S515" s="241"/>
      <c r="T515" s="241"/>
      <c r="U515" s="241"/>
      <c r="V515" s="241"/>
      <c r="W515" s="241"/>
      <c r="X515" s="241"/>
      <c r="Y515" s="241"/>
      <c r="Z515" s="241"/>
      <c r="AA515" s="241"/>
      <c r="AB515" s="204"/>
      <c r="AC515" s="241"/>
      <c r="AD515" s="241"/>
      <c r="AE515" s="241"/>
      <c r="AF515" s="241"/>
      <c r="AG515" s="408" t="s">
        <v>864</v>
      </c>
      <c r="AH515" s="241"/>
      <c r="AI515" s="241"/>
      <c r="AJ515" s="241"/>
      <c r="AK515" s="241"/>
      <c r="AL515" s="241"/>
      <c r="AM515" s="241"/>
      <c r="AN515" s="241"/>
      <c r="AO515" s="241"/>
      <c r="AP515" s="241"/>
      <c r="AQ515" s="241"/>
      <c r="AR515" s="241"/>
      <c r="AS515" s="204"/>
    </row>
    <row r="516" spans="1:45" ht="15">
      <c r="A516" s="606"/>
      <c r="B516" s="70"/>
      <c r="C516" s="72"/>
      <c r="D516" s="78"/>
      <c r="E516" s="104"/>
      <c r="F516" s="104"/>
      <c r="G516" s="104"/>
      <c r="H516" s="78" t="s">
        <v>1834</v>
      </c>
      <c r="I516" s="129"/>
      <c r="J516" s="397"/>
      <c r="K516" s="397"/>
      <c r="L516" s="601" t="s">
        <v>291</v>
      </c>
      <c r="M516" s="602" t="s">
        <v>382</v>
      </c>
      <c r="N516" s="91" t="s">
        <v>667</v>
      </c>
      <c r="O516" s="85"/>
      <c r="P516" s="607" t="s">
        <v>781</v>
      </c>
      <c r="Q516" s="608" t="s">
        <v>798</v>
      </c>
      <c r="R516" s="602" t="s">
        <v>763</v>
      </c>
      <c r="S516" s="603" t="s">
        <v>764</v>
      </c>
      <c r="T516" s="602" t="s">
        <v>355</v>
      </c>
      <c r="U516" s="602" t="s">
        <v>355</v>
      </c>
      <c r="V516" s="602" t="s">
        <v>355</v>
      </c>
      <c r="W516" s="602" t="s">
        <v>355</v>
      </c>
      <c r="X516" s="602" t="s">
        <v>355</v>
      </c>
      <c r="Y516" s="602" t="s">
        <v>355</v>
      </c>
      <c r="Z516" s="602" t="s">
        <v>355</v>
      </c>
      <c r="AA516" s="602" t="s">
        <v>355</v>
      </c>
      <c r="AB516" s="96"/>
      <c r="AC516" s="609" t="s">
        <v>863</v>
      </c>
      <c r="AD516" s="603" t="s">
        <v>544</v>
      </c>
      <c r="AE516" s="602" t="s">
        <v>385</v>
      </c>
      <c r="AF516" s="602" t="s">
        <v>385</v>
      </c>
      <c r="AG516" s="602" t="s">
        <v>385</v>
      </c>
      <c r="AH516" s="15" t="s">
        <v>774</v>
      </c>
      <c r="AI516" s="177" t="s">
        <v>630</v>
      </c>
      <c r="AJ516" s="85" t="s">
        <v>1171</v>
      </c>
      <c r="AK516" s="85" t="s">
        <v>402</v>
      </c>
      <c r="AL516" s="85" t="s">
        <v>385</v>
      </c>
      <c r="AM516" s="85"/>
      <c r="AN516" s="85"/>
      <c r="AO516" s="85"/>
      <c r="AP516" s="85"/>
      <c r="AQ516" s="85"/>
      <c r="AR516" s="488"/>
      <c r="AS516" s="67"/>
    </row>
    <row r="517" spans="1:45" ht="13">
      <c r="D517" s="610"/>
      <c r="E517" s="610"/>
      <c r="F517" s="610"/>
      <c r="G517" s="610"/>
      <c r="H517" s="610"/>
      <c r="AS517" s="611"/>
    </row>
    <row r="518" spans="1:45" ht="13">
      <c r="D518" s="610"/>
      <c r="E518" s="610"/>
      <c r="F518" s="610"/>
      <c r="G518" s="610"/>
      <c r="H518" s="610"/>
      <c r="AS518" s="611"/>
    </row>
    <row r="519" spans="1:45" ht="13">
      <c r="D519" s="610"/>
      <c r="E519" s="610"/>
      <c r="F519" s="610"/>
      <c r="G519" s="610"/>
      <c r="H519" s="610"/>
      <c r="AS519" s="611"/>
    </row>
    <row r="520" spans="1:45" ht="13">
      <c r="D520" s="610"/>
      <c r="E520" s="610"/>
      <c r="F520" s="610"/>
      <c r="G520" s="610"/>
      <c r="H520" s="610"/>
      <c r="AS520" s="611"/>
    </row>
    <row r="521" spans="1:45" ht="13">
      <c r="D521" s="610"/>
      <c r="E521" s="610"/>
      <c r="F521" s="610"/>
      <c r="G521" s="610"/>
      <c r="H521" s="610"/>
      <c r="AS521" s="611"/>
    </row>
    <row r="522" spans="1:45" ht="13">
      <c r="D522" s="610"/>
      <c r="E522" s="610"/>
      <c r="F522" s="610"/>
      <c r="G522" s="610"/>
      <c r="H522" s="610"/>
      <c r="AS522" s="611"/>
    </row>
    <row r="523" spans="1:45" ht="13">
      <c r="D523" s="610"/>
      <c r="E523" s="610"/>
      <c r="F523" s="610"/>
      <c r="G523" s="610"/>
      <c r="H523" s="610"/>
      <c r="AS523" s="611"/>
    </row>
    <row r="524" spans="1:45" ht="13">
      <c r="D524" s="610"/>
      <c r="E524" s="610"/>
      <c r="F524" s="610"/>
      <c r="G524" s="610"/>
      <c r="H524" s="610"/>
      <c r="AS524" s="611"/>
    </row>
    <row r="525" spans="1:45" ht="13">
      <c r="D525" s="610"/>
      <c r="E525" s="610"/>
      <c r="F525" s="610"/>
      <c r="G525" s="610"/>
      <c r="H525" s="610"/>
      <c r="AS525" s="611"/>
    </row>
    <row r="526" spans="1:45" ht="13">
      <c r="D526" s="610"/>
      <c r="E526" s="610"/>
      <c r="F526" s="610"/>
      <c r="G526" s="610"/>
      <c r="H526" s="610"/>
      <c r="AS526" s="611"/>
    </row>
    <row r="527" spans="1:45" ht="13">
      <c r="D527" s="610"/>
      <c r="E527" s="610"/>
      <c r="F527" s="610"/>
      <c r="G527" s="610"/>
      <c r="H527" s="610"/>
      <c r="AS527" s="611"/>
    </row>
    <row r="528" spans="1:45" ht="13">
      <c r="D528" s="610"/>
      <c r="E528" s="610"/>
      <c r="F528" s="610"/>
      <c r="G528" s="610"/>
      <c r="H528" s="610"/>
      <c r="AS528" s="611"/>
    </row>
    <row r="529" spans="4:45" ht="13">
      <c r="D529" s="610"/>
      <c r="E529" s="610"/>
      <c r="F529" s="610"/>
      <c r="G529" s="610"/>
      <c r="H529" s="610"/>
      <c r="AS529" s="611"/>
    </row>
    <row r="530" spans="4:45" ht="13">
      <c r="D530" s="610"/>
      <c r="E530" s="610"/>
      <c r="F530" s="610"/>
      <c r="G530" s="610"/>
      <c r="H530" s="610"/>
      <c r="AS530" s="611"/>
    </row>
    <row r="531" spans="4:45" ht="13">
      <c r="D531" s="610"/>
      <c r="E531" s="610"/>
      <c r="F531" s="610"/>
      <c r="G531" s="610"/>
      <c r="H531" s="610"/>
      <c r="AS531" s="611"/>
    </row>
    <row r="532" spans="4:45" ht="13">
      <c r="D532" s="610"/>
      <c r="E532" s="610"/>
      <c r="F532" s="610"/>
      <c r="G532" s="610"/>
      <c r="H532" s="610"/>
      <c r="AS532" s="611"/>
    </row>
    <row r="533" spans="4:45" ht="13">
      <c r="D533" s="610"/>
      <c r="E533" s="610"/>
      <c r="F533" s="610"/>
      <c r="G533" s="610"/>
      <c r="H533" s="610"/>
      <c r="AS533" s="611"/>
    </row>
    <row r="534" spans="4:45" ht="13">
      <c r="D534" s="610"/>
      <c r="E534" s="610"/>
      <c r="F534" s="610"/>
      <c r="G534" s="610"/>
      <c r="H534" s="610"/>
      <c r="AS534" s="611"/>
    </row>
    <row r="535" spans="4:45" ht="13">
      <c r="D535" s="610"/>
      <c r="E535" s="610"/>
      <c r="F535" s="610"/>
      <c r="G535" s="610"/>
      <c r="H535" s="610"/>
      <c r="AS535" s="611"/>
    </row>
    <row r="536" spans="4:45" ht="13">
      <c r="D536" s="610"/>
      <c r="E536" s="610"/>
      <c r="F536" s="610"/>
      <c r="G536" s="610"/>
      <c r="H536" s="610"/>
      <c r="AS536" s="611"/>
    </row>
    <row r="537" spans="4:45" ht="13">
      <c r="D537" s="610"/>
      <c r="E537" s="610"/>
      <c r="F537" s="610"/>
      <c r="G537" s="610"/>
      <c r="H537" s="610"/>
      <c r="AS537" s="611"/>
    </row>
    <row r="538" spans="4:45" ht="13">
      <c r="D538" s="610"/>
      <c r="E538" s="610"/>
      <c r="F538" s="610"/>
      <c r="G538" s="610"/>
      <c r="H538" s="610"/>
      <c r="AS538" s="611"/>
    </row>
    <row r="539" spans="4:45" ht="13">
      <c r="D539" s="610"/>
      <c r="E539" s="610"/>
      <c r="F539" s="610"/>
      <c r="G539" s="610"/>
      <c r="H539" s="610"/>
      <c r="AS539" s="611"/>
    </row>
    <row r="540" spans="4:45" ht="13">
      <c r="D540" s="610"/>
      <c r="E540" s="610"/>
      <c r="F540" s="610"/>
      <c r="G540" s="610"/>
      <c r="H540" s="610"/>
      <c r="AS540" s="611"/>
    </row>
    <row r="541" spans="4:45" ht="13">
      <c r="D541" s="610"/>
      <c r="E541" s="610"/>
      <c r="F541" s="610"/>
      <c r="G541" s="610"/>
      <c r="H541" s="610"/>
      <c r="AS541" s="611"/>
    </row>
    <row r="542" spans="4:45" ht="13">
      <c r="D542" s="610"/>
      <c r="E542" s="610"/>
      <c r="F542" s="610"/>
      <c r="G542" s="610"/>
      <c r="H542" s="610"/>
      <c r="AS542" s="611"/>
    </row>
    <row r="543" spans="4:45" ht="13">
      <c r="D543" s="610"/>
      <c r="E543" s="610"/>
      <c r="F543" s="610"/>
      <c r="G543" s="610"/>
      <c r="H543" s="610"/>
      <c r="AS543" s="611"/>
    </row>
    <row r="544" spans="4:45" ht="13">
      <c r="D544" s="610"/>
      <c r="E544" s="610"/>
      <c r="F544" s="610"/>
      <c r="G544" s="610"/>
      <c r="H544" s="610"/>
      <c r="AS544" s="611"/>
    </row>
    <row r="545" spans="4:45" ht="13">
      <c r="D545" s="610"/>
      <c r="E545" s="610"/>
      <c r="F545" s="610"/>
      <c r="G545" s="610"/>
      <c r="H545" s="610"/>
      <c r="AS545" s="611"/>
    </row>
    <row r="546" spans="4:45" ht="13">
      <c r="D546" s="610"/>
      <c r="E546" s="610"/>
      <c r="F546" s="610"/>
      <c r="G546" s="610"/>
      <c r="H546" s="610"/>
      <c r="AS546" s="611"/>
    </row>
    <row r="547" spans="4:45" ht="13">
      <c r="D547" s="610"/>
      <c r="E547" s="610"/>
      <c r="F547" s="610"/>
      <c r="G547" s="610"/>
      <c r="H547" s="610"/>
      <c r="AS547" s="611"/>
    </row>
    <row r="548" spans="4:45" ht="13">
      <c r="D548" s="610"/>
      <c r="E548" s="610"/>
      <c r="F548" s="610"/>
      <c r="G548" s="610"/>
      <c r="H548" s="610"/>
      <c r="AS548" s="611"/>
    </row>
    <row r="549" spans="4:45" ht="13">
      <c r="D549" s="610"/>
      <c r="E549" s="610"/>
      <c r="F549" s="610"/>
      <c r="G549" s="610"/>
      <c r="H549" s="610"/>
      <c r="AS549" s="611"/>
    </row>
    <row r="550" spans="4:45" ht="13">
      <c r="D550" s="610"/>
      <c r="E550" s="610"/>
      <c r="F550" s="610"/>
      <c r="G550" s="610"/>
      <c r="H550" s="610"/>
      <c r="AS550" s="611"/>
    </row>
    <row r="551" spans="4:45" ht="13">
      <c r="D551" s="610"/>
      <c r="E551" s="610"/>
      <c r="F551" s="610"/>
      <c r="G551" s="610"/>
      <c r="H551" s="610"/>
      <c r="AS551" s="611"/>
    </row>
    <row r="552" spans="4:45" ht="13">
      <c r="D552" s="610"/>
      <c r="E552" s="610"/>
      <c r="F552" s="610"/>
      <c r="G552" s="610"/>
      <c r="H552" s="610"/>
      <c r="AS552" s="611"/>
    </row>
    <row r="553" spans="4:45" ht="13">
      <c r="D553" s="610"/>
      <c r="E553" s="610"/>
      <c r="F553" s="610"/>
      <c r="G553" s="610"/>
      <c r="H553" s="610"/>
      <c r="AS553" s="611"/>
    </row>
    <row r="554" spans="4:45" ht="13">
      <c r="D554" s="610"/>
      <c r="E554" s="610"/>
      <c r="F554" s="610"/>
      <c r="G554" s="610"/>
      <c r="H554" s="610"/>
      <c r="AS554" s="611"/>
    </row>
    <row r="555" spans="4:45" ht="13">
      <c r="D555" s="610"/>
      <c r="E555" s="610"/>
      <c r="F555" s="610"/>
      <c r="G555" s="610"/>
      <c r="H555" s="610"/>
      <c r="AS555" s="611"/>
    </row>
    <row r="556" spans="4:45" ht="13">
      <c r="D556" s="610"/>
      <c r="E556" s="610"/>
      <c r="F556" s="610"/>
      <c r="G556" s="610"/>
      <c r="H556" s="610"/>
      <c r="AS556" s="611"/>
    </row>
    <row r="557" spans="4:45" ht="13">
      <c r="D557" s="610"/>
      <c r="E557" s="610"/>
      <c r="F557" s="610"/>
      <c r="G557" s="610"/>
      <c r="H557" s="610"/>
      <c r="AS557" s="611"/>
    </row>
    <row r="558" spans="4:45" ht="13">
      <c r="D558" s="610"/>
      <c r="E558" s="610"/>
      <c r="F558" s="610"/>
      <c r="G558" s="610"/>
      <c r="H558" s="610"/>
      <c r="AS558" s="611"/>
    </row>
    <row r="559" spans="4:45" ht="13">
      <c r="D559" s="610"/>
      <c r="E559" s="610"/>
      <c r="F559" s="610"/>
      <c r="G559" s="610"/>
      <c r="H559" s="610"/>
      <c r="AS559" s="611"/>
    </row>
    <row r="560" spans="4:45" ht="13">
      <c r="D560" s="610"/>
      <c r="E560" s="610"/>
      <c r="F560" s="610"/>
      <c r="G560" s="610"/>
      <c r="H560" s="610"/>
      <c r="AS560" s="611"/>
    </row>
    <row r="561" spans="4:45" ht="13">
      <c r="D561" s="610"/>
      <c r="E561" s="610"/>
      <c r="F561" s="610"/>
      <c r="G561" s="610"/>
      <c r="H561" s="610"/>
      <c r="AS561" s="611"/>
    </row>
    <row r="562" spans="4:45" ht="13">
      <c r="D562" s="610"/>
      <c r="E562" s="610"/>
      <c r="F562" s="610"/>
      <c r="G562" s="610"/>
      <c r="H562" s="610"/>
      <c r="AS562" s="611"/>
    </row>
    <row r="563" spans="4:45" ht="13">
      <c r="D563" s="610"/>
      <c r="E563" s="610"/>
      <c r="F563" s="610"/>
      <c r="G563" s="610"/>
      <c r="H563" s="610"/>
      <c r="AS563" s="611"/>
    </row>
    <row r="564" spans="4:45" ht="13">
      <c r="D564" s="610"/>
      <c r="E564" s="610"/>
      <c r="F564" s="610"/>
      <c r="G564" s="610"/>
      <c r="H564" s="610"/>
      <c r="AS564" s="611"/>
    </row>
    <row r="565" spans="4:45" ht="13">
      <c r="D565" s="610"/>
      <c r="E565" s="610"/>
      <c r="F565" s="610"/>
      <c r="G565" s="610"/>
      <c r="H565" s="610"/>
      <c r="AS565" s="611"/>
    </row>
    <row r="566" spans="4:45" ht="13">
      <c r="D566" s="610"/>
      <c r="E566" s="610"/>
      <c r="F566" s="610"/>
      <c r="G566" s="610"/>
      <c r="H566" s="610"/>
      <c r="AS566" s="611"/>
    </row>
    <row r="567" spans="4:45" ht="13">
      <c r="D567" s="610"/>
      <c r="E567" s="610"/>
      <c r="F567" s="610"/>
      <c r="G567" s="610"/>
      <c r="H567" s="610"/>
      <c r="AS567" s="611"/>
    </row>
    <row r="568" spans="4:45" ht="13">
      <c r="D568" s="610"/>
      <c r="E568" s="610"/>
      <c r="F568" s="610"/>
      <c r="G568" s="610"/>
      <c r="H568" s="610"/>
      <c r="AS568" s="611"/>
    </row>
    <row r="569" spans="4:45" ht="13">
      <c r="D569" s="610"/>
      <c r="E569" s="610"/>
      <c r="F569" s="610"/>
      <c r="G569" s="610"/>
      <c r="H569" s="610"/>
      <c r="AS569" s="611"/>
    </row>
    <row r="570" spans="4:45" ht="13">
      <c r="D570" s="610"/>
      <c r="E570" s="610"/>
      <c r="F570" s="610"/>
      <c r="G570" s="610"/>
      <c r="H570" s="610"/>
      <c r="AS570" s="611"/>
    </row>
    <row r="571" spans="4:45" ht="13">
      <c r="D571" s="610"/>
      <c r="E571" s="610"/>
      <c r="F571" s="610"/>
      <c r="G571" s="610"/>
      <c r="H571" s="610"/>
      <c r="AS571" s="611"/>
    </row>
    <row r="572" spans="4:45" ht="13">
      <c r="D572" s="610"/>
      <c r="E572" s="610"/>
      <c r="F572" s="610"/>
      <c r="G572" s="610"/>
      <c r="H572" s="610"/>
      <c r="AS572" s="611"/>
    </row>
    <row r="573" spans="4:45" ht="13">
      <c r="D573" s="610"/>
      <c r="E573" s="610"/>
      <c r="F573" s="610"/>
      <c r="G573" s="610"/>
      <c r="H573" s="610"/>
      <c r="AS573" s="611"/>
    </row>
    <row r="574" spans="4:45" ht="13">
      <c r="D574" s="610"/>
      <c r="E574" s="610"/>
      <c r="F574" s="610"/>
      <c r="G574" s="610"/>
      <c r="H574" s="610"/>
      <c r="AS574" s="611"/>
    </row>
    <row r="575" spans="4:45" ht="13">
      <c r="D575" s="610"/>
      <c r="E575" s="610"/>
      <c r="F575" s="610"/>
      <c r="G575" s="610"/>
      <c r="H575" s="610"/>
      <c r="AS575" s="611"/>
    </row>
    <row r="576" spans="4:45" ht="13">
      <c r="D576" s="610"/>
      <c r="E576" s="610"/>
      <c r="F576" s="610"/>
      <c r="G576" s="610"/>
      <c r="H576" s="610"/>
      <c r="AS576" s="611"/>
    </row>
    <row r="577" spans="4:45" ht="13">
      <c r="D577" s="610"/>
      <c r="E577" s="610"/>
      <c r="F577" s="610"/>
      <c r="G577" s="610"/>
      <c r="H577" s="610"/>
      <c r="AS577" s="611"/>
    </row>
    <row r="578" spans="4:45" ht="13">
      <c r="D578" s="610"/>
      <c r="E578" s="610"/>
      <c r="F578" s="610"/>
      <c r="G578" s="610"/>
      <c r="H578" s="610"/>
      <c r="AS578" s="611"/>
    </row>
    <row r="579" spans="4:45" ht="13">
      <c r="D579" s="610"/>
      <c r="E579" s="610"/>
      <c r="F579" s="610"/>
      <c r="G579" s="610"/>
      <c r="H579" s="610"/>
      <c r="AS579" s="611"/>
    </row>
    <row r="580" spans="4:45" ht="13">
      <c r="D580" s="610"/>
      <c r="E580" s="610"/>
      <c r="F580" s="610"/>
      <c r="G580" s="610"/>
      <c r="H580" s="610"/>
      <c r="AS580" s="611"/>
    </row>
    <row r="581" spans="4:45" ht="13">
      <c r="D581" s="610"/>
      <c r="E581" s="610"/>
      <c r="F581" s="610"/>
      <c r="G581" s="610"/>
      <c r="H581" s="610"/>
      <c r="AS581" s="611"/>
    </row>
    <row r="582" spans="4:45" ht="13">
      <c r="D582" s="610"/>
      <c r="E582" s="610"/>
      <c r="F582" s="610"/>
      <c r="G582" s="610"/>
      <c r="H582" s="610"/>
      <c r="AS582" s="611"/>
    </row>
    <row r="583" spans="4:45" ht="13">
      <c r="D583" s="610"/>
      <c r="E583" s="610"/>
      <c r="F583" s="610"/>
      <c r="G583" s="610"/>
      <c r="H583" s="610"/>
      <c r="AS583" s="611"/>
    </row>
    <row r="584" spans="4:45" ht="13">
      <c r="D584" s="610"/>
      <c r="E584" s="610"/>
      <c r="F584" s="610"/>
      <c r="G584" s="610"/>
      <c r="H584" s="610"/>
      <c r="AS584" s="611"/>
    </row>
    <row r="585" spans="4:45" ht="13">
      <c r="D585" s="610"/>
      <c r="E585" s="610"/>
      <c r="F585" s="610"/>
      <c r="G585" s="610"/>
      <c r="H585" s="610"/>
      <c r="AS585" s="611"/>
    </row>
    <row r="586" spans="4:45" ht="13">
      <c r="D586" s="610"/>
      <c r="E586" s="610"/>
      <c r="F586" s="610"/>
      <c r="G586" s="610"/>
      <c r="H586" s="610"/>
      <c r="AS586" s="611"/>
    </row>
    <row r="587" spans="4:45" ht="13">
      <c r="D587" s="610"/>
      <c r="E587" s="610"/>
      <c r="F587" s="610"/>
      <c r="G587" s="610"/>
      <c r="H587" s="610"/>
      <c r="AS587" s="611"/>
    </row>
    <row r="588" spans="4:45" ht="13">
      <c r="D588" s="610"/>
      <c r="E588" s="610"/>
      <c r="F588" s="610"/>
      <c r="G588" s="610"/>
      <c r="H588" s="610"/>
      <c r="AS588" s="611"/>
    </row>
    <row r="589" spans="4:45" ht="13">
      <c r="D589" s="610"/>
      <c r="E589" s="610"/>
      <c r="F589" s="610"/>
      <c r="G589" s="610"/>
      <c r="H589" s="610"/>
      <c r="AS589" s="611"/>
    </row>
    <row r="590" spans="4:45" ht="13">
      <c r="D590" s="610"/>
      <c r="E590" s="610"/>
      <c r="F590" s="610"/>
      <c r="G590" s="610"/>
      <c r="H590" s="610"/>
      <c r="AS590" s="611"/>
    </row>
    <row r="591" spans="4:45" ht="13">
      <c r="D591" s="610"/>
      <c r="E591" s="610"/>
      <c r="F591" s="610"/>
      <c r="G591" s="610"/>
      <c r="H591" s="610"/>
      <c r="AS591" s="611"/>
    </row>
    <row r="592" spans="4:45" ht="13">
      <c r="D592" s="610"/>
      <c r="E592" s="610"/>
      <c r="F592" s="610"/>
      <c r="G592" s="610"/>
      <c r="H592" s="610"/>
      <c r="AS592" s="611"/>
    </row>
    <row r="593" spans="4:45" ht="13">
      <c r="D593" s="610"/>
      <c r="E593" s="610"/>
      <c r="F593" s="610"/>
      <c r="G593" s="610"/>
      <c r="H593" s="610"/>
      <c r="AS593" s="611"/>
    </row>
    <row r="594" spans="4:45" ht="13">
      <c r="D594" s="610"/>
      <c r="E594" s="610"/>
      <c r="F594" s="610"/>
      <c r="G594" s="610"/>
      <c r="H594" s="610"/>
      <c r="AS594" s="611"/>
    </row>
    <row r="595" spans="4:45" ht="13">
      <c r="D595" s="610"/>
      <c r="E595" s="610"/>
      <c r="F595" s="610"/>
      <c r="G595" s="610"/>
      <c r="H595" s="610"/>
      <c r="AS595" s="611"/>
    </row>
    <row r="596" spans="4:45" ht="13">
      <c r="D596" s="610"/>
      <c r="E596" s="610"/>
      <c r="F596" s="610"/>
      <c r="G596" s="610"/>
      <c r="H596" s="610"/>
      <c r="AS596" s="611"/>
    </row>
    <row r="597" spans="4:45" ht="13">
      <c r="D597" s="610"/>
      <c r="E597" s="610"/>
      <c r="F597" s="610"/>
      <c r="G597" s="610"/>
      <c r="H597" s="610"/>
      <c r="AS597" s="611"/>
    </row>
    <row r="598" spans="4:45" ht="13">
      <c r="D598" s="610"/>
      <c r="E598" s="610"/>
      <c r="F598" s="610"/>
      <c r="G598" s="610"/>
      <c r="H598" s="610"/>
      <c r="AS598" s="611"/>
    </row>
    <row r="599" spans="4:45" ht="13">
      <c r="D599" s="610"/>
      <c r="E599" s="610"/>
      <c r="F599" s="610"/>
      <c r="G599" s="610"/>
      <c r="H599" s="610"/>
      <c r="AS599" s="611"/>
    </row>
    <row r="600" spans="4:45" ht="13">
      <c r="D600" s="610"/>
      <c r="E600" s="610"/>
      <c r="F600" s="610"/>
      <c r="G600" s="610"/>
      <c r="H600" s="610"/>
      <c r="AS600" s="611"/>
    </row>
    <row r="601" spans="4:45" ht="13">
      <c r="D601" s="610"/>
      <c r="E601" s="610"/>
      <c r="F601" s="610"/>
      <c r="G601" s="610"/>
      <c r="H601" s="610"/>
      <c r="AS601" s="611"/>
    </row>
    <row r="602" spans="4:45" ht="13">
      <c r="D602" s="610"/>
      <c r="E602" s="610"/>
      <c r="F602" s="610"/>
      <c r="G602" s="610"/>
      <c r="H602" s="610"/>
      <c r="AS602" s="611"/>
    </row>
    <row r="603" spans="4:45" ht="13">
      <c r="D603" s="610"/>
      <c r="E603" s="610"/>
      <c r="F603" s="610"/>
      <c r="G603" s="610"/>
      <c r="H603" s="610"/>
      <c r="AS603" s="611"/>
    </row>
    <row r="604" spans="4:45" ht="13">
      <c r="D604" s="610"/>
      <c r="E604" s="610"/>
      <c r="F604" s="610"/>
      <c r="G604" s="610"/>
      <c r="H604" s="610"/>
      <c r="AS604" s="611"/>
    </row>
    <row r="605" spans="4:45" ht="13">
      <c r="D605" s="610"/>
      <c r="E605" s="610"/>
      <c r="F605" s="610"/>
      <c r="G605" s="610"/>
      <c r="H605" s="610"/>
      <c r="AS605" s="611"/>
    </row>
    <row r="606" spans="4:45" ht="13">
      <c r="D606" s="610"/>
      <c r="E606" s="610"/>
      <c r="F606" s="610"/>
      <c r="G606" s="610"/>
      <c r="H606" s="610"/>
      <c r="AS606" s="611"/>
    </row>
    <row r="607" spans="4:45" ht="13">
      <c r="D607" s="610"/>
      <c r="E607" s="610"/>
      <c r="F607" s="610"/>
      <c r="G607" s="610"/>
      <c r="H607" s="610"/>
      <c r="AS607" s="611"/>
    </row>
    <row r="608" spans="4:45" ht="13">
      <c r="D608" s="610"/>
      <c r="E608" s="610"/>
      <c r="F608" s="610"/>
      <c r="G608" s="610"/>
      <c r="H608" s="610"/>
      <c r="AS608" s="611"/>
    </row>
    <row r="609" spans="4:45" ht="13">
      <c r="D609" s="610"/>
      <c r="E609" s="610"/>
      <c r="F609" s="610"/>
      <c r="G609" s="610"/>
      <c r="H609" s="610"/>
      <c r="AS609" s="611"/>
    </row>
    <row r="610" spans="4:45" ht="13">
      <c r="D610" s="610"/>
      <c r="E610" s="610"/>
      <c r="F610" s="610"/>
      <c r="G610" s="610"/>
      <c r="H610" s="610"/>
      <c r="AS610" s="611"/>
    </row>
    <row r="611" spans="4:45" ht="13">
      <c r="D611" s="610"/>
      <c r="E611" s="610"/>
      <c r="F611" s="610"/>
      <c r="G611" s="610"/>
      <c r="H611" s="610"/>
      <c r="AS611" s="611"/>
    </row>
    <row r="612" spans="4:45" ht="13">
      <c r="D612" s="610"/>
      <c r="E612" s="610"/>
      <c r="F612" s="610"/>
      <c r="G612" s="610"/>
      <c r="H612" s="610"/>
      <c r="AS612" s="611"/>
    </row>
    <row r="613" spans="4:45" ht="13">
      <c r="D613" s="610"/>
      <c r="E613" s="610"/>
      <c r="F613" s="610"/>
      <c r="G613" s="610"/>
      <c r="H613" s="610"/>
      <c r="AS613" s="611"/>
    </row>
    <row r="614" spans="4:45" ht="13">
      <c r="D614" s="610"/>
      <c r="E614" s="610"/>
      <c r="F614" s="610"/>
      <c r="G614" s="610"/>
      <c r="H614" s="610"/>
      <c r="AS614" s="611"/>
    </row>
    <row r="615" spans="4:45" ht="13">
      <c r="D615" s="610"/>
      <c r="E615" s="610"/>
      <c r="F615" s="610"/>
      <c r="G615" s="610"/>
      <c r="H615" s="610"/>
      <c r="AS615" s="611"/>
    </row>
    <row r="616" spans="4:45" ht="13">
      <c r="D616" s="610"/>
      <c r="E616" s="610"/>
      <c r="F616" s="610"/>
      <c r="G616" s="610"/>
      <c r="H616" s="610"/>
      <c r="AS616" s="611"/>
    </row>
    <row r="617" spans="4:45" ht="13">
      <c r="D617" s="610"/>
      <c r="E617" s="610"/>
      <c r="F617" s="610"/>
      <c r="G617" s="610"/>
      <c r="H617" s="610"/>
      <c r="AS617" s="611"/>
    </row>
    <row r="618" spans="4:45" ht="13">
      <c r="D618" s="610"/>
      <c r="E618" s="610"/>
      <c r="F618" s="610"/>
      <c r="G618" s="610"/>
      <c r="H618" s="610"/>
      <c r="AS618" s="611"/>
    </row>
    <row r="619" spans="4:45" ht="13">
      <c r="D619" s="610"/>
      <c r="E619" s="610"/>
      <c r="F619" s="610"/>
      <c r="G619" s="610"/>
      <c r="H619" s="610"/>
      <c r="AS619" s="611"/>
    </row>
    <row r="620" spans="4:45" ht="13">
      <c r="D620" s="610"/>
      <c r="E620" s="610"/>
      <c r="F620" s="610"/>
      <c r="G620" s="610"/>
      <c r="H620" s="610"/>
      <c r="AS620" s="611"/>
    </row>
    <row r="621" spans="4:45" ht="13">
      <c r="D621" s="610"/>
      <c r="E621" s="610"/>
      <c r="F621" s="610"/>
      <c r="G621" s="610"/>
      <c r="H621" s="610"/>
      <c r="AS621" s="611"/>
    </row>
    <row r="622" spans="4:45" ht="13">
      <c r="D622" s="610"/>
      <c r="E622" s="610"/>
      <c r="F622" s="610"/>
      <c r="G622" s="610"/>
      <c r="H622" s="610"/>
      <c r="AS622" s="611"/>
    </row>
    <row r="623" spans="4:45" ht="13">
      <c r="D623" s="610"/>
      <c r="E623" s="610"/>
      <c r="F623" s="610"/>
      <c r="G623" s="610"/>
      <c r="H623" s="610"/>
      <c r="AS623" s="611"/>
    </row>
    <row r="624" spans="4:45" ht="13">
      <c r="D624" s="610"/>
      <c r="E624" s="610"/>
      <c r="F624" s="610"/>
      <c r="G624" s="610"/>
      <c r="H624" s="610"/>
      <c r="AS624" s="611"/>
    </row>
    <row r="625" spans="4:45" ht="13">
      <c r="D625" s="610"/>
      <c r="E625" s="610"/>
      <c r="F625" s="610"/>
      <c r="G625" s="610"/>
      <c r="H625" s="610"/>
      <c r="AS625" s="611"/>
    </row>
    <row r="626" spans="4:45" ht="13">
      <c r="D626" s="610"/>
      <c r="E626" s="610"/>
      <c r="F626" s="610"/>
      <c r="G626" s="610"/>
      <c r="H626" s="610"/>
      <c r="AS626" s="611"/>
    </row>
    <row r="627" spans="4:45" ht="13">
      <c r="D627" s="610"/>
      <c r="E627" s="610"/>
      <c r="F627" s="610"/>
      <c r="G627" s="610"/>
      <c r="H627" s="610"/>
      <c r="AS627" s="611"/>
    </row>
    <row r="628" spans="4:45" ht="13">
      <c r="D628" s="610"/>
      <c r="E628" s="610"/>
      <c r="F628" s="610"/>
      <c r="G628" s="610"/>
      <c r="H628" s="610"/>
      <c r="AS628" s="611"/>
    </row>
    <row r="629" spans="4:45" ht="13">
      <c r="D629" s="610"/>
      <c r="E629" s="610"/>
      <c r="F629" s="610"/>
      <c r="G629" s="610"/>
      <c r="H629" s="610"/>
      <c r="AS629" s="611"/>
    </row>
    <row r="630" spans="4:45" ht="13">
      <c r="D630" s="610"/>
      <c r="E630" s="610"/>
      <c r="F630" s="610"/>
      <c r="G630" s="610"/>
      <c r="H630" s="610"/>
      <c r="AS630" s="611"/>
    </row>
    <row r="631" spans="4:45" ht="13">
      <c r="D631" s="610"/>
      <c r="E631" s="610"/>
      <c r="F631" s="610"/>
      <c r="G631" s="610"/>
      <c r="H631" s="610"/>
      <c r="AS631" s="611"/>
    </row>
    <row r="632" spans="4:45" ht="13">
      <c r="D632" s="610"/>
      <c r="E632" s="610"/>
      <c r="F632" s="610"/>
      <c r="G632" s="610"/>
      <c r="H632" s="610"/>
      <c r="AS632" s="611"/>
    </row>
    <row r="633" spans="4:45" ht="13">
      <c r="D633" s="610"/>
      <c r="E633" s="610"/>
      <c r="F633" s="610"/>
      <c r="G633" s="610"/>
      <c r="H633" s="610"/>
      <c r="AS633" s="611"/>
    </row>
    <row r="634" spans="4:45" ht="13">
      <c r="D634" s="610"/>
      <c r="E634" s="610"/>
      <c r="F634" s="610"/>
      <c r="G634" s="610"/>
      <c r="H634" s="610"/>
      <c r="AS634" s="611"/>
    </row>
    <row r="635" spans="4:45" ht="13">
      <c r="D635" s="610"/>
      <c r="E635" s="610"/>
      <c r="F635" s="610"/>
      <c r="G635" s="610"/>
      <c r="H635" s="610"/>
      <c r="AS635" s="611"/>
    </row>
    <row r="636" spans="4:45" ht="13">
      <c r="D636" s="610"/>
      <c r="E636" s="610"/>
      <c r="F636" s="610"/>
      <c r="G636" s="610"/>
      <c r="H636" s="610"/>
      <c r="AS636" s="611"/>
    </row>
    <row r="637" spans="4:45" ht="13">
      <c r="D637" s="610"/>
      <c r="E637" s="610"/>
      <c r="F637" s="610"/>
      <c r="G637" s="610"/>
      <c r="H637" s="610"/>
      <c r="AS637" s="611"/>
    </row>
    <row r="638" spans="4:45" ht="13">
      <c r="D638" s="610"/>
      <c r="E638" s="610"/>
      <c r="F638" s="610"/>
      <c r="G638" s="610"/>
      <c r="H638" s="610"/>
      <c r="AS638" s="611"/>
    </row>
    <row r="639" spans="4:45" ht="13">
      <c r="D639" s="610"/>
      <c r="E639" s="610"/>
      <c r="F639" s="610"/>
      <c r="G639" s="610"/>
      <c r="H639" s="610"/>
      <c r="AS639" s="611"/>
    </row>
    <row r="640" spans="4:45" ht="13">
      <c r="D640" s="610"/>
      <c r="E640" s="610"/>
      <c r="F640" s="610"/>
      <c r="G640" s="610"/>
      <c r="H640" s="610"/>
      <c r="AS640" s="611"/>
    </row>
    <row r="641" spans="4:45" ht="13">
      <c r="D641" s="610"/>
      <c r="E641" s="610"/>
      <c r="F641" s="610"/>
      <c r="G641" s="610"/>
      <c r="H641" s="610"/>
      <c r="AS641" s="611"/>
    </row>
    <row r="642" spans="4:45" ht="13">
      <c r="D642" s="610"/>
      <c r="E642" s="610"/>
      <c r="F642" s="610"/>
      <c r="G642" s="610"/>
      <c r="H642" s="610"/>
      <c r="AS642" s="611"/>
    </row>
    <row r="643" spans="4:45" ht="13">
      <c r="D643" s="610"/>
      <c r="E643" s="610"/>
      <c r="F643" s="610"/>
      <c r="G643" s="610"/>
      <c r="H643" s="610"/>
      <c r="AS643" s="611"/>
    </row>
    <row r="644" spans="4:45" ht="13">
      <c r="D644" s="610"/>
      <c r="E644" s="610"/>
      <c r="F644" s="610"/>
      <c r="G644" s="610"/>
      <c r="H644" s="610"/>
      <c r="AS644" s="611"/>
    </row>
    <row r="645" spans="4:45" ht="13">
      <c r="D645" s="610"/>
      <c r="E645" s="610"/>
      <c r="F645" s="610"/>
      <c r="G645" s="610"/>
      <c r="H645" s="610"/>
      <c r="AS645" s="611"/>
    </row>
    <row r="646" spans="4:45" ht="13">
      <c r="D646" s="610"/>
      <c r="E646" s="610"/>
      <c r="F646" s="610"/>
      <c r="G646" s="610"/>
      <c r="H646" s="610"/>
      <c r="AS646" s="611"/>
    </row>
    <row r="647" spans="4:45" ht="13">
      <c r="D647" s="610"/>
      <c r="E647" s="610"/>
      <c r="F647" s="610"/>
      <c r="G647" s="610"/>
      <c r="H647" s="610"/>
      <c r="AS647" s="611"/>
    </row>
    <row r="648" spans="4:45" ht="13">
      <c r="D648" s="610"/>
      <c r="E648" s="610"/>
      <c r="F648" s="610"/>
      <c r="G648" s="610"/>
      <c r="H648" s="610"/>
      <c r="AS648" s="611"/>
    </row>
    <row r="649" spans="4:45" ht="13">
      <c r="D649" s="610"/>
      <c r="E649" s="610"/>
      <c r="F649" s="610"/>
      <c r="G649" s="610"/>
      <c r="H649" s="610"/>
      <c r="AS649" s="611"/>
    </row>
    <row r="650" spans="4:45" ht="13">
      <c r="D650" s="610"/>
      <c r="E650" s="610"/>
      <c r="F650" s="610"/>
      <c r="G650" s="610"/>
      <c r="H650" s="610"/>
      <c r="AS650" s="611"/>
    </row>
    <row r="651" spans="4:45" ht="13">
      <c r="D651" s="610"/>
      <c r="E651" s="610"/>
      <c r="F651" s="610"/>
      <c r="G651" s="610"/>
      <c r="H651" s="610"/>
      <c r="AS651" s="611"/>
    </row>
    <row r="652" spans="4:45" ht="13">
      <c r="D652" s="610"/>
      <c r="E652" s="610"/>
      <c r="F652" s="610"/>
      <c r="G652" s="610"/>
      <c r="H652" s="610"/>
      <c r="AS652" s="611"/>
    </row>
    <row r="653" spans="4:45" ht="13">
      <c r="D653" s="610"/>
      <c r="E653" s="610"/>
      <c r="F653" s="610"/>
      <c r="G653" s="610"/>
      <c r="H653" s="610"/>
      <c r="AS653" s="611"/>
    </row>
    <row r="654" spans="4:45" ht="13">
      <c r="D654" s="610"/>
      <c r="E654" s="610"/>
      <c r="F654" s="610"/>
      <c r="G654" s="610"/>
      <c r="H654" s="610"/>
      <c r="AS654" s="611"/>
    </row>
    <row r="655" spans="4:45" ht="13">
      <c r="D655" s="610"/>
      <c r="E655" s="610"/>
      <c r="F655" s="610"/>
      <c r="G655" s="610"/>
      <c r="H655" s="610"/>
      <c r="AS655" s="611"/>
    </row>
    <row r="656" spans="4:45" ht="13">
      <c r="D656" s="610"/>
      <c r="E656" s="610"/>
      <c r="F656" s="610"/>
      <c r="G656" s="610"/>
      <c r="H656" s="610"/>
      <c r="AS656" s="611"/>
    </row>
    <row r="657" spans="4:45" ht="13">
      <c r="D657" s="610"/>
      <c r="E657" s="610"/>
      <c r="F657" s="610"/>
      <c r="G657" s="610"/>
      <c r="H657" s="610"/>
      <c r="AS657" s="611"/>
    </row>
    <row r="658" spans="4:45" ht="13">
      <c r="D658" s="610"/>
      <c r="E658" s="610"/>
      <c r="F658" s="610"/>
      <c r="G658" s="610"/>
      <c r="H658" s="610"/>
      <c r="AS658" s="611"/>
    </row>
    <row r="659" spans="4:45" ht="13">
      <c r="D659" s="610"/>
      <c r="E659" s="610"/>
      <c r="F659" s="610"/>
      <c r="G659" s="610"/>
      <c r="H659" s="610"/>
      <c r="AS659" s="611"/>
    </row>
    <row r="660" spans="4:45" ht="13">
      <c r="D660" s="610"/>
      <c r="E660" s="610"/>
      <c r="F660" s="610"/>
      <c r="G660" s="610"/>
      <c r="H660" s="610"/>
      <c r="AS660" s="611"/>
    </row>
    <row r="661" spans="4:45" ht="13">
      <c r="D661" s="610"/>
      <c r="E661" s="610"/>
      <c r="F661" s="610"/>
      <c r="G661" s="610"/>
      <c r="H661" s="610"/>
      <c r="AS661" s="611"/>
    </row>
    <row r="662" spans="4:45" ht="13">
      <c r="D662" s="610"/>
      <c r="E662" s="610"/>
      <c r="F662" s="610"/>
      <c r="G662" s="610"/>
      <c r="H662" s="610"/>
      <c r="AS662" s="611"/>
    </row>
    <row r="663" spans="4:45" ht="13">
      <c r="D663" s="610"/>
      <c r="E663" s="610"/>
      <c r="F663" s="610"/>
      <c r="G663" s="610"/>
      <c r="H663" s="610"/>
      <c r="AS663" s="611"/>
    </row>
    <row r="664" spans="4:45" ht="13">
      <c r="D664" s="610"/>
      <c r="E664" s="610"/>
      <c r="F664" s="610"/>
      <c r="G664" s="610"/>
      <c r="H664" s="610"/>
      <c r="AS664" s="611"/>
    </row>
    <row r="665" spans="4:45" ht="13">
      <c r="D665" s="610"/>
      <c r="E665" s="610"/>
      <c r="F665" s="610"/>
      <c r="G665" s="610"/>
      <c r="H665" s="610"/>
      <c r="AS665" s="611"/>
    </row>
    <row r="666" spans="4:45" ht="13">
      <c r="D666" s="610"/>
      <c r="E666" s="610"/>
      <c r="F666" s="610"/>
      <c r="G666" s="610"/>
      <c r="H666" s="610"/>
      <c r="AS666" s="611"/>
    </row>
    <row r="667" spans="4:45" ht="13">
      <c r="D667" s="610"/>
      <c r="E667" s="610"/>
      <c r="F667" s="610"/>
      <c r="G667" s="610"/>
      <c r="H667" s="610"/>
      <c r="AS667" s="611"/>
    </row>
    <row r="668" spans="4:45" ht="13">
      <c r="D668" s="610"/>
      <c r="E668" s="610"/>
      <c r="F668" s="610"/>
      <c r="G668" s="610"/>
      <c r="H668" s="610"/>
      <c r="AS668" s="611"/>
    </row>
    <row r="669" spans="4:45" ht="13">
      <c r="D669" s="610"/>
      <c r="E669" s="610"/>
      <c r="F669" s="610"/>
      <c r="G669" s="610"/>
      <c r="H669" s="610"/>
      <c r="AS669" s="611"/>
    </row>
    <row r="670" spans="4:45" ht="13">
      <c r="D670" s="610"/>
      <c r="E670" s="610"/>
      <c r="F670" s="610"/>
      <c r="G670" s="610"/>
      <c r="H670" s="610"/>
      <c r="AS670" s="611"/>
    </row>
    <row r="671" spans="4:45" ht="13">
      <c r="D671" s="610"/>
      <c r="E671" s="610"/>
      <c r="F671" s="610"/>
      <c r="G671" s="610"/>
      <c r="H671" s="610"/>
      <c r="AS671" s="611"/>
    </row>
    <row r="672" spans="4:45" ht="13">
      <c r="D672" s="610"/>
      <c r="E672" s="610"/>
      <c r="F672" s="610"/>
      <c r="G672" s="610"/>
      <c r="H672" s="610"/>
      <c r="AS672" s="611"/>
    </row>
    <row r="673" spans="4:45" ht="13">
      <c r="D673" s="610"/>
      <c r="E673" s="610"/>
      <c r="F673" s="610"/>
      <c r="G673" s="610"/>
      <c r="H673" s="610"/>
      <c r="AS673" s="611"/>
    </row>
    <row r="674" spans="4:45" ht="13">
      <c r="D674" s="610"/>
      <c r="E674" s="610"/>
      <c r="F674" s="610"/>
      <c r="G674" s="610"/>
      <c r="H674" s="610"/>
      <c r="AS674" s="611"/>
    </row>
    <row r="675" spans="4:45" ht="13">
      <c r="D675" s="610"/>
      <c r="E675" s="610"/>
      <c r="F675" s="610"/>
      <c r="G675" s="610"/>
      <c r="H675" s="610"/>
      <c r="AS675" s="611"/>
    </row>
    <row r="676" spans="4:45" ht="13">
      <c r="D676" s="610"/>
      <c r="E676" s="610"/>
      <c r="F676" s="610"/>
      <c r="G676" s="610"/>
      <c r="H676" s="610"/>
      <c r="AS676" s="611"/>
    </row>
    <row r="677" spans="4:45" ht="13">
      <c r="D677" s="610"/>
      <c r="E677" s="610"/>
      <c r="F677" s="610"/>
      <c r="G677" s="610"/>
      <c r="H677" s="610"/>
      <c r="AS677" s="611"/>
    </row>
    <row r="678" spans="4:45" ht="13">
      <c r="D678" s="610"/>
      <c r="E678" s="610"/>
      <c r="F678" s="610"/>
      <c r="G678" s="610"/>
      <c r="H678" s="610"/>
      <c r="AS678" s="611"/>
    </row>
    <row r="679" spans="4:45" ht="13">
      <c r="D679" s="610"/>
      <c r="E679" s="610"/>
      <c r="F679" s="610"/>
      <c r="G679" s="610"/>
      <c r="H679" s="610"/>
      <c r="AS679" s="611"/>
    </row>
    <row r="680" spans="4:45" ht="13">
      <c r="D680" s="610"/>
      <c r="E680" s="610"/>
      <c r="F680" s="610"/>
      <c r="G680" s="610"/>
      <c r="H680" s="610"/>
      <c r="AS680" s="611"/>
    </row>
    <row r="681" spans="4:45" ht="13">
      <c r="D681" s="610"/>
      <c r="E681" s="610"/>
      <c r="F681" s="610"/>
      <c r="G681" s="610"/>
      <c r="H681" s="610"/>
      <c r="AS681" s="611"/>
    </row>
    <row r="682" spans="4:45" ht="13">
      <c r="D682" s="610"/>
      <c r="E682" s="610"/>
      <c r="F682" s="610"/>
      <c r="G682" s="610"/>
      <c r="H682" s="610"/>
      <c r="AS682" s="611"/>
    </row>
    <row r="683" spans="4:45" ht="13">
      <c r="D683" s="610"/>
      <c r="E683" s="610"/>
      <c r="F683" s="610"/>
      <c r="G683" s="610"/>
      <c r="H683" s="610"/>
      <c r="AS683" s="611"/>
    </row>
    <row r="684" spans="4:45" ht="13">
      <c r="D684" s="610"/>
      <c r="E684" s="610"/>
      <c r="F684" s="610"/>
      <c r="G684" s="610"/>
      <c r="H684" s="610"/>
      <c r="AS684" s="611"/>
    </row>
    <row r="685" spans="4:45" ht="13">
      <c r="D685" s="610"/>
      <c r="E685" s="610"/>
      <c r="F685" s="610"/>
      <c r="G685" s="610"/>
      <c r="H685" s="610"/>
      <c r="AS685" s="611"/>
    </row>
    <row r="686" spans="4:45" ht="13">
      <c r="D686" s="610"/>
      <c r="E686" s="610"/>
      <c r="F686" s="610"/>
      <c r="G686" s="610"/>
      <c r="H686" s="610"/>
      <c r="AS686" s="611"/>
    </row>
    <row r="687" spans="4:45" ht="13">
      <c r="D687" s="610"/>
      <c r="E687" s="610"/>
      <c r="F687" s="610"/>
      <c r="G687" s="610"/>
      <c r="H687" s="610"/>
      <c r="AS687" s="611"/>
    </row>
    <row r="688" spans="4:45" ht="13">
      <c r="D688" s="610"/>
      <c r="E688" s="610"/>
      <c r="F688" s="610"/>
      <c r="G688" s="610"/>
      <c r="H688" s="610"/>
      <c r="AS688" s="611"/>
    </row>
    <row r="689" spans="4:45" ht="13">
      <c r="D689" s="610"/>
      <c r="E689" s="610"/>
      <c r="F689" s="610"/>
      <c r="G689" s="610"/>
      <c r="H689" s="610"/>
      <c r="AS689" s="611"/>
    </row>
    <row r="690" spans="4:45" ht="13">
      <c r="D690" s="610"/>
      <c r="E690" s="610"/>
      <c r="F690" s="610"/>
      <c r="G690" s="610"/>
      <c r="H690" s="610"/>
      <c r="AS690" s="611"/>
    </row>
    <row r="691" spans="4:45" ht="13">
      <c r="D691" s="610"/>
      <c r="E691" s="610"/>
      <c r="F691" s="610"/>
      <c r="G691" s="610"/>
      <c r="H691" s="610"/>
      <c r="AS691" s="611"/>
    </row>
    <row r="692" spans="4:45" ht="13">
      <c r="D692" s="610"/>
      <c r="E692" s="610"/>
      <c r="F692" s="610"/>
      <c r="G692" s="610"/>
      <c r="H692" s="610"/>
      <c r="AS692" s="611"/>
    </row>
    <row r="693" spans="4:45" ht="13">
      <c r="D693" s="610"/>
      <c r="E693" s="610"/>
      <c r="F693" s="610"/>
      <c r="G693" s="610"/>
      <c r="H693" s="610"/>
      <c r="AS693" s="611"/>
    </row>
    <row r="694" spans="4:45" ht="13">
      <c r="D694" s="610"/>
      <c r="E694" s="610"/>
      <c r="F694" s="610"/>
      <c r="G694" s="610"/>
      <c r="H694" s="610"/>
      <c r="AS694" s="611"/>
    </row>
    <row r="695" spans="4:45" ht="13">
      <c r="D695" s="610"/>
      <c r="E695" s="610"/>
      <c r="F695" s="610"/>
      <c r="G695" s="610"/>
      <c r="H695" s="610"/>
      <c r="AS695" s="611"/>
    </row>
    <row r="696" spans="4:45" ht="13">
      <c r="D696" s="610"/>
      <c r="E696" s="610"/>
      <c r="F696" s="610"/>
      <c r="G696" s="610"/>
      <c r="H696" s="610"/>
      <c r="AS696" s="611"/>
    </row>
    <row r="697" spans="4:45" ht="13">
      <c r="D697" s="610"/>
      <c r="E697" s="610"/>
      <c r="F697" s="610"/>
      <c r="G697" s="610"/>
      <c r="H697" s="610"/>
      <c r="AS697" s="611"/>
    </row>
    <row r="698" spans="4:45" ht="13">
      <c r="D698" s="610"/>
      <c r="E698" s="610"/>
      <c r="F698" s="610"/>
      <c r="G698" s="610"/>
      <c r="H698" s="610"/>
      <c r="AS698" s="611"/>
    </row>
    <row r="699" spans="4:45" ht="13">
      <c r="D699" s="610"/>
      <c r="E699" s="610"/>
      <c r="F699" s="610"/>
      <c r="G699" s="610"/>
      <c r="H699" s="610"/>
      <c r="AS699" s="611"/>
    </row>
    <row r="700" spans="4:45" ht="13">
      <c r="D700" s="610"/>
      <c r="E700" s="610"/>
      <c r="F700" s="610"/>
      <c r="G700" s="610"/>
      <c r="H700" s="610"/>
      <c r="AS700" s="611"/>
    </row>
    <row r="701" spans="4:45" ht="13">
      <c r="D701" s="610"/>
      <c r="E701" s="610"/>
      <c r="F701" s="610"/>
      <c r="G701" s="610"/>
      <c r="H701" s="610"/>
      <c r="AS701" s="611"/>
    </row>
    <row r="702" spans="4:45" ht="13">
      <c r="D702" s="610"/>
      <c r="E702" s="610"/>
      <c r="F702" s="610"/>
      <c r="G702" s="610"/>
      <c r="H702" s="610"/>
      <c r="AS702" s="611"/>
    </row>
    <row r="703" spans="4:45" ht="13">
      <c r="D703" s="610"/>
      <c r="E703" s="610"/>
      <c r="F703" s="610"/>
      <c r="G703" s="610"/>
      <c r="H703" s="610"/>
      <c r="AS703" s="611"/>
    </row>
    <row r="704" spans="4:45" ht="13">
      <c r="D704" s="610"/>
      <c r="E704" s="610"/>
      <c r="F704" s="610"/>
      <c r="G704" s="610"/>
      <c r="H704" s="610"/>
      <c r="AS704" s="611"/>
    </row>
    <row r="705" spans="4:45" ht="13">
      <c r="D705" s="610"/>
      <c r="E705" s="610"/>
      <c r="F705" s="610"/>
      <c r="G705" s="610"/>
      <c r="H705" s="610"/>
      <c r="AS705" s="611"/>
    </row>
    <row r="706" spans="4:45" ht="13">
      <c r="D706" s="610"/>
      <c r="E706" s="610"/>
      <c r="F706" s="610"/>
      <c r="G706" s="610"/>
      <c r="H706" s="610"/>
      <c r="AS706" s="611"/>
    </row>
    <row r="707" spans="4:45" ht="13">
      <c r="D707" s="610"/>
      <c r="E707" s="610"/>
      <c r="F707" s="610"/>
      <c r="G707" s="610"/>
      <c r="H707" s="610"/>
      <c r="AS707" s="611"/>
    </row>
    <row r="708" spans="4:45" ht="13">
      <c r="D708" s="610"/>
      <c r="E708" s="610"/>
      <c r="F708" s="610"/>
      <c r="G708" s="610"/>
      <c r="H708" s="610"/>
      <c r="AS708" s="611"/>
    </row>
    <row r="709" spans="4:45" ht="13">
      <c r="D709" s="610"/>
      <c r="E709" s="610"/>
      <c r="F709" s="610"/>
      <c r="G709" s="610"/>
      <c r="H709" s="610"/>
      <c r="AS709" s="611"/>
    </row>
    <row r="710" spans="4:45" ht="13">
      <c r="D710" s="610"/>
      <c r="E710" s="610"/>
      <c r="F710" s="610"/>
      <c r="G710" s="610"/>
      <c r="H710" s="610"/>
      <c r="AS710" s="611"/>
    </row>
    <row r="711" spans="4:45" ht="13">
      <c r="D711" s="610"/>
      <c r="E711" s="610"/>
      <c r="F711" s="610"/>
      <c r="G711" s="610"/>
      <c r="H711" s="610"/>
      <c r="AS711" s="611"/>
    </row>
    <row r="712" spans="4:45" ht="13">
      <c r="D712" s="610"/>
      <c r="E712" s="610"/>
      <c r="F712" s="610"/>
      <c r="G712" s="610"/>
      <c r="H712" s="610"/>
      <c r="AS712" s="611"/>
    </row>
    <row r="713" spans="4:45" ht="13">
      <c r="D713" s="610"/>
      <c r="E713" s="610"/>
      <c r="F713" s="610"/>
      <c r="G713" s="610"/>
      <c r="H713" s="610"/>
      <c r="AS713" s="611"/>
    </row>
    <row r="714" spans="4:45" ht="13">
      <c r="D714" s="610"/>
      <c r="E714" s="610"/>
      <c r="F714" s="610"/>
      <c r="G714" s="610"/>
      <c r="H714" s="610"/>
      <c r="AS714" s="611"/>
    </row>
    <row r="715" spans="4:45" ht="13">
      <c r="D715" s="610"/>
      <c r="E715" s="610"/>
      <c r="F715" s="610"/>
      <c r="G715" s="610"/>
      <c r="H715" s="610"/>
      <c r="AS715" s="611"/>
    </row>
    <row r="716" spans="4:45" ht="13">
      <c r="D716" s="610"/>
      <c r="E716" s="610"/>
      <c r="F716" s="610"/>
      <c r="G716" s="610"/>
      <c r="H716" s="610"/>
      <c r="AS716" s="611"/>
    </row>
    <row r="717" spans="4:45" ht="13">
      <c r="D717" s="610"/>
      <c r="E717" s="610"/>
      <c r="F717" s="610"/>
      <c r="G717" s="610"/>
      <c r="H717" s="610"/>
      <c r="AS717" s="611"/>
    </row>
    <row r="718" spans="4:45" ht="13">
      <c r="D718" s="610"/>
      <c r="E718" s="610"/>
      <c r="F718" s="610"/>
      <c r="G718" s="610"/>
      <c r="H718" s="610"/>
      <c r="AS718" s="611"/>
    </row>
    <row r="719" spans="4:45" ht="13">
      <c r="D719" s="610"/>
      <c r="E719" s="610"/>
      <c r="F719" s="610"/>
      <c r="G719" s="610"/>
      <c r="H719" s="610"/>
      <c r="AS719" s="611"/>
    </row>
    <row r="720" spans="4:45" ht="13">
      <c r="D720" s="610"/>
      <c r="E720" s="610"/>
      <c r="F720" s="610"/>
      <c r="G720" s="610"/>
      <c r="H720" s="610"/>
      <c r="AS720" s="611"/>
    </row>
    <row r="721" spans="4:45" ht="13">
      <c r="D721" s="610"/>
      <c r="E721" s="610"/>
      <c r="F721" s="610"/>
      <c r="G721" s="610"/>
      <c r="H721" s="610"/>
      <c r="AS721" s="611"/>
    </row>
    <row r="722" spans="4:45" ht="13">
      <c r="D722" s="610"/>
      <c r="E722" s="610"/>
      <c r="F722" s="610"/>
      <c r="G722" s="610"/>
      <c r="H722" s="610"/>
      <c r="AS722" s="611"/>
    </row>
    <row r="723" spans="4:45" ht="13">
      <c r="D723" s="610"/>
      <c r="E723" s="610"/>
      <c r="F723" s="610"/>
      <c r="G723" s="610"/>
      <c r="H723" s="610"/>
      <c r="AS723" s="611"/>
    </row>
    <row r="724" spans="4:45" ht="13">
      <c r="D724" s="610"/>
      <c r="E724" s="610"/>
      <c r="F724" s="610"/>
      <c r="G724" s="610"/>
      <c r="H724" s="610"/>
      <c r="AS724" s="611"/>
    </row>
    <row r="725" spans="4:45" ht="13">
      <c r="D725" s="610"/>
      <c r="E725" s="610"/>
      <c r="F725" s="610"/>
      <c r="G725" s="610"/>
      <c r="H725" s="610"/>
      <c r="AS725" s="611"/>
    </row>
    <row r="726" spans="4:45" ht="13">
      <c r="D726" s="610"/>
      <c r="E726" s="610"/>
      <c r="F726" s="610"/>
      <c r="G726" s="610"/>
      <c r="H726" s="610"/>
      <c r="AS726" s="611"/>
    </row>
    <row r="727" spans="4:45" ht="13">
      <c r="D727" s="610"/>
      <c r="E727" s="610"/>
      <c r="F727" s="610"/>
      <c r="G727" s="610"/>
      <c r="H727" s="610"/>
      <c r="AS727" s="611"/>
    </row>
    <row r="728" spans="4:45" ht="13">
      <c r="D728" s="610"/>
      <c r="E728" s="610"/>
      <c r="F728" s="610"/>
      <c r="G728" s="610"/>
      <c r="H728" s="610"/>
      <c r="AS728" s="611"/>
    </row>
    <row r="729" spans="4:45" ht="13">
      <c r="D729" s="610"/>
      <c r="E729" s="610"/>
      <c r="F729" s="610"/>
      <c r="G729" s="610"/>
      <c r="H729" s="610"/>
      <c r="AS729" s="611"/>
    </row>
    <row r="730" spans="4:45" ht="13">
      <c r="D730" s="610"/>
      <c r="E730" s="610"/>
      <c r="F730" s="610"/>
      <c r="G730" s="610"/>
      <c r="H730" s="610"/>
      <c r="AS730" s="611"/>
    </row>
    <row r="731" spans="4:45" ht="13">
      <c r="D731" s="610"/>
      <c r="E731" s="610"/>
      <c r="F731" s="610"/>
      <c r="G731" s="610"/>
      <c r="H731" s="610"/>
      <c r="AS731" s="611"/>
    </row>
    <row r="732" spans="4:45" ht="13">
      <c r="D732" s="610"/>
      <c r="E732" s="610"/>
      <c r="F732" s="610"/>
      <c r="G732" s="610"/>
      <c r="H732" s="610"/>
      <c r="AS732" s="611"/>
    </row>
    <row r="733" spans="4:45" ht="13">
      <c r="D733" s="610"/>
      <c r="E733" s="610"/>
      <c r="F733" s="610"/>
      <c r="G733" s="610"/>
      <c r="H733" s="610"/>
      <c r="AS733" s="611"/>
    </row>
    <row r="734" spans="4:45" ht="13">
      <c r="D734" s="610"/>
      <c r="E734" s="610"/>
      <c r="F734" s="610"/>
      <c r="G734" s="610"/>
      <c r="H734" s="610"/>
      <c r="AS734" s="611"/>
    </row>
    <row r="735" spans="4:45" ht="13">
      <c r="D735" s="610"/>
      <c r="E735" s="610"/>
      <c r="F735" s="610"/>
      <c r="G735" s="610"/>
      <c r="H735" s="610"/>
      <c r="AS735" s="611"/>
    </row>
    <row r="736" spans="4:45" ht="13">
      <c r="D736" s="610"/>
      <c r="E736" s="610"/>
      <c r="F736" s="610"/>
      <c r="G736" s="610"/>
      <c r="H736" s="610"/>
      <c r="AS736" s="611"/>
    </row>
    <row r="737" spans="4:45" ht="13">
      <c r="D737" s="610"/>
      <c r="E737" s="610"/>
      <c r="F737" s="610"/>
      <c r="G737" s="610"/>
      <c r="H737" s="610"/>
      <c r="AS737" s="611"/>
    </row>
    <row r="738" spans="4:45" ht="13">
      <c r="D738" s="610"/>
      <c r="E738" s="610"/>
      <c r="F738" s="610"/>
      <c r="G738" s="610"/>
      <c r="H738" s="610"/>
      <c r="AS738" s="611"/>
    </row>
    <row r="739" spans="4:45" ht="13">
      <c r="D739" s="610"/>
      <c r="E739" s="610"/>
      <c r="F739" s="610"/>
      <c r="G739" s="610"/>
      <c r="H739" s="610"/>
      <c r="AS739" s="611"/>
    </row>
    <row r="740" spans="4:45" ht="13">
      <c r="D740" s="610"/>
      <c r="E740" s="610"/>
      <c r="F740" s="610"/>
      <c r="G740" s="610"/>
      <c r="H740" s="610"/>
      <c r="AS740" s="611"/>
    </row>
    <row r="741" spans="4:45" ht="13">
      <c r="D741" s="610"/>
      <c r="E741" s="610"/>
      <c r="F741" s="610"/>
      <c r="G741" s="610"/>
      <c r="H741" s="610"/>
      <c r="AS741" s="611"/>
    </row>
    <row r="742" spans="4:45" ht="13">
      <c r="D742" s="610"/>
      <c r="E742" s="610"/>
      <c r="F742" s="610"/>
      <c r="G742" s="610"/>
      <c r="H742" s="610"/>
      <c r="AS742" s="611"/>
    </row>
    <row r="743" spans="4:45" ht="13">
      <c r="D743" s="610"/>
      <c r="E743" s="610"/>
      <c r="F743" s="610"/>
      <c r="G743" s="610"/>
      <c r="H743" s="610"/>
      <c r="AS743" s="611"/>
    </row>
    <row r="744" spans="4:45" ht="13">
      <c r="D744" s="610"/>
      <c r="E744" s="610"/>
      <c r="F744" s="610"/>
      <c r="G744" s="610"/>
      <c r="H744" s="610"/>
      <c r="AS744" s="611"/>
    </row>
    <row r="745" spans="4:45" ht="13">
      <c r="D745" s="610"/>
      <c r="E745" s="610"/>
      <c r="F745" s="610"/>
      <c r="G745" s="610"/>
      <c r="H745" s="610"/>
      <c r="AS745" s="611"/>
    </row>
    <row r="746" spans="4:45" ht="13">
      <c r="D746" s="610"/>
      <c r="E746" s="610"/>
      <c r="F746" s="610"/>
      <c r="G746" s="610"/>
      <c r="H746" s="610"/>
      <c r="AS746" s="611"/>
    </row>
    <row r="747" spans="4:45" ht="13">
      <c r="D747" s="610"/>
      <c r="E747" s="610"/>
      <c r="F747" s="610"/>
      <c r="G747" s="610"/>
      <c r="H747" s="610"/>
      <c r="AS747" s="611"/>
    </row>
    <row r="748" spans="4:45" ht="13">
      <c r="D748" s="610"/>
      <c r="E748" s="610"/>
      <c r="F748" s="610"/>
      <c r="G748" s="610"/>
      <c r="H748" s="610"/>
      <c r="AS748" s="611"/>
    </row>
    <row r="749" spans="4:45" ht="13">
      <c r="D749" s="610"/>
      <c r="E749" s="610"/>
      <c r="F749" s="610"/>
      <c r="G749" s="610"/>
      <c r="H749" s="610"/>
      <c r="AS749" s="611"/>
    </row>
    <row r="750" spans="4:45" ht="13">
      <c r="D750" s="610"/>
      <c r="E750" s="610"/>
      <c r="F750" s="610"/>
      <c r="G750" s="610"/>
      <c r="H750" s="610"/>
      <c r="AS750" s="611"/>
    </row>
    <row r="751" spans="4:45" ht="13">
      <c r="D751" s="610"/>
      <c r="E751" s="610"/>
      <c r="F751" s="610"/>
      <c r="G751" s="610"/>
      <c r="H751" s="610"/>
      <c r="AS751" s="611"/>
    </row>
    <row r="752" spans="4:45" ht="13">
      <c r="D752" s="610"/>
      <c r="E752" s="610"/>
      <c r="F752" s="610"/>
      <c r="G752" s="610"/>
      <c r="H752" s="610"/>
      <c r="AS752" s="611"/>
    </row>
    <row r="753" spans="4:45" ht="13">
      <c r="D753" s="610"/>
      <c r="E753" s="610"/>
      <c r="F753" s="610"/>
      <c r="G753" s="610"/>
      <c r="H753" s="610"/>
      <c r="AS753" s="611"/>
    </row>
    <row r="754" spans="4:45" ht="13">
      <c r="D754" s="610"/>
      <c r="E754" s="610"/>
      <c r="F754" s="610"/>
      <c r="G754" s="610"/>
      <c r="H754" s="610"/>
      <c r="AS754" s="611"/>
    </row>
    <row r="755" spans="4:45" ht="13">
      <c r="D755" s="610"/>
      <c r="E755" s="610"/>
      <c r="F755" s="610"/>
      <c r="G755" s="610"/>
      <c r="H755" s="610"/>
      <c r="AS755" s="611"/>
    </row>
    <row r="756" spans="4:45" ht="13">
      <c r="D756" s="610"/>
      <c r="E756" s="610"/>
      <c r="F756" s="610"/>
      <c r="G756" s="610"/>
      <c r="H756" s="610"/>
      <c r="AS756" s="611"/>
    </row>
    <row r="757" spans="4:45" ht="13">
      <c r="D757" s="610"/>
      <c r="E757" s="610"/>
      <c r="F757" s="610"/>
      <c r="G757" s="610"/>
      <c r="H757" s="610"/>
      <c r="AS757" s="611"/>
    </row>
    <row r="758" spans="4:45" ht="13">
      <c r="D758" s="610"/>
      <c r="E758" s="610"/>
      <c r="F758" s="610"/>
      <c r="G758" s="610"/>
      <c r="H758" s="610"/>
      <c r="AS758" s="611"/>
    </row>
    <row r="759" spans="4:45" ht="13">
      <c r="D759" s="610"/>
      <c r="E759" s="610"/>
      <c r="F759" s="610"/>
      <c r="G759" s="610"/>
      <c r="H759" s="610"/>
      <c r="AS759" s="611"/>
    </row>
    <row r="760" spans="4:45" ht="13">
      <c r="D760" s="610"/>
      <c r="E760" s="610"/>
      <c r="F760" s="610"/>
      <c r="G760" s="610"/>
      <c r="H760" s="610"/>
      <c r="AS760" s="611"/>
    </row>
    <row r="761" spans="4:45" ht="13">
      <c r="D761" s="610"/>
      <c r="E761" s="610"/>
      <c r="F761" s="610"/>
      <c r="G761" s="610"/>
      <c r="H761" s="610"/>
      <c r="AS761" s="611"/>
    </row>
    <row r="762" spans="4:45" ht="13">
      <c r="D762" s="610"/>
      <c r="E762" s="610"/>
      <c r="F762" s="610"/>
      <c r="G762" s="610"/>
      <c r="H762" s="610"/>
      <c r="AS762" s="611"/>
    </row>
    <row r="763" spans="4:45" ht="13">
      <c r="D763" s="610"/>
      <c r="E763" s="610"/>
      <c r="F763" s="610"/>
      <c r="G763" s="610"/>
      <c r="H763" s="610"/>
      <c r="AS763" s="611"/>
    </row>
    <row r="764" spans="4:45" ht="13">
      <c r="D764" s="610"/>
      <c r="E764" s="610"/>
      <c r="F764" s="610"/>
      <c r="G764" s="610"/>
      <c r="H764" s="610"/>
      <c r="AS764" s="611"/>
    </row>
    <row r="765" spans="4:45" ht="13">
      <c r="D765" s="610"/>
      <c r="E765" s="610"/>
      <c r="F765" s="610"/>
      <c r="G765" s="610"/>
      <c r="H765" s="610"/>
      <c r="AS765" s="611"/>
    </row>
    <row r="766" spans="4:45" ht="13">
      <c r="D766" s="610"/>
      <c r="E766" s="610"/>
      <c r="F766" s="610"/>
      <c r="G766" s="610"/>
      <c r="H766" s="610"/>
      <c r="AS766" s="611"/>
    </row>
    <row r="767" spans="4:45" ht="13">
      <c r="D767" s="610"/>
      <c r="E767" s="610"/>
      <c r="F767" s="610"/>
      <c r="G767" s="610"/>
      <c r="H767" s="610"/>
      <c r="AS767" s="611"/>
    </row>
    <row r="768" spans="4:45" ht="13">
      <c r="D768" s="610"/>
      <c r="E768" s="610"/>
      <c r="F768" s="610"/>
      <c r="G768" s="610"/>
      <c r="H768" s="610"/>
      <c r="AS768" s="611"/>
    </row>
    <row r="769" spans="4:45" ht="13">
      <c r="D769" s="610"/>
      <c r="E769" s="610"/>
      <c r="F769" s="610"/>
      <c r="G769" s="610"/>
      <c r="H769" s="610"/>
      <c r="AS769" s="611"/>
    </row>
    <row r="770" spans="4:45" ht="13">
      <c r="D770" s="610"/>
      <c r="E770" s="610"/>
      <c r="F770" s="610"/>
      <c r="G770" s="610"/>
      <c r="H770" s="610"/>
      <c r="AS770" s="611"/>
    </row>
    <row r="771" spans="4:45" ht="13">
      <c r="D771" s="610"/>
      <c r="E771" s="610"/>
      <c r="F771" s="610"/>
      <c r="G771" s="610"/>
      <c r="H771" s="610"/>
      <c r="AS771" s="611"/>
    </row>
    <row r="772" spans="4:45" ht="13">
      <c r="D772" s="610"/>
      <c r="E772" s="610"/>
      <c r="F772" s="610"/>
      <c r="G772" s="610"/>
      <c r="H772" s="610"/>
      <c r="AS772" s="611"/>
    </row>
    <row r="773" spans="4:45" ht="13">
      <c r="D773" s="610"/>
      <c r="E773" s="610"/>
      <c r="F773" s="610"/>
      <c r="G773" s="610"/>
      <c r="H773" s="610"/>
      <c r="AS773" s="611"/>
    </row>
    <row r="774" spans="4:45" ht="13">
      <c r="D774" s="610"/>
      <c r="E774" s="610"/>
      <c r="F774" s="610"/>
      <c r="G774" s="610"/>
      <c r="H774" s="610"/>
      <c r="AS774" s="611"/>
    </row>
    <row r="775" spans="4:45" ht="13">
      <c r="D775" s="610"/>
      <c r="E775" s="610"/>
      <c r="F775" s="610"/>
      <c r="G775" s="610"/>
      <c r="H775" s="610"/>
      <c r="AS775" s="611"/>
    </row>
    <row r="776" spans="4:45" ht="13">
      <c r="D776" s="610"/>
      <c r="E776" s="610"/>
      <c r="F776" s="610"/>
      <c r="G776" s="610"/>
      <c r="H776" s="610"/>
      <c r="AS776" s="611"/>
    </row>
    <row r="777" spans="4:45" ht="13">
      <c r="D777" s="610"/>
      <c r="E777" s="610"/>
      <c r="F777" s="610"/>
      <c r="G777" s="610"/>
      <c r="H777" s="610"/>
      <c r="AS777" s="611"/>
    </row>
    <row r="778" spans="4:45" ht="13">
      <c r="D778" s="610"/>
      <c r="E778" s="610"/>
      <c r="F778" s="610"/>
      <c r="G778" s="610"/>
      <c r="H778" s="610"/>
      <c r="AS778" s="611"/>
    </row>
    <row r="779" spans="4:45" ht="13">
      <c r="D779" s="610"/>
      <c r="E779" s="610"/>
      <c r="F779" s="610"/>
      <c r="G779" s="610"/>
      <c r="H779" s="610"/>
      <c r="AS779" s="611"/>
    </row>
    <row r="780" spans="4:45" ht="13">
      <c r="D780" s="610"/>
      <c r="E780" s="610"/>
      <c r="F780" s="610"/>
      <c r="G780" s="610"/>
      <c r="H780" s="610"/>
      <c r="AS780" s="611"/>
    </row>
    <row r="781" spans="4:45" ht="13">
      <c r="D781" s="610"/>
      <c r="E781" s="610"/>
      <c r="F781" s="610"/>
      <c r="G781" s="610"/>
      <c r="H781" s="610"/>
      <c r="AS781" s="611"/>
    </row>
    <row r="782" spans="4:45" ht="13">
      <c r="D782" s="610"/>
      <c r="E782" s="610"/>
      <c r="F782" s="610"/>
      <c r="G782" s="610"/>
      <c r="H782" s="610"/>
      <c r="AS782" s="611"/>
    </row>
    <row r="783" spans="4:45" ht="13">
      <c r="D783" s="610"/>
      <c r="E783" s="610"/>
      <c r="F783" s="610"/>
      <c r="G783" s="610"/>
      <c r="H783" s="610"/>
      <c r="AS783" s="611"/>
    </row>
    <row r="784" spans="4:45" ht="13">
      <c r="D784" s="610"/>
      <c r="E784" s="610"/>
      <c r="F784" s="610"/>
      <c r="G784" s="610"/>
      <c r="H784" s="610"/>
      <c r="AS784" s="611"/>
    </row>
    <row r="785" spans="4:45" ht="13">
      <c r="D785" s="610"/>
      <c r="E785" s="610"/>
      <c r="F785" s="610"/>
      <c r="G785" s="610"/>
      <c r="H785" s="610"/>
      <c r="AS785" s="611"/>
    </row>
    <row r="786" spans="4:45" ht="13">
      <c r="D786" s="610"/>
      <c r="E786" s="610"/>
      <c r="F786" s="610"/>
      <c r="G786" s="610"/>
      <c r="H786" s="610"/>
      <c r="AS786" s="611"/>
    </row>
    <row r="787" spans="4:45" ht="13">
      <c r="D787" s="610"/>
      <c r="E787" s="610"/>
      <c r="F787" s="610"/>
      <c r="G787" s="610"/>
      <c r="H787" s="610"/>
      <c r="AS787" s="611"/>
    </row>
    <row r="788" spans="4:45" ht="13">
      <c r="D788" s="610"/>
      <c r="E788" s="610"/>
      <c r="F788" s="610"/>
      <c r="G788" s="610"/>
      <c r="H788" s="610"/>
      <c r="AS788" s="611"/>
    </row>
    <row r="789" spans="4:45" ht="13">
      <c r="D789" s="610"/>
      <c r="E789" s="610"/>
      <c r="F789" s="610"/>
      <c r="G789" s="610"/>
      <c r="H789" s="610"/>
      <c r="AS789" s="611"/>
    </row>
    <row r="790" spans="4:45" ht="13">
      <c r="D790" s="610"/>
      <c r="E790" s="610"/>
      <c r="F790" s="610"/>
      <c r="G790" s="610"/>
      <c r="H790" s="610"/>
      <c r="AS790" s="611"/>
    </row>
    <row r="791" spans="4:45" ht="13">
      <c r="D791" s="610"/>
      <c r="E791" s="610"/>
      <c r="F791" s="610"/>
      <c r="G791" s="610"/>
      <c r="H791" s="610"/>
      <c r="AS791" s="611"/>
    </row>
    <row r="792" spans="4:45" ht="13">
      <c r="D792" s="610"/>
      <c r="E792" s="610"/>
      <c r="F792" s="610"/>
      <c r="G792" s="610"/>
      <c r="H792" s="610"/>
      <c r="AS792" s="611"/>
    </row>
    <row r="793" spans="4:45" ht="13">
      <c r="D793" s="610"/>
      <c r="E793" s="610"/>
      <c r="F793" s="610"/>
      <c r="G793" s="610"/>
      <c r="H793" s="610"/>
      <c r="AS793" s="611"/>
    </row>
    <row r="794" spans="4:45" ht="13">
      <c r="D794" s="610"/>
      <c r="E794" s="610"/>
      <c r="F794" s="610"/>
      <c r="G794" s="610"/>
      <c r="H794" s="610"/>
      <c r="AS794" s="611"/>
    </row>
    <row r="795" spans="4:45" ht="13">
      <c r="D795" s="610"/>
      <c r="E795" s="610"/>
      <c r="F795" s="610"/>
      <c r="G795" s="610"/>
      <c r="H795" s="610"/>
      <c r="AS795" s="611"/>
    </row>
    <row r="796" spans="4:45" ht="13">
      <c r="D796" s="610"/>
      <c r="E796" s="610"/>
      <c r="F796" s="610"/>
      <c r="G796" s="610"/>
      <c r="H796" s="610"/>
      <c r="AS796" s="611"/>
    </row>
    <row r="797" spans="4:45" ht="13">
      <c r="D797" s="610"/>
      <c r="E797" s="610"/>
      <c r="F797" s="610"/>
      <c r="G797" s="610"/>
      <c r="H797" s="610"/>
      <c r="AS797" s="611"/>
    </row>
    <row r="798" spans="4:45" ht="13">
      <c r="D798" s="610"/>
      <c r="E798" s="610"/>
      <c r="F798" s="610"/>
      <c r="G798" s="610"/>
      <c r="H798" s="610"/>
      <c r="AS798" s="611"/>
    </row>
    <row r="799" spans="4:45" ht="13">
      <c r="D799" s="610"/>
      <c r="E799" s="610"/>
      <c r="F799" s="610"/>
      <c r="G799" s="610"/>
      <c r="H799" s="610"/>
      <c r="AS799" s="611"/>
    </row>
    <row r="800" spans="4:45" ht="13">
      <c r="D800" s="610"/>
      <c r="E800" s="610"/>
      <c r="F800" s="610"/>
      <c r="G800" s="610"/>
      <c r="H800" s="610"/>
      <c r="AS800" s="611"/>
    </row>
    <row r="801" spans="4:45" ht="13">
      <c r="D801" s="610"/>
      <c r="E801" s="610"/>
      <c r="F801" s="610"/>
      <c r="G801" s="610"/>
      <c r="H801" s="610"/>
      <c r="AS801" s="611"/>
    </row>
    <row r="802" spans="4:45" ht="13">
      <c r="D802" s="610"/>
      <c r="E802" s="610"/>
      <c r="F802" s="610"/>
      <c r="G802" s="610"/>
      <c r="H802" s="610"/>
      <c r="AS802" s="611"/>
    </row>
    <row r="803" spans="4:45" ht="13">
      <c r="D803" s="610"/>
      <c r="E803" s="610"/>
      <c r="F803" s="610"/>
      <c r="G803" s="610"/>
      <c r="H803" s="610"/>
      <c r="AS803" s="611"/>
    </row>
    <row r="804" spans="4:45" ht="13">
      <c r="D804" s="610"/>
      <c r="E804" s="610"/>
      <c r="F804" s="610"/>
      <c r="G804" s="610"/>
      <c r="H804" s="610"/>
      <c r="AS804" s="611"/>
    </row>
    <row r="805" spans="4:45" ht="13">
      <c r="D805" s="610"/>
      <c r="E805" s="610"/>
      <c r="F805" s="610"/>
      <c r="G805" s="610"/>
      <c r="H805" s="610"/>
      <c r="AS805" s="611"/>
    </row>
    <row r="806" spans="4:45" ht="13">
      <c r="D806" s="610"/>
      <c r="E806" s="610"/>
      <c r="F806" s="610"/>
      <c r="G806" s="610"/>
      <c r="H806" s="610"/>
      <c r="AS806" s="611"/>
    </row>
    <row r="807" spans="4:45" ht="13">
      <c r="D807" s="610"/>
      <c r="E807" s="610"/>
      <c r="F807" s="610"/>
      <c r="G807" s="610"/>
      <c r="H807" s="610"/>
      <c r="AS807" s="611"/>
    </row>
    <row r="808" spans="4:45" ht="13">
      <c r="D808" s="610"/>
      <c r="E808" s="610"/>
      <c r="F808" s="610"/>
      <c r="G808" s="610"/>
      <c r="H808" s="610"/>
      <c r="AS808" s="611"/>
    </row>
    <row r="809" spans="4:45" ht="13">
      <c r="D809" s="610"/>
      <c r="E809" s="610"/>
      <c r="F809" s="610"/>
      <c r="G809" s="610"/>
      <c r="H809" s="610"/>
      <c r="AS809" s="611"/>
    </row>
    <row r="810" spans="4:45" ht="13">
      <c r="D810" s="610"/>
      <c r="E810" s="610"/>
      <c r="F810" s="610"/>
      <c r="G810" s="610"/>
      <c r="H810" s="610"/>
      <c r="AS810" s="611"/>
    </row>
    <row r="811" spans="4:45" ht="13">
      <c r="D811" s="610"/>
      <c r="E811" s="610"/>
      <c r="F811" s="610"/>
      <c r="G811" s="610"/>
      <c r="H811" s="610"/>
      <c r="AS811" s="611"/>
    </row>
    <row r="812" spans="4:45" ht="13">
      <c r="D812" s="610"/>
      <c r="E812" s="610"/>
      <c r="F812" s="610"/>
      <c r="G812" s="610"/>
      <c r="H812" s="610"/>
      <c r="AS812" s="611"/>
    </row>
    <row r="813" spans="4:45" ht="13">
      <c r="D813" s="610"/>
      <c r="E813" s="610"/>
      <c r="F813" s="610"/>
      <c r="G813" s="610"/>
      <c r="H813" s="610"/>
      <c r="AS813" s="611"/>
    </row>
    <row r="814" spans="4:45" ht="13">
      <c r="D814" s="610"/>
      <c r="E814" s="610"/>
      <c r="F814" s="610"/>
      <c r="G814" s="610"/>
      <c r="H814" s="610"/>
      <c r="AS814" s="611"/>
    </row>
    <row r="815" spans="4:45" ht="13">
      <c r="D815" s="610"/>
      <c r="E815" s="610"/>
      <c r="F815" s="610"/>
      <c r="G815" s="610"/>
      <c r="H815" s="610"/>
      <c r="AS815" s="611"/>
    </row>
    <row r="816" spans="4:45" ht="13">
      <c r="D816" s="610"/>
      <c r="E816" s="610"/>
      <c r="F816" s="610"/>
      <c r="G816" s="610"/>
      <c r="H816" s="610"/>
      <c r="AS816" s="611"/>
    </row>
    <row r="817" spans="4:45" ht="13">
      <c r="D817" s="610"/>
      <c r="E817" s="610"/>
      <c r="F817" s="610"/>
      <c r="G817" s="610"/>
      <c r="H817" s="610"/>
      <c r="AS817" s="611"/>
    </row>
    <row r="818" spans="4:45" ht="13">
      <c r="D818" s="610"/>
      <c r="E818" s="610"/>
      <c r="F818" s="610"/>
      <c r="G818" s="610"/>
      <c r="H818" s="610"/>
      <c r="AS818" s="611"/>
    </row>
    <row r="819" spans="4:45" ht="13">
      <c r="D819" s="610"/>
      <c r="E819" s="610"/>
      <c r="F819" s="610"/>
      <c r="G819" s="610"/>
      <c r="H819" s="610"/>
      <c r="AS819" s="611"/>
    </row>
    <row r="820" spans="4:45" ht="13">
      <c r="D820" s="610"/>
      <c r="E820" s="610"/>
      <c r="F820" s="610"/>
      <c r="G820" s="610"/>
      <c r="H820" s="610"/>
      <c r="AS820" s="611"/>
    </row>
    <row r="821" spans="4:45" ht="13">
      <c r="D821" s="610"/>
      <c r="E821" s="610"/>
      <c r="F821" s="610"/>
      <c r="G821" s="610"/>
      <c r="H821" s="610"/>
      <c r="AS821" s="611"/>
    </row>
    <row r="822" spans="4:45" ht="13">
      <c r="D822" s="610"/>
      <c r="E822" s="610"/>
      <c r="F822" s="610"/>
      <c r="G822" s="610"/>
      <c r="H822" s="610"/>
      <c r="AS822" s="611"/>
    </row>
    <row r="823" spans="4:45" ht="13">
      <c r="D823" s="610"/>
      <c r="E823" s="610"/>
      <c r="F823" s="610"/>
      <c r="G823" s="610"/>
      <c r="H823" s="610"/>
      <c r="AS823" s="611"/>
    </row>
    <row r="824" spans="4:45" ht="13">
      <c r="D824" s="610"/>
      <c r="E824" s="610"/>
      <c r="F824" s="610"/>
      <c r="G824" s="610"/>
      <c r="H824" s="610"/>
      <c r="AS824" s="611"/>
    </row>
    <row r="825" spans="4:45" ht="13">
      <c r="D825" s="610"/>
      <c r="E825" s="610"/>
      <c r="F825" s="610"/>
      <c r="G825" s="610"/>
      <c r="H825" s="610"/>
      <c r="AS825" s="611"/>
    </row>
    <row r="826" spans="4:45" ht="13">
      <c r="D826" s="610"/>
      <c r="E826" s="610"/>
      <c r="F826" s="610"/>
      <c r="G826" s="610"/>
      <c r="H826" s="610"/>
      <c r="AS826" s="611"/>
    </row>
    <row r="827" spans="4:45" ht="13">
      <c r="D827" s="610"/>
      <c r="E827" s="610"/>
      <c r="F827" s="610"/>
      <c r="G827" s="610"/>
      <c r="H827" s="610"/>
      <c r="AS827" s="611"/>
    </row>
    <row r="828" spans="4:45" ht="13">
      <c r="D828" s="610"/>
      <c r="E828" s="610"/>
      <c r="F828" s="610"/>
      <c r="G828" s="610"/>
      <c r="H828" s="610"/>
      <c r="AS828" s="611"/>
    </row>
    <row r="829" spans="4:45" ht="13">
      <c r="D829" s="610"/>
      <c r="E829" s="610"/>
      <c r="F829" s="610"/>
      <c r="G829" s="610"/>
      <c r="H829" s="610"/>
      <c r="AS829" s="611"/>
    </row>
    <row r="830" spans="4:45" ht="13">
      <c r="D830" s="610"/>
      <c r="E830" s="610"/>
      <c r="F830" s="610"/>
      <c r="G830" s="610"/>
      <c r="H830" s="610"/>
      <c r="AS830" s="611"/>
    </row>
    <row r="831" spans="4:45" ht="13">
      <c r="D831" s="610"/>
      <c r="E831" s="610"/>
      <c r="F831" s="610"/>
      <c r="G831" s="610"/>
      <c r="H831" s="610"/>
      <c r="AS831" s="611"/>
    </row>
    <row r="832" spans="4:45" ht="13">
      <c r="D832" s="610"/>
      <c r="E832" s="610"/>
      <c r="F832" s="610"/>
      <c r="G832" s="610"/>
      <c r="H832" s="610"/>
      <c r="AS832" s="611"/>
    </row>
    <row r="833" spans="4:45" ht="13">
      <c r="D833" s="610"/>
      <c r="E833" s="610"/>
      <c r="F833" s="610"/>
      <c r="G833" s="610"/>
      <c r="H833" s="610"/>
      <c r="AS833" s="611"/>
    </row>
    <row r="834" spans="4:45" ht="13">
      <c r="D834" s="610"/>
      <c r="E834" s="610"/>
      <c r="F834" s="610"/>
      <c r="G834" s="610"/>
      <c r="H834" s="610"/>
      <c r="AS834" s="611"/>
    </row>
    <row r="835" spans="4:45" ht="13">
      <c r="D835" s="610"/>
      <c r="E835" s="610"/>
      <c r="F835" s="610"/>
      <c r="G835" s="610"/>
      <c r="H835" s="610"/>
      <c r="AS835" s="611"/>
    </row>
    <row r="836" spans="4:45" ht="13">
      <c r="D836" s="610"/>
      <c r="E836" s="610"/>
      <c r="F836" s="610"/>
      <c r="G836" s="610"/>
      <c r="H836" s="610"/>
      <c r="AS836" s="611"/>
    </row>
    <row r="837" spans="4:45" ht="13">
      <c r="D837" s="610"/>
      <c r="E837" s="610"/>
      <c r="F837" s="610"/>
      <c r="G837" s="610"/>
      <c r="H837" s="610"/>
      <c r="AS837" s="611"/>
    </row>
    <row r="838" spans="4:45" ht="13">
      <c r="D838" s="610"/>
      <c r="E838" s="610"/>
      <c r="F838" s="610"/>
      <c r="G838" s="610"/>
      <c r="H838" s="610"/>
      <c r="AS838" s="611"/>
    </row>
    <row r="839" spans="4:45" ht="13">
      <c r="D839" s="610"/>
      <c r="E839" s="610"/>
      <c r="F839" s="610"/>
      <c r="G839" s="610"/>
      <c r="H839" s="610"/>
      <c r="AS839" s="611"/>
    </row>
    <row r="840" spans="4:45" ht="13">
      <c r="D840" s="610"/>
      <c r="E840" s="610"/>
      <c r="F840" s="610"/>
      <c r="G840" s="610"/>
      <c r="H840" s="610"/>
      <c r="AS840" s="611"/>
    </row>
    <row r="841" spans="4:45" ht="13">
      <c r="D841" s="610"/>
      <c r="E841" s="610"/>
      <c r="F841" s="610"/>
      <c r="G841" s="610"/>
      <c r="H841" s="610"/>
      <c r="AS841" s="611"/>
    </row>
    <row r="842" spans="4:45" ht="13">
      <c r="D842" s="610"/>
      <c r="E842" s="610"/>
      <c r="F842" s="610"/>
      <c r="G842" s="610"/>
      <c r="H842" s="610"/>
      <c r="AS842" s="611"/>
    </row>
    <row r="843" spans="4:45" ht="13">
      <c r="D843" s="610"/>
      <c r="E843" s="610"/>
      <c r="F843" s="610"/>
      <c r="G843" s="610"/>
      <c r="H843" s="610"/>
      <c r="AS843" s="611"/>
    </row>
    <row r="844" spans="4:45" ht="13">
      <c r="D844" s="610"/>
      <c r="E844" s="610"/>
      <c r="F844" s="610"/>
      <c r="G844" s="610"/>
      <c r="H844" s="610"/>
      <c r="AS844" s="611"/>
    </row>
    <row r="845" spans="4:45" ht="13">
      <c r="D845" s="610"/>
      <c r="E845" s="610"/>
      <c r="F845" s="610"/>
      <c r="G845" s="610"/>
      <c r="H845" s="610"/>
      <c r="AS845" s="611"/>
    </row>
    <row r="846" spans="4:45" ht="13">
      <c r="D846" s="610"/>
      <c r="E846" s="610"/>
      <c r="F846" s="610"/>
      <c r="G846" s="610"/>
      <c r="H846" s="610"/>
      <c r="AS846" s="611"/>
    </row>
    <row r="847" spans="4:45" ht="13">
      <c r="D847" s="610"/>
      <c r="E847" s="610"/>
      <c r="F847" s="610"/>
      <c r="G847" s="610"/>
      <c r="H847" s="610"/>
      <c r="AS847" s="611"/>
    </row>
    <row r="848" spans="4:45" ht="13">
      <c r="D848" s="610"/>
      <c r="E848" s="610"/>
      <c r="F848" s="610"/>
      <c r="G848" s="610"/>
      <c r="H848" s="610"/>
      <c r="AS848" s="611"/>
    </row>
    <row r="849" spans="4:45" ht="13">
      <c r="D849" s="610"/>
      <c r="E849" s="610"/>
      <c r="F849" s="610"/>
      <c r="G849" s="610"/>
      <c r="H849" s="610"/>
      <c r="AS849" s="611"/>
    </row>
    <row r="850" spans="4:45" ht="13">
      <c r="D850" s="610"/>
      <c r="E850" s="610"/>
      <c r="F850" s="610"/>
      <c r="G850" s="610"/>
      <c r="H850" s="610"/>
      <c r="AS850" s="611"/>
    </row>
    <row r="851" spans="4:45" ht="13">
      <c r="D851" s="610"/>
      <c r="E851" s="610"/>
      <c r="F851" s="610"/>
      <c r="G851" s="610"/>
      <c r="H851" s="610"/>
      <c r="AS851" s="611"/>
    </row>
    <row r="852" spans="4:45" ht="13">
      <c r="D852" s="610"/>
      <c r="E852" s="610"/>
      <c r="F852" s="610"/>
      <c r="G852" s="610"/>
      <c r="H852" s="610"/>
      <c r="AS852" s="611"/>
    </row>
    <row r="853" spans="4:45" ht="13">
      <c r="D853" s="610"/>
      <c r="E853" s="610"/>
      <c r="F853" s="610"/>
      <c r="G853" s="610"/>
      <c r="H853" s="610"/>
      <c r="AS853" s="611"/>
    </row>
    <row r="854" spans="4:45" ht="13">
      <c r="D854" s="610"/>
      <c r="E854" s="610"/>
      <c r="F854" s="610"/>
      <c r="G854" s="610"/>
      <c r="H854" s="610"/>
      <c r="AS854" s="611"/>
    </row>
    <row r="855" spans="4:45" ht="13">
      <c r="D855" s="610"/>
      <c r="E855" s="610"/>
      <c r="F855" s="610"/>
      <c r="G855" s="610"/>
      <c r="H855" s="610"/>
      <c r="AS855" s="611"/>
    </row>
    <row r="856" spans="4:45" ht="13">
      <c r="D856" s="610"/>
      <c r="E856" s="610"/>
      <c r="F856" s="610"/>
      <c r="G856" s="610"/>
      <c r="H856" s="610"/>
      <c r="AS856" s="611"/>
    </row>
    <row r="857" spans="4:45" ht="13">
      <c r="D857" s="610"/>
      <c r="E857" s="610"/>
      <c r="F857" s="610"/>
      <c r="G857" s="610"/>
      <c r="H857" s="610"/>
      <c r="AS857" s="611"/>
    </row>
    <row r="858" spans="4:45" ht="13">
      <c r="D858" s="610"/>
      <c r="E858" s="610"/>
      <c r="F858" s="610"/>
      <c r="G858" s="610"/>
      <c r="H858" s="610"/>
      <c r="AS858" s="611"/>
    </row>
    <row r="859" spans="4:45" ht="13">
      <c r="D859" s="610"/>
      <c r="E859" s="610"/>
      <c r="F859" s="610"/>
      <c r="G859" s="610"/>
      <c r="H859" s="610"/>
      <c r="AS859" s="611"/>
    </row>
    <row r="860" spans="4:45" ht="13">
      <c r="D860" s="610"/>
      <c r="E860" s="610"/>
      <c r="F860" s="610"/>
      <c r="G860" s="610"/>
      <c r="H860" s="610"/>
      <c r="AS860" s="611"/>
    </row>
    <row r="861" spans="4:45" ht="13">
      <c r="D861" s="610"/>
      <c r="E861" s="610"/>
      <c r="F861" s="610"/>
      <c r="G861" s="610"/>
      <c r="H861" s="610"/>
      <c r="AS861" s="611"/>
    </row>
    <row r="862" spans="4:45" ht="13">
      <c r="D862" s="610"/>
      <c r="E862" s="610"/>
      <c r="F862" s="610"/>
      <c r="G862" s="610"/>
      <c r="H862" s="610"/>
      <c r="AS862" s="611"/>
    </row>
    <row r="863" spans="4:45" ht="13">
      <c r="D863" s="610"/>
      <c r="E863" s="610"/>
      <c r="F863" s="610"/>
      <c r="G863" s="610"/>
      <c r="H863" s="610"/>
      <c r="AS863" s="611"/>
    </row>
    <row r="864" spans="4:45" ht="13">
      <c r="D864" s="610"/>
      <c r="E864" s="610"/>
      <c r="F864" s="610"/>
      <c r="G864" s="610"/>
      <c r="H864" s="610"/>
      <c r="AS864" s="611"/>
    </row>
    <row r="865" spans="4:45" ht="13">
      <c r="D865" s="610"/>
      <c r="E865" s="610"/>
      <c r="F865" s="610"/>
      <c r="G865" s="610"/>
      <c r="H865" s="610"/>
      <c r="AS865" s="611"/>
    </row>
    <row r="866" spans="4:45" ht="13">
      <c r="D866" s="610"/>
      <c r="E866" s="610"/>
      <c r="F866" s="610"/>
      <c r="G866" s="610"/>
      <c r="H866" s="610"/>
      <c r="AS866" s="611"/>
    </row>
    <row r="867" spans="4:45" ht="13">
      <c r="D867" s="610"/>
      <c r="E867" s="610"/>
      <c r="F867" s="610"/>
      <c r="G867" s="610"/>
      <c r="H867" s="610"/>
      <c r="AS867" s="611"/>
    </row>
    <row r="868" spans="4:45" ht="13">
      <c r="D868" s="610"/>
      <c r="E868" s="610"/>
      <c r="F868" s="610"/>
      <c r="G868" s="610"/>
      <c r="H868" s="610"/>
      <c r="AS868" s="611"/>
    </row>
    <row r="869" spans="4:45" ht="13">
      <c r="D869" s="610"/>
      <c r="E869" s="610"/>
      <c r="F869" s="610"/>
      <c r="G869" s="610"/>
      <c r="H869" s="610"/>
      <c r="AS869" s="611"/>
    </row>
    <row r="870" spans="4:45" ht="13">
      <c r="D870" s="610"/>
      <c r="E870" s="610"/>
      <c r="F870" s="610"/>
      <c r="G870" s="610"/>
      <c r="H870" s="610"/>
      <c r="AS870" s="611"/>
    </row>
    <row r="871" spans="4:45" ht="13">
      <c r="D871" s="610"/>
      <c r="E871" s="610"/>
      <c r="F871" s="610"/>
      <c r="G871" s="610"/>
      <c r="H871" s="610"/>
      <c r="AS871" s="611"/>
    </row>
    <row r="872" spans="4:45" ht="13">
      <c r="D872" s="610"/>
      <c r="E872" s="610"/>
      <c r="F872" s="610"/>
      <c r="G872" s="610"/>
      <c r="H872" s="610"/>
      <c r="AS872" s="611"/>
    </row>
    <row r="873" spans="4:45" ht="13">
      <c r="D873" s="610"/>
      <c r="E873" s="610"/>
      <c r="F873" s="610"/>
      <c r="G873" s="610"/>
      <c r="H873" s="610"/>
      <c r="AS873" s="611"/>
    </row>
    <row r="874" spans="4:45" ht="13">
      <c r="D874" s="610"/>
      <c r="E874" s="610"/>
      <c r="F874" s="610"/>
      <c r="G874" s="610"/>
      <c r="H874" s="610"/>
      <c r="AS874" s="611"/>
    </row>
    <row r="875" spans="4:45" ht="13">
      <c r="D875" s="610"/>
      <c r="E875" s="610"/>
      <c r="F875" s="610"/>
      <c r="G875" s="610"/>
      <c r="H875" s="610"/>
      <c r="AS875" s="611"/>
    </row>
    <row r="876" spans="4:45" ht="13">
      <c r="D876" s="610"/>
      <c r="E876" s="610"/>
      <c r="F876" s="610"/>
      <c r="G876" s="610"/>
      <c r="H876" s="610"/>
      <c r="AS876" s="611"/>
    </row>
    <row r="877" spans="4:45" ht="13">
      <c r="D877" s="610"/>
      <c r="E877" s="610"/>
      <c r="F877" s="610"/>
      <c r="G877" s="610"/>
      <c r="H877" s="610"/>
      <c r="AS877" s="611"/>
    </row>
    <row r="878" spans="4:45" ht="13">
      <c r="D878" s="610"/>
      <c r="E878" s="610"/>
      <c r="F878" s="610"/>
      <c r="G878" s="610"/>
      <c r="H878" s="610"/>
      <c r="AS878" s="611"/>
    </row>
    <row r="879" spans="4:45" ht="13">
      <c r="D879" s="610"/>
      <c r="E879" s="610"/>
      <c r="F879" s="610"/>
      <c r="G879" s="610"/>
      <c r="H879" s="610"/>
      <c r="AS879" s="611"/>
    </row>
    <row r="880" spans="4:45" ht="13">
      <c r="D880" s="610"/>
      <c r="E880" s="610"/>
      <c r="F880" s="610"/>
      <c r="G880" s="610"/>
      <c r="H880" s="610"/>
      <c r="AS880" s="611"/>
    </row>
    <row r="881" spans="4:45" ht="13">
      <c r="D881" s="610"/>
      <c r="E881" s="610"/>
      <c r="F881" s="610"/>
      <c r="G881" s="610"/>
      <c r="H881" s="610"/>
      <c r="AS881" s="611"/>
    </row>
    <row r="882" spans="4:45" ht="13">
      <c r="D882" s="610"/>
      <c r="E882" s="610"/>
      <c r="F882" s="610"/>
      <c r="G882" s="610"/>
      <c r="H882" s="610"/>
      <c r="AS882" s="611"/>
    </row>
    <row r="883" spans="4:45" ht="13">
      <c r="D883" s="610"/>
      <c r="E883" s="610"/>
      <c r="F883" s="610"/>
      <c r="G883" s="610"/>
      <c r="H883" s="610"/>
      <c r="AS883" s="611"/>
    </row>
    <row r="884" spans="4:45" ht="13">
      <c r="D884" s="610"/>
      <c r="E884" s="610"/>
      <c r="F884" s="610"/>
      <c r="G884" s="610"/>
      <c r="H884" s="610"/>
      <c r="AS884" s="611"/>
    </row>
    <row r="885" spans="4:45" ht="13">
      <c r="D885" s="610"/>
      <c r="E885" s="610"/>
      <c r="F885" s="610"/>
      <c r="G885" s="610"/>
      <c r="H885" s="610"/>
      <c r="AS885" s="611"/>
    </row>
    <row r="886" spans="4:45" ht="13">
      <c r="D886" s="610"/>
      <c r="E886" s="610"/>
      <c r="F886" s="610"/>
      <c r="G886" s="610"/>
      <c r="H886" s="610"/>
      <c r="AS886" s="611"/>
    </row>
    <row r="887" spans="4:45" ht="13">
      <c r="D887" s="610"/>
      <c r="E887" s="610"/>
      <c r="F887" s="610"/>
      <c r="G887" s="610"/>
      <c r="H887" s="610"/>
      <c r="AS887" s="611"/>
    </row>
    <row r="888" spans="4:45" ht="13">
      <c r="D888" s="610"/>
      <c r="E888" s="610"/>
      <c r="F888" s="610"/>
      <c r="G888" s="610"/>
      <c r="H888" s="610"/>
      <c r="AS888" s="611"/>
    </row>
    <row r="889" spans="4:45" ht="13">
      <c r="D889" s="610"/>
      <c r="E889" s="610"/>
      <c r="F889" s="610"/>
      <c r="G889" s="610"/>
      <c r="H889" s="610"/>
      <c r="AS889" s="611"/>
    </row>
    <row r="890" spans="4:45" ht="13">
      <c r="D890" s="610"/>
      <c r="E890" s="610"/>
      <c r="F890" s="610"/>
      <c r="G890" s="610"/>
      <c r="H890" s="610"/>
      <c r="AS890" s="611"/>
    </row>
    <row r="891" spans="4:45" ht="13">
      <c r="D891" s="610"/>
      <c r="E891" s="610"/>
      <c r="F891" s="610"/>
      <c r="G891" s="610"/>
      <c r="H891" s="610"/>
      <c r="AS891" s="611"/>
    </row>
    <row r="892" spans="4:45" ht="13">
      <c r="D892" s="610"/>
      <c r="E892" s="610"/>
      <c r="F892" s="610"/>
      <c r="G892" s="610"/>
      <c r="H892" s="610"/>
      <c r="AS892" s="611"/>
    </row>
    <row r="893" spans="4:45" ht="13">
      <c r="D893" s="610"/>
      <c r="E893" s="610"/>
      <c r="F893" s="610"/>
      <c r="G893" s="610"/>
      <c r="H893" s="610"/>
      <c r="AS893" s="611"/>
    </row>
    <row r="894" spans="4:45" ht="13">
      <c r="D894" s="610"/>
      <c r="E894" s="610"/>
      <c r="F894" s="610"/>
      <c r="G894" s="610"/>
      <c r="H894" s="610"/>
      <c r="AS894" s="611"/>
    </row>
    <row r="895" spans="4:45" ht="13">
      <c r="D895" s="610"/>
      <c r="E895" s="610"/>
      <c r="F895" s="610"/>
      <c r="G895" s="610"/>
      <c r="H895" s="610"/>
      <c r="AS895" s="611"/>
    </row>
    <row r="896" spans="4:45" ht="13">
      <c r="D896" s="610"/>
      <c r="E896" s="610"/>
      <c r="F896" s="610"/>
      <c r="G896" s="610"/>
      <c r="H896" s="610"/>
      <c r="AS896" s="611"/>
    </row>
    <row r="897" spans="4:45" ht="13">
      <c r="D897" s="610"/>
      <c r="E897" s="610"/>
      <c r="F897" s="610"/>
      <c r="G897" s="610"/>
      <c r="H897" s="610"/>
      <c r="AS897" s="611"/>
    </row>
    <row r="898" spans="4:45" ht="13">
      <c r="D898" s="610"/>
      <c r="E898" s="610"/>
      <c r="F898" s="610"/>
      <c r="G898" s="610"/>
      <c r="H898" s="610"/>
      <c r="AS898" s="611"/>
    </row>
    <row r="899" spans="4:45" ht="13">
      <c r="D899" s="610"/>
      <c r="E899" s="610"/>
      <c r="F899" s="610"/>
      <c r="G899" s="610"/>
      <c r="H899" s="610"/>
      <c r="AS899" s="611"/>
    </row>
    <row r="900" spans="4:45" ht="13">
      <c r="D900" s="610"/>
      <c r="E900" s="610"/>
      <c r="F900" s="610"/>
      <c r="G900" s="610"/>
      <c r="H900" s="610"/>
      <c r="AS900" s="611"/>
    </row>
    <row r="901" spans="4:45" ht="13">
      <c r="D901" s="610"/>
      <c r="E901" s="610"/>
      <c r="F901" s="610"/>
      <c r="G901" s="610"/>
      <c r="H901" s="610"/>
      <c r="AS901" s="611"/>
    </row>
    <row r="902" spans="4:45" ht="13">
      <c r="D902" s="610"/>
      <c r="E902" s="610"/>
      <c r="F902" s="610"/>
      <c r="G902" s="610"/>
      <c r="H902" s="610"/>
      <c r="AS902" s="611"/>
    </row>
    <row r="903" spans="4:45" ht="13">
      <c r="D903" s="610"/>
      <c r="E903" s="610"/>
      <c r="F903" s="610"/>
      <c r="G903" s="610"/>
      <c r="H903" s="610"/>
      <c r="AS903" s="611"/>
    </row>
    <row r="904" spans="4:45" ht="13">
      <c r="D904" s="610"/>
      <c r="E904" s="610"/>
      <c r="F904" s="610"/>
      <c r="G904" s="610"/>
      <c r="H904" s="610"/>
      <c r="AS904" s="611"/>
    </row>
    <row r="905" spans="4:45" ht="13">
      <c r="D905" s="610"/>
      <c r="E905" s="610"/>
      <c r="F905" s="610"/>
      <c r="G905" s="610"/>
      <c r="H905" s="610"/>
      <c r="AS905" s="611"/>
    </row>
    <row r="906" spans="4:45" ht="13">
      <c r="D906" s="610"/>
      <c r="E906" s="610"/>
      <c r="F906" s="610"/>
      <c r="G906" s="610"/>
      <c r="H906" s="610"/>
      <c r="AS906" s="611"/>
    </row>
    <row r="907" spans="4:45" ht="13">
      <c r="D907" s="610"/>
      <c r="E907" s="610"/>
      <c r="F907" s="610"/>
      <c r="G907" s="610"/>
      <c r="H907" s="610"/>
      <c r="AS907" s="611"/>
    </row>
    <row r="908" spans="4:45" ht="13">
      <c r="D908" s="610"/>
      <c r="E908" s="610"/>
      <c r="F908" s="610"/>
      <c r="G908" s="610"/>
      <c r="H908" s="610"/>
      <c r="AS908" s="611"/>
    </row>
    <row r="909" spans="4:45" ht="13">
      <c r="D909" s="610"/>
      <c r="E909" s="610"/>
      <c r="F909" s="610"/>
      <c r="G909" s="610"/>
      <c r="H909" s="610"/>
      <c r="AS909" s="611"/>
    </row>
    <row r="910" spans="4:45" ht="13">
      <c r="D910" s="610"/>
      <c r="E910" s="610"/>
      <c r="F910" s="610"/>
      <c r="G910" s="610"/>
      <c r="H910" s="610"/>
      <c r="AS910" s="611"/>
    </row>
    <row r="911" spans="4:45" ht="13">
      <c r="D911" s="610"/>
      <c r="E911" s="610"/>
      <c r="F911" s="610"/>
      <c r="G911" s="610"/>
      <c r="H911" s="610"/>
      <c r="AS911" s="611"/>
    </row>
    <row r="912" spans="4:45" ht="13">
      <c r="D912" s="610"/>
      <c r="E912" s="610"/>
      <c r="F912" s="610"/>
      <c r="G912" s="610"/>
      <c r="H912" s="610"/>
      <c r="AS912" s="611"/>
    </row>
    <row r="913" spans="4:45" ht="13">
      <c r="D913" s="610"/>
      <c r="E913" s="610"/>
      <c r="F913" s="610"/>
      <c r="G913" s="610"/>
      <c r="H913" s="610"/>
      <c r="AS913" s="611"/>
    </row>
    <row r="914" spans="4:45" ht="13">
      <c r="D914" s="610"/>
      <c r="E914" s="610"/>
      <c r="F914" s="610"/>
      <c r="G914" s="610"/>
      <c r="H914" s="610"/>
      <c r="AS914" s="611"/>
    </row>
    <row r="915" spans="4:45" ht="13">
      <c r="D915" s="610"/>
      <c r="E915" s="610"/>
      <c r="F915" s="610"/>
      <c r="G915" s="610"/>
      <c r="H915" s="610"/>
      <c r="AS915" s="611"/>
    </row>
    <row r="916" spans="4:45" ht="13">
      <c r="D916" s="610"/>
      <c r="E916" s="610"/>
      <c r="F916" s="610"/>
      <c r="G916" s="610"/>
      <c r="H916" s="610"/>
      <c r="AS916" s="611"/>
    </row>
    <row r="917" spans="4:45" ht="13">
      <c r="D917" s="610"/>
      <c r="E917" s="610"/>
      <c r="F917" s="610"/>
      <c r="G917" s="610"/>
      <c r="H917" s="610"/>
      <c r="AS917" s="611"/>
    </row>
    <row r="918" spans="4:45" ht="13">
      <c r="D918" s="610"/>
      <c r="E918" s="610"/>
      <c r="F918" s="610"/>
      <c r="G918" s="610"/>
      <c r="H918" s="610"/>
      <c r="AS918" s="611"/>
    </row>
    <row r="919" spans="4:45" ht="13">
      <c r="D919" s="610"/>
      <c r="E919" s="610"/>
      <c r="F919" s="610"/>
      <c r="G919" s="610"/>
      <c r="H919" s="610"/>
      <c r="AS919" s="611"/>
    </row>
    <row r="920" spans="4:45" ht="13">
      <c r="D920" s="610"/>
      <c r="E920" s="610"/>
      <c r="F920" s="610"/>
      <c r="G920" s="610"/>
      <c r="H920" s="610"/>
      <c r="AS920" s="611"/>
    </row>
    <row r="921" spans="4:45" ht="13">
      <c r="D921" s="610"/>
      <c r="E921" s="610"/>
      <c r="F921" s="610"/>
      <c r="G921" s="610"/>
      <c r="H921" s="610"/>
      <c r="AS921" s="611"/>
    </row>
    <row r="922" spans="4:45" ht="13">
      <c r="D922" s="610"/>
      <c r="E922" s="610"/>
      <c r="F922" s="610"/>
      <c r="G922" s="610"/>
      <c r="H922" s="610"/>
      <c r="AS922" s="611"/>
    </row>
    <row r="923" spans="4:45" ht="13">
      <c r="D923" s="610"/>
      <c r="E923" s="610"/>
      <c r="F923" s="610"/>
      <c r="G923" s="610"/>
      <c r="H923" s="610"/>
      <c r="AS923" s="611"/>
    </row>
    <row r="924" spans="4:45" ht="13">
      <c r="D924" s="610"/>
      <c r="E924" s="610"/>
      <c r="F924" s="610"/>
      <c r="G924" s="610"/>
      <c r="H924" s="610"/>
      <c r="AS924" s="611"/>
    </row>
    <row r="925" spans="4:45" ht="13">
      <c r="D925" s="610"/>
      <c r="E925" s="610"/>
      <c r="F925" s="610"/>
      <c r="G925" s="610"/>
      <c r="H925" s="610"/>
      <c r="AS925" s="611"/>
    </row>
    <row r="926" spans="4:45" ht="13">
      <c r="D926" s="610"/>
      <c r="E926" s="610"/>
      <c r="F926" s="610"/>
      <c r="G926" s="610"/>
      <c r="H926" s="610"/>
      <c r="AS926" s="611"/>
    </row>
    <row r="927" spans="4:45" ht="13">
      <c r="D927" s="610"/>
      <c r="E927" s="610"/>
      <c r="F927" s="610"/>
      <c r="G927" s="610"/>
      <c r="H927" s="610"/>
      <c r="AS927" s="611"/>
    </row>
    <row r="928" spans="4:45" ht="13">
      <c r="D928" s="610"/>
      <c r="E928" s="610"/>
      <c r="F928" s="610"/>
      <c r="G928" s="610"/>
      <c r="H928" s="610"/>
      <c r="AS928" s="611"/>
    </row>
    <row r="929" spans="4:45" ht="13">
      <c r="D929" s="610"/>
      <c r="E929" s="610"/>
      <c r="F929" s="610"/>
      <c r="G929" s="610"/>
      <c r="H929" s="610"/>
      <c r="AS929" s="611"/>
    </row>
    <row r="930" spans="4:45" ht="13">
      <c r="D930" s="610"/>
      <c r="E930" s="610"/>
      <c r="F930" s="610"/>
      <c r="G930" s="610"/>
      <c r="H930" s="610"/>
      <c r="AS930" s="611"/>
    </row>
    <row r="931" spans="4:45" ht="13">
      <c r="D931" s="610"/>
      <c r="E931" s="610"/>
      <c r="F931" s="610"/>
      <c r="G931" s="610"/>
      <c r="H931" s="610"/>
      <c r="AS931" s="611"/>
    </row>
    <row r="932" spans="4:45" ht="13">
      <c r="D932" s="610"/>
      <c r="E932" s="610"/>
      <c r="F932" s="610"/>
      <c r="G932" s="610"/>
      <c r="H932" s="610"/>
      <c r="AS932" s="611"/>
    </row>
    <row r="933" spans="4:45" ht="13">
      <c r="D933" s="610"/>
      <c r="E933" s="610"/>
      <c r="F933" s="610"/>
      <c r="G933" s="610"/>
      <c r="H933" s="610"/>
      <c r="AS933" s="611"/>
    </row>
    <row r="934" spans="4:45" ht="13">
      <c r="D934" s="610"/>
      <c r="E934" s="610"/>
      <c r="F934" s="610"/>
      <c r="G934" s="610"/>
      <c r="H934" s="610"/>
      <c r="AS934" s="611"/>
    </row>
    <row r="935" spans="4:45" ht="13">
      <c r="D935" s="610"/>
      <c r="E935" s="610"/>
      <c r="F935" s="610"/>
      <c r="G935" s="610"/>
      <c r="H935" s="610"/>
      <c r="AS935" s="611"/>
    </row>
    <row r="936" spans="4:45" ht="13">
      <c r="D936" s="610"/>
      <c r="E936" s="610"/>
      <c r="F936" s="610"/>
      <c r="G936" s="610"/>
      <c r="H936" s="610"/>
      <c r="AS936" s="611"/>
    </row>
    <row r="937" spans="4:45" ht="13">
      <c r="D937" s="610"/>
      <c r="E937" s="610"/>
      <c r="F937" s="610"/>
      <c r="G937" s="610"/>
      <c r="H937" s="610"/>
      <c r="AS937" s="611"/>
    </row>
    <row r="938" spans="4:45" ht="13">
      <c r="D938" s="610"/>
      <c r="E938" s="610"/>
      <c r="F938" s="610"/>
      <c r="G938" s="610"/>
      <c r="H938" s="610"/>
      <c r="AS938" s="611"/>
    </row>
    <row r="939" spans="4:45" ht="13">
      <c r="D939" s="610"/>
      <c r="E939" s="610"/>
      <c r="F939" s="610"/>
      <c r="G939" s="610"/>
      <c r="H939" s="610"/>
      <c r="AS939" s="611"/>
    </row>
    <row r="940" spans="4:45" ht="13">
      <c r="D940" s="610"/>
      <c r="E940" s="610"/>
      <c r="F940" s="610"/>
      <c r="G940" s="610"/>
      <c r="H940" s="610"/>
      <c r="AS940" s="611"/>
    </row>
    <row r="941" spans="4:45" ht="13">
      <c r="D941" s="610"/>
      <c r="E941" s="610"/>
      <c r="F941" s="610"/>
      <c r="G941" s="610"/>
      <c r="H941" s="610"/>
      <c r="AS941" s="611"/>
    </row>
    <row r="942" spans="4:45" ht="13">
      <c r="D942" s="610"/>
      <c r="E942" s="610"/>
      <c r="F942" s="610"/>
      <c r="G942" s="610"/>
      <c r="H942" s="610"/>
      <c r="AS942" s="611"/>
    </row>
    <row r="943" spans="4:45" ht="13">
      <c r="D943" s="610"/>
      <c r="E943" s="610"/>
      <c r="F943" s="610"/>
      <c r="G943" s="610"/>
      <c r="H943" s="610"/>
      <c r="AS943" s="611"/>
    </row>
    <row r="944" spans="4:45" ht="13">
      <c r="D944" s="610"/>
      <c r="E944" s="610"/>
      <c r="F944" s="610"/>
      <c r="G944" s="610"/>
      <c r="H944" s="610"/>
      <c r="AS944" s="611"/>
    </row>
    <row r="945" spans="4:45" ht="13">
      <c r="D945" s="610"/>
      <c r="E945" s="610"/>
      <c r="F945" s="610"/>
      <c r="G945" s="610"/>
      <c r="H945" s="610"/>
      <c r="AS945" s="611"/>
    </row>
    <row r="946" spans="4:45" ht="13">
      <c r="D946" s="610"/>
      <c r="E946" s="610"/>
      <c r="F946" s="610"/>
      <c r="G946" s="610"/>
      <c r="H946" s="610"/>
      <c r="AS946" s="611"/>
    </row>
    <row r="947" spans="4:45" ht="13">
      <c r="D947" s="610"/>
      <c r="E947" s="610"/>
      <c r="F947" s="610"/>
      <c r="G947" s="610"/>
      <c r="H947" s="610"/>
      <c r="AS947" s="611"/>
    </row>
    <row r="948" spans="4:45" ht="13">
      <c r="D948" s="610"/>
      <c r="E948" s="610"/>
      <c r="F948" s="610"/>
      <c r="G948" s="610"/>
      <c r="H948" s="610"/>
      <c r="AS948" s="611"/>
    </row>
    <row r="949" spans="4:45" ht="13">
      <c r="D949" s="610"/>
      <c r="E949" s="610"/>
      <c r="F949" s="610"/>
      <c r="G949" s="610"/>
      <c r="H949" s="610"/>
      <c r="AS949" s="611"/>
    </row>
    <row r="950" spans="4:45" ht="13">
      <c r="D950" s="610"/>
      <c r="E950" s="610"/>
      <c r="F950" s="610"/>
      <c r="G950" s="610"/>
      <c r="H950" s="610"/>
      <c r="AS950" s="611"/>
    </row>
    <row r="951" spans="4:45" ht="13">
      <c r="D951" s="610"/>
      <c r="E951" s="610"/>
      <c r="F951" s="610"/>
      <c r="G951" s="610"/>
      <c r="H951" s="610"/>
      <c r="AS951" s="611"/>
    </row>
    <row r="952" spans="4:45" ht="13">
      <c r="D952" s="610"/>
      <c r="E952" s="610"/>
      <c r="F952" s="610"/>
      <c r="G952" s="610"/>
      <c r="H952" s="610"/>
      <c r="AS952" s="611"/>
    </row>
    <row r="953" spans="4:45" ht="13">
      <c r="D953" s="610"/>
      <c r="E953" s="610"/>
      <c r="F953" s="610"/>
      <c r="G953" s="610"/>
      <c r="H953" s="610"/>
      <c r="AS953" s="611"/>
    </row>
    <row r="954" spans="4:45" ht="13">
      <c r="D954" s="610"/>
      <c r="E954" s="610"/>
      <c r="F954" s="610"/>
      <c r="G954" s="610"/>
      <c r="H954" s="610"/>
      <c r="AS954" s="611"/>
    </row>
    <row r="955" spans="4:45" ht="13">
      <c r="D955" s="610"/>
      <c r="E955" s="610"/>
      <c r="F955" s="610"/>
      <c r="G955" s="610"/>
      <c r="H955" s="610"/>
      <c r="AS955" s="611"/>
    </row>
    <row r="956" spans="4:45" ht="13">
      <c r="D956" s="610"/>
      <c r="E956" s="610"/>
      <c r="F956" s="610"/>
      <c r="G956" s="610"/>
      <c r="H956" s="610"/>
      <c r="AS956" s="611"/>
    </row>
    <row r="957" spans="4:45" ht="13">
      <c r="D957" s="610"/>
      <c r="E957" s="610"/>
      <c r="F957" s="610"/>
      <c r="G957" s="610"/>
      <c r="H957" s="610"/>
      <c r="AS957" s="611"/>
    </row>
    <row r="958" spans="4:45" ht="13">
      <c r="D958" s="610"/>
      <c r="E958" s="610"/>
      <c r="F958" s="610"/>
      <c r="G958" s="610"/>
      <c r="H958" s="610"/>
      <c r="AS958" s="611"/>
    </row>
    <row r="959" spans="4:45" ht="13">
      <c r="D959" s="610"/>
      <c r="E959" s="610"/>
      <c r="F959" s="610"/>
      <c r="G959" s="610"/>
      <c r="H959" s="610"/>
      <c r="AS959" s="611"/>
    </row>
    <row r="960" spans="4:45" ht="13">
      <c r="D960" s="610"/>
      <c r="E960" s="610"/>
      <c r="F960" s="610"/>
      <c r="G960" s="610"/>
      <c r="H960" s="610"/>
      <c r="AS960" s="611"/>
    </row>
    <row r="961" spans="4:45" ht="13">
      <c r="D961" s="610"/>
      <c r="E961" s="610"/>
      <c r="F961" s="610"/>
      <c r="G961" s="610"/>
      <c r="H961" s="610"/>
      <c r="AS961" s="611"/>
    </row>
    <row r="962" spans="4:45" ht="13">
      <c r="D962" s="610"/>
      <c r="E962" s="610"/>
      <c r="F962" s="610"/>
      <c r="G962" s="610"/>
      <c r="H962" s="610"/>
      <c r="AS962" s="611"/>
    </row>
    <row r="963" spans="4:45" ht="13">
      <c r="D963" s="610"/>
      <c r="E963" s="610"/>
      <c r="F963" s="610"/>
      <c r="G963" s="610"/>
      <c r="H963" s="610"/>
      <c r="AS963" s="611"/>
    </row>
    <row r="964" spans="4:45" ht="13">
      <c r="D964" s="610"/>
      <c r="E964" s="610"/>
      <c r="F964" s="610"/>
      <c r="G964" s="610"/>
      <c r="H964" s="610"/>
      <c r="AS964" s="611"/>
    </row>
    <row r="965" spans="4:45" ht="13">
      <c r="D965" s="610"/>
      <c r="E965" s="610"/>
      <c r="F965" s="610"/>
      <c r="G965" s="610"/>
      <c r="H965" s="610"/>
      <c r="AS965" s="611"/>
    </row>
    <row r="966" spans="4:45" ht="13">
      <c r="D966" s="610"/>
      <c r="E966" s="610"/>
      <c r="F966" s="610"/>
      <c r="G966" s="610"/>
      <c r="H966" s="610"/>
      <c r="AS966" s="611"/>
    </row>
    <row r="967" spans="4:45" ht="13">
      <c r="D967" s="610"/>
      <c r="E967" s="610"/>
      <c r="F967" s="610"/>
      <c r="G967" s="610"/>
      <c r="H967" s="610"/>
      <c r="AS967" s="611"/>
    </row>
    <row r="968" spans="4:45" ht="13">
      <c r="D968" s="610"/>
      <c r="E968" s="610"/>
      <c r="F968" s="610"/>
      <c r="G968" s="610"/>
      <c r="H968" s="610"/>
      <c r="AS968" s="611"/>
    </row>
    <row r="969" spans="4:45" ht="13">
      <c r="D969" s="610"/>
      <c r="E969" s="610"/>
      <c r="F969" s="610"/>
      <c r="G969" s="610"/>
      <c r="H969" s="610"/>
      <c r="AS969" s="611"/>
    </row>
    <row r="970" spans="4:45" ht="13">
      <c r="D970" s="610"/>
      <c r="E970" s="610"/>
      <c r="F970" s="610"/>
      <c r="G970" s="610"/>
      <c r="H970" s="610"/>
      <c r="AS970" s="611"/>
    </row>
    <row r="971" spans="4:45" ht="13">
      <c r="D971" s="610"/>
      <c r="E971" s="610"/>
      <c r="F971" s="610"/>
      <c r="G971" s="610"/>
      <c r="H971" s="610"/>
      <c r="AS971" s="611"/>
    </row>
    <row r="972" spans="4:45" ht="13">
      <c r="D972" s="610"/>
      <c r="E972" s="610"/>
      <c r="F972" s="610"/>
      <c r="G972" s="610"/>
      <c r="H972" s="610"/>
      <c r="AS972" s="611"/>
    </row>
    <row r="973" spans="4:45" ht="13">
      <c r="D973" s="610"/>
      <c r="E973" s="610"/>
      <c r="F973" s="610"/>
      <c r="G973" s="610"/>
      <c r="H973" s="610"/>
      <c r="AS973" s="611"/>
    </row>
    <row r="974" spans="4:45" ht="13">
      <c r="D974" s="610"/>
      <c r="E974" s="610"/>
      <c r="F974" s="610"/>
      <c r="G974" s="610"/>
      <c r="H974" s="610"/>
      <c r="AS974" s="611"/>
    </row>
    <row r="975" spans="4:45" ht="13">
      <c r="D975" s="610"/>
      <c r="E975" s="610"/>
      <c r="F975" s="610"/>
      <c r="G975" s="610"/>
      <c r="H975" s="610"/>
      <c r="AS975" s="611"/>
    </row>
    <row r="976" spans="4:45" ht="13">
      <c r="D976" s="610"/>
      <c r="E976" s="610"/>
      <c r="F976" s="610"/>
      <c r="G976" s="610"/>
      <c r="H976" s="610"/>
      <c r="AS976" s="611"/>
    </row>
    <row r="977" spans="4:45" ht="13">
      <c r="D977" s="610"/>
      <c r="E977" s="610"/>
      <c r="F977" s="610"/>
      <c r="G977" s="610"/>
      <c r="H977" s="610"/>
      <c r="AS977" s="611"/>
    </row>
    <row r="978" spans="4:45" ht="13">
      <c r="D978" s="610"/>
      <c r="E978" s="610"/>
      <c r="F978" s="610"/>
      <c r="G978" s="610"/>
      <c r="H978" s="610"/>
      <c r="AS978" s="611"/>
    </row>
    <row r="979" spans="4:45" ht="13">
      <c r="D979" s="610"/>
      <c r="E979" s="610"/>
      <c r="F979" s="610"/>
      <c r="G979" s="610"/>
      <c r="H979" s="610"/>
      <c r="AS979" s="611"/>
    </row>
    <row r="980" spans="4:45" ht="13">
      <c r="D980" s="610"/>
      <c r="E980" s="610"/>
      <c r="F980" s="610"/>
      <c r="G980" s="610"/>
      <c r="H980" s="610"/>
      <c r="AS980" s="611"/>
    </row>
    <row r="981" spans="4:45" ht="13">
      <c r="D981" s="610"/>
      <c r="E981" s="610"/>
      <c r="F981" s="610"/>
      <c r="G981" s="610"/>
      <c r="H981" s="610"/>
      <c r="AS981" s="611"/>
    </row>
    <row r="982" spans="4:45" ht="13">
      <c r="D982" s="610"/>
      <c r="E982" s="610"/>
      <c r="F982" s="610"/>
      <c r="G982" s="610"/>
      <c r="H982" s="610"/>
      <c r="AS982" s="611"/>
    </row>
    <row r="983" spans="4:45" ht="13">
      <c r="D983" s="610"/>
      <c r="E983" s="610"/>
      <c r="F983" s="610"/>
      <c r="G983" s="610"/>
      <c r="H983" s="610"/>
      <c r="AS983" s="611"/>
    </row>
    <row r="984" spans="4:45" ht="13">
      <c r="D984" s="610"/>
      <c r="E984" s="610"/>
      <c r="F984" s="610"/>
      <c r="G984" s="610"/>
      <c r="H984" s="610"/>
      <c r="AS984" s="611"/>
    </row>
    <row r="985" spans="4:45" ht="13">
      <c r="D985" s="610"/>
      <c r="E985" s="610"/>
      <c r="F985" s="610"/>
      <c r="G985" s="610"/>
      <c r="H985" s="610"/>
      <c r="AS985" s="611"/>
    </row>
    <row r="986" spans="4:45" ht="13">
      <c r="D986" s="610"/>
      <c r="E986" s="610"/>
      <c r="F986" s="610"/>
      <c r="G986" s="610"/>
      <c r="H986" s="610"/>
      <c r="AS986" s="611"/>
    </row>
    <row r="987" spans="4:45" ht="13">
      <c r="D987" s="610"/>
      <c r="E987" s="610"/>
      <c r="F987" s="610"/>
      <c r="G987" s="610"/>
      <c r="H987" s="610"/>
      <c r="AS987" s="611"/>
    </row>
    <row r="988" spans="4:45" ht="13">
      <c r="D988" s="610"/>
      <c r="E988" s="610"/>
      <c r="F988" s="610"/>
      <c r="G988" s="610"/>
      <c r="H988" s="610"/>
      <c r="AS988" s="611"/>
    </row>
    <row r="989" spans="4:45" ht="13">
      <c r="D989" s="610"/>
      <c r="E989" s="610"/>
      <c r="F989" s="610"/>
      <c r="G989" s="610"/>
      <c r="H989" s="610"/>
      <c r="AS989" s="611"/>
    </row>
    <row r="990" spans="4:45" ht="13">
      <c r="D990" s="610"/>
      <c r="E990" s="610"/>
      <c r="F990" s="610"/>
      <c r="G990" s="610"/>
      <c r="H990" s="610"/>
      <c r="AS990" s="611"/>
    </row>
    <row r="991" spans="4:45" ht="13">
      <c r="D991" s="610"/>
      <c r="E991" s="610"/>
      <c r="F991" s="610"/>
      <c r="G991" s="610"/>
      <c r="H991" s="610"/>
      <c r="AS991" s="611"/>
    </row>
    <row r="992" spans="4:45" ht="13">
      <c r="D992" s="610"/>
      <c r="E992" s="610"/>
      <c r="F992" s="610"/>
      <c r="G992" s="610"/>
      <c r="H992" s="610"/>
      <c r="AS992" s="611"/>
    </row>
    <row r="993" spans="4:45" ht="13">
      <c r="D993" s="610"/>
      <c r="E993" s="610"/>
      <c r="F993" s="610"/>
      <c r="G993" s="610"/>
      <c r="H993" s="610"/>
      <c r="AS993" s="611"/>
    </row>
    <row r="994" spans="4:45" ht="13">
      <c r="D994" s="610"/>
      <c r="E994" s="610"/>
      <c r="F994" s="610"/>
      <c r="G994" s="610"/>
      <c r="H994" s="610"/>
      <c r="AS994" s="611"/>
    </row>
    <row r="995" spans="4:45" ht="13">
      <c r="D995" s="610"/>
      <c r="E995" s="610"/>
      <c r="F995" s="610"/>
      <c r="G995" s="610"/>
      <c r="H995" s="610"/>
      <c r="AS995" s="611"/>
    </row>
    <row r="996" spans="4:45" ht="13">
      <c r="D996" s="610"/>
      <c r="E996" s="610"/>
      <c r="F996" s="610"/>
      <c r="G996" s="610"/>
      <c r="H996" s="610"/>
      <c r="AS996" s="611"/>
    </row>
    <row r="997" spans="4:45" ht="13">
      <c r="D997" s="610"/>
      <c r="E997" s="610"/>
      <c r="F997" s="610"/>
      <c r="G997" s="610"/>
      <c r="H997" s="610"/>
      <c r="AS997" s="611"/>
    </row>
    <row r="998" spans="4:45" ht="13">
      <c r="D998" s="610"/>
      <c r="E998" s="610"/>
      <c r="F998" s="610"/>
      <c r="G998" s="610"/>
      <c r="H998" s="610"/>
      <c r="AS998" s="611"/>
    </row>
    <row r="999" spans="4:45" ht="13">
      <c r="D999" s="610"/>
      <c r="E999" s="610"/>
      <c r="F999" s="610"/>
      <c r="G999" s="610"/>
      <c r="H999" s="610"/>
      <c r="AS999" s="611"/>
    </row>
    <row r="1000" spans="4:45" ht="13">
      <c r="D1000" s="610"/>
      <c r="E1000" s="610"/>
      <c r="F1000" s="610"/>
      <c r="G1000" s="610"/>
      <c r="H1000" s="610"/>
      <c r="AS1000" s="611"/>
    </row>
    <row r="1001" spans="4:45" ht="13">
      <c r="D1001" s="610"/>
      <c r="E1001" s="610"/>
      <c r="F1001" s="610"/>
      <c r="G1001" s="610"/>
      <c r="H1001" s="610"/>
      <c r="AS1001" s="611"/>
    </row>
    <row r="1002" spans="4:45" ht="13">
      <c r="D1002" s="610"/>
      <c r="E1002" s="610"/>
      <c r="F1002" s="610"/>
      <c r="G1002" s="610"/>
      <c r="H1002" s="610"/>
      <c r="AS1002" s="611"/>
    </row>
    <row r="1003" spans="4:45" ht="13">
      <c r="D1003" s="610"/>
      <c r="E1003" s="610"/>
      <c r="F1003" s="610"/>
      <c r="G1003" s="610"/>
      <c r="H1003" s="610"/>
      <c r="AS1003" s="611"/>
    </row>
    <row r="1004" spans="4:45" ht="13">
      <c r="D1004" s="610"/>
      <c r="E1004" s="610"/>
      <c r="F1004" s="610"/>
      <c r="G1004" s="610"/>
      <c r="H1004" s="610"/>
      <c r="AS1004" s="611"/>
    </row>
    <row r="1005" spans="4:45" ht="13">
      <c r="D1005" s="610"/>
      <c r="E1005" s="610"/>
      <c r="F1005" s="610"/>
      <c r="G1005" s="610"/>
      <c r="H1005" s="610"/>
      <c r="AS1005" s="611"/>
    </row>
    <row r="1006" spans="4:45" ht="13">
      <c r="D1006" s="610"/>
      <c r="E1006" s="610"/>
      <c r="F1006" s="610"/>
      <c r="G1006" s="610"/>
      <c r="H1006" s="610"/>
      <c r="AS1006" s="611"/>
    </row>
    <row r="1007" spans="4:45" ht="13">
      <c r="D1007" s="610"/>
      <c r="E1007" s="610"/>
      <c r="F1007" s="610"/>
      <c r="G1007" s="610"/>
      <c r="H1007" s="610"/>
      <c r="AS1007" s="611"/>
    </row>
    <row r="1008" spans="4:45" ht="13">
      <c r="D1008" s="610"/>
      <c r="E1008" s="610"/>
      <c r="F1008" s="610"/>
      <c r="G1008" s="610"/>
      <c r="H1008" s="610"/>
      <c r="AS1008" s="611"/>
    </row>
    <row r="1009" spans="4:45" ht="13">
      <c r="D1009" s="610"/>
      <c r="E1009" s="610"/>
      <c r="F1009" s="610"/>
      <c r="G1009" s="610"/>
      <c r="H1009" s="610"/>
      <c r="AS1009" s="611"/>
    </row>
    <row r="1010" spans="4:45" ht="13">
      <c r="D1010" s="610"/>
      <c r="E1010" s="610"/>
      <c r="F1010" s="610"/>
      <c r="G1010" s="610"/>
      <c r="H1010" s="610"/>
      <c r="AS1010" s="611"/>
    </row>
    <row r="1011" spans="4:45" ht="13">
      <c r="D1011" s="610"/>
      <c r="E1011" s="610"/>
      <c r="F1011" s="610"/>
      <c r="G1011" s="610"/>
      <c r="H1011" s="610"/>
      <c r="AS1011" s="611"/>
    </row>
    <row r="1012" spans="4:45" ht="13">
      <c r="D1012" s="610"/>
      <c r="E1012" s="610"/>
      <c r="F1012" s="610"/>
      <c r="G1012" s="610"/>
      <c r="H1012" s="610"/>
      <c r="AS1012" s="611"/>
    </row>
    <row r="1013" spans="4:45" ht="13">
      <c r="D1013" s="610"/>
      <c r="E1013" s="610"/>
      <c r="F1013" s="610"/>
      <c r="G1013" s="610"/>
      <c r="H1013" s="610"/>
      <c r="AS1013" s="611"/>
    </row>
    <row r="1014" spans="4:45" ht="13">
      <c r="D1014" s="610"/>
      <c r="E1014" s="610"/>
      <c r="F1014" s="610"/>
      <c r="G1014" s="610"/>
      <c r="H1014" s="610"/>
      <c r="AS1014" s="611"/>
    </row>
    <row r="1015" spans="4:45" ht="13">
      <c r="D1015" s="610"/>
      <c r="E1015" s="610"/>
      <c r="F1015" s="610"/>
      <c r="G1015" s="610"/>
      <c r="H1015" s="610"/>
      <c r="AS1015" s="611"/>
    </row>
    <row r="1016" spans="4:45" ht="13">
      <c r="D1016" s="610"/>
      <c r="E1016" s="610"/>
      <c r="F1016" s="610"/>
      <c r="G1016" s="610"/>
      <c r="H1016" s="610"/>
      <c r="AS1016" s="611"/>
    </row>
    <row r="1017" spans="4:45" ht="13">
      <c r="D1017" s="610"/>
      <c r="E1017" s="610"/>
      <c r="F1017" s="610"/>
      <c r="G1017" s="610"/>
      <c r="H1017" s="610"/>
      <c r="AS1017" s="611"/>
    </row>
    <row r="1018" spans="4:45" ht="13">
      <c r="D1018" s="610"/>
      <c r="E1018" s="610"/>
      <c r="F1018" s="610"/>
      <c r="G1018" s="610"/>
      <c r="H1018" s="610"/>
      <c r="AS1018" s="611"/>
    </row>
    <row r="1019" spans="4:45" ht="13">
      <c r="D1019" s="610"/>
      <c r="E1019" s="610"/>
      <c r="F1019" s="610"/>
      <c r="G1019" s="610"/>
      <c r="H1019" s="610"/>
      <c r="AS1019" s="611"/>
    </row>
    <row r="1020" spans="4:45" ht="13">
      <c r="D1020" s="610"/>
      <c r="E1020" s="610"/>
      <c r="F1020" s="610"/>
      <c r="G1020" s="610"/>
      <c r="H1020" s="610"/>
      <c r="AS1020" s="611"/>
    </row>
    <row r="1021" spans="4:45" ht="13">
      <c r="D1021" s="610"/>
      <c r="E1021" s="610"/>
      <c r="F1021" s="610"/>
      <c r="G1021" s="610"/>
      <c r="H1021" s="610"/>
      <c r="AS1021" s="611"/>
    </row>
    <row r="1022" spans="4:45" ht="13">
      <c r="D1022" s="610"/>
      <c r="E1022" s="610"/>
      <c r="F1022" s="610"/>
      <c r="G1022" s="610"/>
      <c r="H1022" s="610"/>
      <c r="AS1022" s="611"/>
    </row>
    <row r="1023" spans="4:45" ht="13">
      <c r="D1023" s="610"/>
      <c r="E1023" s="610"/>
      <c r="F1023" s="610"/>
      <c r="G1023" s="610"/>
      <c r="H1023" s="610"/>
      <c r="AS1023" s="611"/>
    </row>
    <row r="1024" spans="4:45" ht="13">
      <c r="D1024" s="610"/>
      <c r="E1024" s="610"/>
      <c r="F1024" s="610"/>
      <c r="G1024" s="610"/>
      <c r="H1024" s="610"/>
      <c r="AS1024" s="611"/>
    </row>
    <row r="1025" spans="4:45" ht="13">
      <c r="D1025" s="610"/>
      <c r="E1025" s="610"/>
      <c r="F1025" s="610"/>
      <c r="G1025" s="610"/>
      <c r="H1025" s="610"/>
      <c r="AS1025" s="611"/>
    </row>
    <row r="1026" spans="4:45" ht="13">
      <c r="D1026" s="610"/>
      <c r="E1026" s="610"/>
      <c r="F1026" s="610"/>
      <c r="G1026" s="610"/>
      <c r="H1026" s="610"/>
      <c r="AS1026" s="611"/>
    </row>
    <row r="1027" spans="4:45" ht="13">
      <c r="D1027" s="610"/>
      <c r="E1027" s="610"/>
      <c r="F1027" s="610"/>
      <c r="G1027" s="610"/>
      <c r="H1027" s="610"/>
      <c r="AS1027" s="611"/>
    </row>
    <row r="1028" spans="4:45" ht="13">
      <c r="D1028" s="610"/>
      <c r="E1028" s="610"/>
      <c r="F1028" s="610"/>
      <c r="G1028" s="610"/>
      <c r="H1028" s="610"/>
      <c r="AS1028" s="611"/>
    </row>
    <row r="1029" spans="4:45" ht="13">
      <c r="D1029" s="610"/>
      <c r="E1029" s="610"/>
      <c r="F1029" s="610"/>
      <c r="G1029" s="610"/>
      <c r="H1029" s="610"/>
      <c r="AS1029" s="611"/>
    </row>
    <row r="1030" spans="4:45" ht="13">
      <c r="D1030" s="610"/>
      <c r="E1030" s="610"/>
      <c r="F1030" s="610"/>
      <c r="G1030" s="610"/>
      <c r="H1030" s="610"/>
      <c r="AS1030" s="611"/>
    </row>
    <row r="1031" spans="4:45" ht="13">
      <c r="D1031" s="610"/>
      <c r="E1031" s="610"/>
      <c r="F1031" s="610"/>
      <c r="G1031" s="610"/>
      <c r="H1031" s="610"/>
      <c r="AS1031" s="611"/>
    </row>
    <row r="1032" spans="4:45" ht="13">
      <c r="D1032" s="610"/>
      <c r="E1032" s="610"/>
      <c r="F1032" s="610"/>
      <c r="G1032" s="610"/>
      <c r="H1032" s="610"/>
      <c r="AS1032" s="611"/>
    </row>
    <row r="1033" spans="4:45" ht="13">
      <c r="D1033" s="610"/>
      <c r="E1033" s="610"/>
      <c r="F1033" s="610"/>
      <c r="G1033" s="610"/>
      <c r="H1033" s="610"/>
      <c r="AS1033" s="611"/>
    </row>
    <row r="1034" spans="4:45" ht="13">
      <c r="D1034" s="610"/>
      <c r="E1034" s="610"/>
      <c r="F1034" s="610"/>
      <c r="G1034" s="610"/>
      <c r="H1034" s="610"/>
      <c r="AS1034" s="611"/>
    </row>
    <row r="1035" spans="4:45" ht="13">
      <c r="D1035" s="610"/>
      <c r="E1035" s="610"/>
      <c r="F1035" s="610"/>
      <c r="G1035" s="610"/>
      <c r="H1035" s="610"/>
      <c r="AS1035" s="611"/>
    </row>
    <row r="1036" spans="4:45" ht="13">
      <c r="D1036" s="610"/>
      <c r="E1036" s="610"/>
      <c r="F1036" s="610"/>
      <c r="G1036" s="610"/>
      <c r="H1036" s="610"/>
      <c r="AS1036" s="611"/>
    </row>
    <row r="1037" spans="4:45" ht="13">
      <c r="D1037" s="610"/>
      <c r="E1037" s="610"/>
      <c r="F1037" s="610"/>
      <c r="G1037" s="610"/>
      <c r="H1037" s="610"/>
      <c r="AS1037" s="611"/>
    </row>
    <row r="1038" spans="4:45" ht="13">
      <c r="D1038" s="610"/>
      <c r="E1038" s="610"/>
      <c r="F1038" s="610"/>
      <c r="G1038" s="610"/>
      <c r="H1038" s="610"/>
      <c r="AS1038" s="611"/>
    </row>
    <row r="1039" spans="4:45" ht="13">
      <c r="D1039" s="610"/>
      <c r="E1039" s="610"/>
      <c r="F1039" s="610"/>
      <c r="G1039" s="610"/>
      <c r="H1039" s="610"/>
      <c r="AS1039" s="611"/>
    </row>
    <row r="1040" spans="4:45" ht="13">
      <c r="D1040" s="610"/>
      <c r="E1040" s="610"/>
      <c r="F1040" s="610"/>
      <c r="G1040" s="610"/>
      <c r="H1040" s="610"/>
      <c r="AS1040" s="611"/>
    </row>
    <row r="1041" spans="4:45" ht="13">
      <c r="D1041" s="610"/>
      <c r="E1041" s="610"/>
      <c r="F1041" s="610"/>
      <c r="G1041" s="610"/>
      <c r="H1041" s="610"/>
      <c r="AS1041" s="611"/>
    </row>
    <row r="1042" spans="4:45" ht="13">
      <c r="D1042" s="610"/>
      <c r="E1042" s="610"/>
      <c r="F1042" s="610"/>
      <c r="G1042" s="610"/>
      <c r="H1042" s="610"/>
      <c r="AS1042" s="611"/>
    </row>
    <row r="1043" spans="4:45" ht="13">
      <c r="D1043" s="610"/>
      <c r="E1043" s="610"/>
      <c r="F1043" s="610"/>
      <c r="G1043" s="610"/>
      <c r="H1043" s="610"/>
      <c r="AS1043" s="611"/>
    </row>
    <row r="1044" spans="4:45" ht="13">
      <c r="D1044" s="610"/>
      <c r="E1044" s="610"/>
      <c r="F1044" s="610"/>
      <c r="G1044" s="610"/>
      <c r="H1044" s="610"/>
      <c r="AS1044" s="611"/>
    </row>
    <row r="1045" spans="4:45" ht="13">
      <c r="D1045" s="610"/>
      <c r="E1045" s="610"/>
      <c r="F1045" s="610"/>
      <c r="G1045" s="610"/>
      <c r="H1045" s="610"/>
      <c r="AS1045" s="611"/>
    </row>
    <row r="1046" spans="4:45" ht="13">
      <c r="D1046" s="610"/>
      <c r="E1046" s="610"/>
      <c r="F1046" s="610"/>
      <c r="G1046" s="610"/>
      <c r="H1046" s="610"/>
      <c r="AS1046" s="611"/>
    </row>
    <row r="1047" spans="4:45" ht="13">
      <c r="D1047" s="610"/>
      <c r="E1047" s="610"/>
      <c r="F1047" s="610"/>
      <c r="G1047" s="610"/>
      <c r="H1047" s="610"/>
      <c r="AS1047" s="611"/>
    </row>
    <row r="1048" spans="4:45" ht="13">
      <c r="D1048" s="610"/>
      <c r="E1048" s="610"/>
      <c r="F1048" s="610"/>
      <c r="G1048" s="610"/>
      <c r="H1048" s="610"/>
      <c r="AS1048" s="611"/>
    </row>
    <row r="1049" spans="4:45" ht="13">
      <c r="D1049" s="610"/>
      <c r="E1049" s="610"/>
      <c r="F1049" s="610"/>
      <c r="G1049" s="610"/>
      <c r="H1049" s="610"/>
      <c r="AS1049" s="611"/>
    </row>
    <row r="1050" spans="4:45" ht="13">
      <c r="D1050" s="610"/>
      <c r="E1050" s="610"/>
      <c r="F1050" s="610"/>
      <c r="G1050" s="610"/>
      <c r="H1050" s="610"/>
      <c r="AS1050" s="611"/>
    </row>
    <row r="1051" spans="4:45" ht="13">
      <c r="D1051" s="610"/>
      <c r="E1051" s="610"/>
      <c r="F1051" s="610"/>
      <c r="G1051" s="610"/>
      <c r="H1051" s="610"/>
      <c r="AS1051" s="611"/>
    </row>
    <row r="1052" spans="4:45" ht="13">
      <c r="D1052" s="610"/>
      <c r="E1052" s="610"/>
      <c r="F1052" s="610"/>
      <c r="G1052" s="610"/>
      <c r="H1052" s="610"/>
      <c r="AS1052" s="611"/>
    </row>
    <row r="1053" spans="4:45" ht="13">
      <c r="D1053" s="610"/>
      <c r="E1053" s="610"/>
      <c r="F1053" s="610"/>
      <c r="G1053" s="610"/>
      <c r="H1053" s="610"/>
      <c r="AS1053" s="611"/>
    </row>
    <row r="1054" spans="4:45" ht="13">
      <c r="D1054" s="610"/>
      <c r="E1054" s="610"/>
      <c r="F1054" s="610"/>
      <c r="G1054" s="610"/>
      <c r="H1054" s="610"/>
      <c r="AS1054" s="611"/>
    </row>
    <row r="1055" spans="4:45" ht="13">
      <c r="D1055" s="610"/>
      <c r="E1055" s="610"/>
      <c r="F1055" s="610"/>
      <c r="G1055" s="610"/>
      <c r="H1055" s="610"/>
      <c r="AS1055" s="611"/>
    </row>
    <row r="1056" spans="4:45" ht="13">
      <c r="D1056" s="610"/>
      <c r="E1056" s="610"/>
      <c r="F1056" s="610"/>
      <c r="G1056" s="610"/>
      <c r="H1056" s="610"/>
      <c r="AS1056" s="611"/>
    </row>
    <row r="1057" spans="4:45" ht="13">
      <c r="D1057" s="610"/>
      <c r="E1057" s="610"/>
      <c r="F1057" s="610"/>
      <c r="G1057" s="610"/>
      <c r="H1057" s="610"/>
      <c r="AS1057" s="611"/>
    </row>
    <row r="1058" spans="4:45" ht="13">
      <c r="D1058" s="610"/>
      <c r="E1058" s="610"/>
      <c r="F1058" s="610"/>
      <c r="G1058" s="610"/>
      <c r="H1058" s="610"/>
      <c r="AS1058" s="611"/>
    </row>
    <row r="1059" spans="4:45" ht="13">
      <c r="D1059" s="610"/>
      <c r="E1059" s="610"/>
      <c r="F1059" s="610"/>
      <c r="G1059" s="610"/>
      <c r="H1059" s="610"/>
      <c r="AS1059" s="611"/>
    </row>
    <row r="1060" spans="4:45" ht="13">
      <c r="D1060" s="610"/>
      <c r="E1060" s="610"/>
      <c r="F1060" s="610"/>
      <c r="G1060" s="610"/>
      <c r="H1060" s="610"/>
      <c r="AS1060" s="611"/>
    </row>
    <row r="1061" spans="4:45" ht="13">
      <c r="D1061" s="610"/>
      <c r="E1061" s="610"/>
      <c r="F1061" s="610"/>
      <c r="G1061" s="610"/>
      <c r="H1061" s="610"/>
      <c r="AS1061" s="611"/>
    </row>
    <row r="1062" spans="4:45" ht="13">
      <c r="D1062" s="610"/>
      <c r="E1062" s="610"/>
      <c r="F1062" s="610"/>
      <c r="G1062" s="610"/>
      <c r="H1062" s="610"/>
      <c r="AS1062" s="611"/>
    </row>
    <row r="1063" spans="4:45" ht="13">
      <c r="D1063" s="610"/>
      <c r="E1063" s="610"/>
      <c r="F1063" s="610"/>
      <c r="G1063" s="610"/>
      <c r="H1063" s="610"/>
      <c r="AS1063" s="611"/>
    </row>
    <row r="1064" spans="4:45" ht="13">
      <c r="D1064" s="610"/>
      <c r="E1064" s="610"/>
      <c r="F1064" s="610"/>
      <c r="G1064" s="610"/>
      <c r="H1064" s="610"/>
      <c r="AS1064" s="611"/>
    </row>
    <row r="1065" spans="4:45" ht="13">
      <c r="D1065" s="610"/>
      <c r="E1065" s="610"/>
      <c r="F1065" s="610"/>
      <c r="G1065" s="610"/>
      <c r="H1065" s="610"/>
      <c r="AS1065" s="611"/>
    </row>
    <row r="1066" spans="4:45" ht="13">
      <c r="D1066" s="610"/>
      <c r="E1066" s="610"/>
      <c r="F1066" s="610"/>
      <c r="G1066" s="610"/>
      <c r="H1066" s="610"/>
      <c r="AS1066" s="611"/>
    </row>
    <row r="1067" spans="4:45" ht="13">
      <c r="D1067" s="610"/>
      <c r="E1067" s="610"/>
      <c r="F1067" s="610"/>
      <c r="G1067" s="610"/>
      <c r="H1067" s="610"/>
      <c r="AS1067" s="611"/>
    </row>
    <row r="1068" spans="4:45" ht="13">
      <c r="D1068" s="610"/>
      <c r="E1068" s="610"/>
      <c r="F1068" s="610"/>
      <c r="G1068" s="610"/>
      <c r="H1068" s="610"/>
      <c r="AS1068" s="611"/>
    </row>
    <row r="1069" spans="4:45" ht="13">
      <c r="D1069" s="610"/>
      <c r="E1069" s="610"/>
      <c r="F1069" s="610"/>
      <c r="G1069" s="610"/>
      <c r="H1069" s="610"/>
      <c r="AS1069" s="611"/>
    </row>
    <row r="1070" spans="4:45" ht="13">
      <c r="D1070" s="610"/>
      <c r="E1070" s="610"/>
      <c r="F1070" s="610"/>
      <c r="G1070" s="610"/>
      <c r="H1070" s="610"/>
      <c r="AS1070" s="611"/>
    </row>
    <row r="1071" spans="4:45" ht="13">
      <c r="D1071" s="610"/>
      <c r="E1071" s="610"/>
      <c r="F1071" s="610"/>
      <c r="G1071" s="610"/>
      <c r="H1071" s="610"/>
      <c r="AS1071" s="611"/>
    </row>
    <row r="1072" spans="4:45" ht="13">
      <c r="D1072" s="610"/>
      <c r="E1072" s="610"/>
      <c r="F1072" s="610"/>
      <c r="G1072" s="610"/>
      <c r="H1072" s="610"/>
      <c r="AS1072" s="611"/>
    </row>
    <row r="1073" spans="4:45" ht="13">
      <c r="D1073" s="610"/>
      <c r="E1073" s="610"/>
      <c r="F1073" s="610"/>
      <c r="G1073" s="610"/>
      <c r="H1073" s="610"/>
      <c r="AS1073" s="611"/>
    </row>
    <row r="1074" spans="4:45" ht="13">
      <c r="D1074" s="610"/>
      <c r="E1074" s="610"/>
      <c r="F1074" s="610"/>
      <c r="G1074" s="610"/>
      <c r="H1074" s="610"/>
      <c r="AS1074" s="611"/>
    </row>
    <row r="1075" spans="4:45" ht="13">
      <c r="D1075" s="610"/>
      <c r="E1075" s="610"/>
      <c r="F1075" s="610"/>
      <c r="G1075" s="610"/>
      <c r="H1075" s="610"/>
      <c r="AS1075" s="611"/>
    </row>
    <row r="1076" spans="4:45" ht="13">
      <c r="D1076" s="610"/>
      <c r="E1076" s="610"/>
      <c r="F1076" s="610"/>
      <c r="G1076" s="610"/>
      <c r="H1076" s="610"/>
      <c r="AS1076" s="611"/>
    </row>
    <row r="1077" spans="4:45" ht="13">
      <c r="D1077" s="610"/>
      <c r="E1077" s="610"/>
      <c r="F1077" s="610"/>
      <c r="G1077" s="610"/>
      <c r="H1077" s="610"/>
      <c r="AS1077" s="611"/>
    </row>
    <row r="1078" spans="4:45" ht="13">
      <c r="D1078" s="610"/>
      <c r="E1078" s="610"/>
      <c r="F1078" s="610"/>
      <c r="G1078" s="610"/>
      <c r="H1078" s="610"/>
      <c r="AS1078" s="611"/>
    </row>
    <row r="1079" spans="4:45" ht="13">
      <c r="D1079" s="610"/>
      <c r="E1079" s="610"/>
      <c r="F1079" s="610"/>
      <c r="G1079" s="610"/>
      <c r="H1079" s="610"/>
      <c r="AS1079" s="611"/>
    </row>
    <row r="1080" spans="4:45" ht="13">
      <c r="D1080" s="610"/>
      <c r="E1080" s="610"/>
      <c r="F1080" s="610"/>
      <c r="G1080" s="610"/>
      <c r="H1080" s="610"/>
      <c r="AS1080" s="611"/>
    </row>
    <row r="1081" spans="4:45" ht="13">
      <c r="D1081" s="610"/>
      <c r="E1081" s="610"/>
      <c r="F1081" s="610"/>
      <c r="G1081" s="610"/>
      <c r="H1081" s="610"/>
      <c r="AS1081" s="611"/>
    </row>
    <row r="1082" spans="4:45" ht="13">
      <c r="D1082" s="610"/>
      <c r="E1082" s="610"/>
      <c r="F1082" s="610"/>
      <c r="G1082" s="610"/>
      <c r="H1082" s="610"/>
      <c r="AS1082" s="611"/>
    </row>
    <row r="1083" spans="4:45" ht="13">
      <c r="D1083" s="610"/>
      <c r="E1083" s="610"/>
      <c r="F1083" s="610"/>
      <c r="G1083" s="610"/>
      <c r="H1083" s="610"/>
      <c r="AS1083" s="611"/>
    </row>
    <row r="1084" spans="4:45" ht="13">
      <c r="D1084" s="610"/>
      <c r="E1084" s="610"/>
      <c r="F1084" s="610"/>
      <c r="G1084" s="610"/>
      <c r="H1084" s="610"/>
      <c r="AS1084" s="611"/>
    </row>
    <row r="1085" spans="4:45" ht="13">
      <c r="D1085" s="610"/>
      <c r="E1085" s="610"/>
      <c r="F1085" s="610"/>
      <c r="G1085" s="610"/>
      <c r="H1085" s="610"/>
      <c r="AS1085" s="611"/>
    </row>
    <row r="1086" spans="4:45" ht="13">
      <c r="D1086" s="610"/>
      <c r="E1086" s="610"/>
      <c r="F1086" s="610"/>
      <c r="G1086" s="610"/>
      <c r="H1086" s="610"/>
      <c r="AS1086" s="611"/>
    </row>
    <row r="1087" spans="4:45" ht="13">
      <c r="D1087" s="610"/>
      <c r="E1087" s="610"/>
      <c r="F1087" s="610"/>
      <c r="G1087" s="610"/>
      <c r="H1087" s="610"/>
      <c r="AS1087" s="611"/>
    </row>
    <row r="1088" spans="4:45" ht="13">
      <c r="D1088" s="610"/>
      <c r="E1088" s="610"/>
      <c r="F1088" s="610"/>
      <c r="G1088" s="610"/>
      <c r="H1088" s="610"/>
      <c r="AS1088" s="611"/>
    </row>
    <row r="1089" spans="4:45" ht="13">
      <c r="D1089" s="610"/>
      <c r="E1089" s="610"/>
      <c r="F1089" s="610"/>
      <c r="G1089" s="610"/>
      <c r="H1089" s="610"/>
      <c r="AS1089" s="611"/>
    </row>
    <row r="1090" spans="4:45" ht="13">
      <c r="D1090" s="610"/>
      <c r="E1090" s="610"/>
      <c r="F1090" s="610"/>
      <c r="G1090" s="610"/>
      <c r="H1090" s="610"/>
      <c r="AS1090" s="611"/>
    </row>
    <row r="1091" spans="4:45" ht="13">
      <c r="D1091" s="610"/>
      <c r="E1091" s="610"/>
      <c r="F1091" s="610"/>
      <c r="G1091" s="610"/>
      <c r="H1091" s="610"/>
      <c r="AS1091" s="611"/>
    </row>
    <row r="1092" spans="4:45" ht="13">
      <c r="D1092" s="610"/>
      <c r="E1092" s="610"/>
      <c r="F1092" s="610"/>
      <c r="G1092" s="610"/>
      <c r="H1092" s="610"/>
      <c r="AS1092" s="611"/>
    </row>
    <row r="1093" spans="4:45" ht="13">
      <c r="D1093" s="610"/>
      <c r="E1093" s="610"/>
      <c r="F1093" s="610"/>
      <c r="G1093" s="610"/>
      <c r="H1093" s="610"/>
      <c r="AS1093" s="611"/>
    </row>
    <row r="1094" spans="4:45" ht="13">
      <c r="D1094" s="610"/>
      <c r="E1094" s="610"/>
      <c r="F1094" s="610"/>
      <c r="G1094" s="610"/>
      <c r="H1094" s="610"/>
      <c r="AS1094" s="611"/>
    </row>
    <row r="1095" spans="4:45" ht="13">
      <c r="D1095" s="610"/>
      <c r="E1095" s="610"/>
      <c r="F1095" s="610"/>
      <c r="G1095" s="610"/>
      <c r="H1095" s="610"/>
      <c r="AS1095" s="611"/>
    </row>
    <row r="1096" spans="4:45" ht="13">
      <c r="D1096" s="610"/>
      <c r="E1096" s="610"/>
      <c r="F1096" s="610"/>
      <c r="G1096" s="610"/>
      <c r="H1096" s="610"/>
      <c r="AS1096" s="611"/>
    </row>
    <row r="1097" spans="4:45" ht="13">
      <c r="D1097" s="610"/>
      <c r="E1097" s="610"/>
      <c r="F1097" s="610"/>
      <c r="G1097" s="610"/>
      <c r="H1097" s="610"/>
      <c r="AS1097" s="611"/>
    </row>
    <row r="1098" spans="4:45" ht="13">
      <c r="D1098" s="610"/>
      <c r="E1098" s="610"/>
      <c r="F1098" s="610"/>
      <c r="G1098" s="610"/>
      <c r="H1098" s="610"/>
      <c r="AS1098" s="611"/>
    </row>
    <row r="1099" spans="4:45" ht="13">
      <c r="D1099" s="610"/>
      <c r="E1099" s="610"/>
      <c r="F1099" s="610"/>
      <c r="G1099" s="610"/>
      <c r="H1099" s="610"/>
      <c r="AS1099" s="611"/>
    </row>
    <row r="1100" spans="4:45" ht="13">
      <c r="D1100" s="610"/>
      <c r="E1100" s="610"/>
      <c r="F1100" s="610"/>
      <c r="G1100" s="610"/>
      <c r="H1100" s="610"/>
      <c r="AS1100" s="611"/>
    </row>
    <row r="1101" spans="4:45" ht="13">
      <c r="D1101" s="610"/>
      <c r="E1101" s="610"/>
      <c r="F1101" s="610"/>
      <c r="G1101" s="610"/>
      <c r="H1101" s="610"/>
      <c r="AS1101" s="611"/>
    </row>
    <row r="1102" spans="4:45" ht="13">
      <c r="D1102" s="610"/>
      <c r="E1102" s="610"/>
      <c r="F1102" s="610"/>
      <c r="G1102" s="610"/>
      <c r="H1102" s="610"/>
      <c r="AS1102" s="611"/>
    </row>
    <row r="1103" spans="4:45" ht="13">
      <c r="D1103" s="610"/>
      <c r="E1103" s="610"/>
      <c r="F1103" s="610"/>
      <c r="G1103" s="610"/>
      <c r="H1103" s="610"/>
      <c r="AS1103" s="611"/>
    </row>
    <row r="1104" spans="4:45" ht="13">
      <c r="D1104" s="610"/>
      <c r="E1104" s="610"/>
      <c r="F1104" s="610"/>
      <c r="G1104" s="610"/>
      <c r="H1104" s="610"/>
      <c r="AS1104" s="611"/>
    </row>
    <row r="1105" spans="4:45" ht="13">
      <c r="D1105" s="610"/>
      <c r="E1105" s="610"/>
      <c r="F1105" s="610"/>
      <c r="G1105" s="610"/>
      <c r="H1105" s="610"/>
      <c r="AS1105" s="611"/>
    </row>
    <row r="1106" spans="4:45" ht="13">
      <c r="D1106" s="610"/>
      <c r="E1106" s="610"/>
      <c r="F1106" s="610"/>
      <c r="G1106" s="610"/>
      <c r="H1106" s="610"/>
      <c r="AS1106" s="611"/>
    </row>
    <row r="1107" spans="4:45" ht="13">
      <c r="D1107" s="610"/>
      <c r="E1107" s="610"/>
      <c r="F1107" s="610"/>
      <c r="G1107" s="610"/>
      <c r="H1107" s="610"/>
      <c r="AS1107" s="611"/>
    </row>
    <row r="1108" spans="4:45" ht="13">
      <c r="D1108" s="610"/>
      <c r="E1108" s="610"/>
      <c r="F1108" s="610"/>
      <c r="G1108" s="610"/>
      <c r="H1108" s="610"/>
      <c r="AS1108" s="611"/>
    </row>
    <row r="1109" spans="4:45" ht="13">
      <c r="D1109" s="610"/>
      <c r="E1109" s="610"/>
      <c r="F1109" s="610"/>
      <c r="G1109" s="610"/>
      <c r="H1109" s="610"/>
      <c r="AS1109" s="611"/>
    </row>
    <row r="1110" spans="4:45" ht="13">
      <c r="D1110" s="610"/>
      <c r="E1110" s="610"/>
      <c r="F1110" s="610"/>
      <c r="G1110" s="610"/>
      <c r="H1110" s="610"/>
      <c r="AS1110" s="611"/>
    </row>
    <row r="1111" spans="4:45" ht="13">
      <c r="D1111" s="610"/>
      <c r="E1111" s="610"/>
      <c r="F1111" s="610"/>
      <c r="G1111" s="610"/>
      <c r="H1111" s="610"/>
      <c r="AS1111" s="611"/>
    </row>
    <row r="1112" spans="4:45" ht="13">
      <c r="D1112" s="610"/>
      <c r="E1112" s="610"/>
      <c r="F1112" s="610"/>
      <c r="G1112" s="610"/>
      <c r="H1112" s="610"/>
      <c r="AS1112" s="611"/>
    </row>
    <row r="1113" spans="4:45" ht="13">
      <c r="D1113" s="610"/>
      <c r="E1113" s="610"/>
      <c r="F1113" s="610"/>
      <c r="G1113" s="610"/>
      <c r="H1113" s="610"/>
      <c r="AS1113" s="611"/>
    </row>
    <row r="1114" spans="4:45" ht="13">
      <c r="D1114" s="610"/>
      <c r="E1114" s="610"/>
      <c r="F1114" s="610"/>
      <c r="G1114" s="610"/>
      <c r="H1114" s="610"/>
      <c r="AS1114" s="611"/>
    </row>
    <row r="1115" spans="4:45" ht="13">
      <c r="D1115" s="610"/>
      <c r="E1115" s="610"/>
      <c r="F1115" s="610"/>
      <c r="G1115" s="610"/>
      <c r="H1115" s="610"/>
      <c r="AS1115" s="611"/>
    </row>
    <row r="1116" spans="4:45" ht="13">
      <c r="D1116" s="610"/>
      <c r="E1116" s="610"/>
      <c r="F1116" s="610"/>
      <c r="G1116" s="610"/>
      <c r="H1116" s="610"/>
      <c r="AS1116" s="611"/>
    </row>
    <row r="1117" spans="4:45" ht="13">
      <c r="D1117" s="610"/>
      <c r="E1117" s="610"/>
      <c r="F1117" s="610"/>
      <c r="G1117" s="610"/>
      <c r="H1117" s="610"/>
      <c r="AS1117" s="611"/>
    </row>
    <row r="1118" spans="4:45" ht="13">
      <c r="D1118" s="610"/>
      <c r="E1118" s="610"/>
      <c r="F1118" s="610"/>
      <c r="G1118" s="610"/>
      <c r="H1118" s="610"/>
      <c r="AS1118" s="611"/>
    </row>
    <row r="1119" spans="4:45" ht="13">
      <c r="D1119" s="610"/>
      <c r="E1119" s="610"/>
      <c r="F1119" s="610"/>
      <c r="G1119" s="610"/>
      <c r="H1119" s="610"/>
      <c r="AS1119" s="611"/>
    </row>
    <row r="1120" spans="4:45" ht="13">
      <c r="D1120" s="610"/>
      <c r="E1120" s="610"/>
      <c r="F1120" s="610"/>
      <c r="G1120" s="610"/>
      <c r="H1120" s="610"/>
      <c r="AS1120" s="611"/>
    </row>
    <row r="1121" spans="4:45" ht="13">
      <c r="D1121" s="610"/>
      <c r="E1121" s="610"/>
      <c r="F1121" s="610"/>
      <c r="G1121" s="610"/>
      <c r="H1121" s="610"/>
      <c r="AS1121" s="611"/>
    </row>
    <row r="1122" spans="4:45" ht="13">
      <c r="D1122" s="610"/>
      <c r="E1122" s="610"/>
      <c r="F1122" s="610"/>
      <c r="G1122" s="610"/>
      <c r="H1122" s="610"/>
      <c r="AS1122" s="611"/>
    </row>
    <row r="1123" spans="4:45" ht="13">
      <c r="D1123" s="610"/>
      <c r="E1123" s="610"/>
      <c r="F1123" s="610"/>
      <c r="G1123" s="610"/>
      <c r="H1123" s="610"/>
      <c r="AS1123" s="611"/>
    </row>
    <row r="1124" spans="4:45" ht="13">
      <c r="D1124" s="610"/>
      <c r="E1124" s="610"/>
      <c r="F1124" s="610"/>
      <c r="G1124" s="610"/>
      <c r="H1124" s="610"/>
      <c r="AS1124" s="611"/>
    </row>
    <row r="1125" spans="4:45" ht="13">
      <c r="D1125" s="610"/>
      <c r="E1125" s="610"/>
      <c r="F1125" s="610"/>
      <c r="G1125" s="610"/>
      <c r="H1125" s="610"/>
      <c r="AS1125" s="611"/>
    </row>
    <row r="1126" spans="4:45" ht="13">
      <c r="D1126" s="610"/>
      <c r="E1126" s="610"/>
      <c r="F1126" s="610"/>
      <c r="G1126" s="610"/>
      <c r="H1126" s="610"/>
      <c r="AS1126" s="611"/>
    </row>
    <row r="1127" spans="4:45" ht="13">
      <c r="D1127" s="610"/>
      <c r="E1127" s="610"/>
      <c r="F1127" s="610"/>
      <c r="G1127" s="610"/>
      <c r="H1127" s="610"/>
      <c r="AS1127" s="611"/>
    </row>
    <row r="1128" spans="4:45" ht="13">
      <c r="D1128" s="610"/>
      <c r="E1128" s="610"/>
      <c r="F1128" s="610"/>
      <c r="G1128" s="610"/>
      <c r="H1128" s="610"/>
      <c r="AS1128" s="611"/>
    </row>
    <row r="1129" spans="4:45" ht="13">
      <c r="D1129" s="610"/>
      <c r="E1129" s="610"/>
      <c r="F1129" s="610"/>
      <c r="G1129" s="610"/>
      <c r="H1129" s="610"/>
      <c r="AS1129" s="611"/>
    </row>
    <row r="1130" spans="4:45" ht="13">
      <c r="D1130" s="610"/>
      <c r="E1130" s="610"/>
      <c r="F1130" s="610"/>
      <c r="G1130" s="610"/>
      <c r="H1130" s="610"/>
      <c r="AS1130" s="611"/>
    </row>
    <row r="1131" spans="4:45" ht="13">
      <c r="D1131" s="610"/>
      <c r="E1131" s="610"/>
      <c r="F1131" s="610"/>
      <c r="G1131" s="610"/>
      <c r="H1131" s="610"/>
      <c r="AS1131" s="611"/>
    </row>
    <row r="1132" spans="4:45" ht="13">
      <c r="D1132" s="610"/>
      <c r="E1132" s="610"/>
      <c r="F1132" s="610"/>
      <c r="G1132" s="610"/>
      <c r="H1132" s="610"/>
      <c r="AS1132" s="611"/>
    </row>
    <row r="1133" spans="4:45" ht="13">
      <c r="D1133" s="610"/>
      <c r="E1133" s="610"/>
      <c r="F1133" s="610"/>
      <c r="G1133" s="610"/>
      <c r="H1133" s="610"/>
      <c r="AS1133" s="611"/>
    </row>
    <row r="1134" spans="4:45" ht="13">
      <c r="D1134" s="610"/>
      <c r="E1134" s="610"/>
      <c r="F1134" s="610"/>
      <c r="G1134" s="610"/>
      <c r="H1134" s="610"/>
      <c r="AS1134" s="611"/>
    </row>
    <row r="1135" spans="4:45" ht="13">
      <c r="D1135" s="610"/>
      <c r="E1135" s="610"/>
      <c r="F1135" s="610"/>
      <c r="G1135" s="610"/>
      <c r="H1135" s="610"/>
      <c r="AS1135" s="611"/>
    </row>
    <row r="1136" spans="4:45" ht="13">
      <c r="D1136" s="610"/>
      <c r="E1136" s="610"/>
      <c r="F1136" s="610"/>
      <c r="G1136" s="610"/>
      <c r="H1136" s="610"/>
      <c r="AS1136" s="611"/>
    </row>
    <row r="1137" spans="4:45" ht="13">
      <c r="D1137" s="610"/>
      <c r="E1137" s="610"/>
      <c r="F1137" s="610"/>
      <c r="G1137" s="610"/>
      <c r="H1137" s="610"/>
      <c r="AS1137" s="611"/>
    </row>
    <row r="1138" spans="4:45" ht="13">
      <c r="D1138" s="610"/>
      <c r="E1138" s="610"/>
      <c r="F1138" s="610"/>
      <c r="G1138" s="610"/>
      <c r="H1138" s="610"/>
      <c r="AS1138" s="611"/>
    </row>
    <row r="1139" spans="4:45" ht="13">
      <c r="D1139" s="610"/>
      <c r="E1139" s="610"/>
      <c r="F1139" s="610"/>
      <c r="G1139" s="610"/>
      <c r="H1139" s="610"/>
      <c r="AS1139" s="611"/>
    </row>
    <row r="1140" spans="4:45" ht="13">
      <c r="D1140" s="610"/>
      <c r="E1140" s="610"/>
      <c r="F1140" s="610"/>
      <c r="G1140" s="610"/>
      <c r="H1140" s="610"/>
      <c r="AS1140" s="611"/>
    </row>
    <row r="1141" spans="4:45" ht="13">
      <c r="D1141" s="610"/>
      <c r="E1141" s="610"/>
      <c r="F1141" s="610"/>
      <c r="G1141" s="610"/>
      <c r="H1141" s="610"/>
      <c r="AS1141" s="611"/>
    </row>
    <row r="1142" spans="4:45" ht="13">
      <c r="D1142" s="610"/>
      <c r="E1142" s="610"/>
      <c r="F1142" s="610"/>
      <c r="G1142" s="610"/>
      <c r="H1142" s="610"/>
      <c r="AS1142" s="611"/>
    </row>
    <row r="1143" spans="4:45" ht="13">
      <c r="D1143" s="610"/>
      <c r="E1143" s="610"/>
      <c r="F1143" s="610"/>
      <c r="G1143" s="610"/>
      <c r="H1143" s="610"/>
      <c r="AS1143" s="611"/>
    </row>
    <row r="1144" spans="4:45" ht="13">
      <c r="D1144" s="610"/>
      <c r="E1144" s="610"/>
      <c r="F1144" s="610"/>
      <c r="G1144" s="610"/>
      <c r="H1144" s="610"/>
      <c r="AS1144" s="611"/>
    </row>
    <row r="1145" spans="4:45" ht="13">
      <c r="D1145" s="610"/>
      <c r="E1145" s="610"/>
      <c r="F1145" s="610"/>
      <c r="G1145" s="610"/>
      <c r="H1145" s="610"/>
      <c r="AS1145" s="611"/>
    </row>
    <row r="1146" spans="4:45" ht="13">
      <c r="D1146" s="610"/>
      <c r="E1146" s="610"/>
      <c r="F1146" s="610"/>
      <c r="G1146" s="610"/>
      <c r="H1146" s="610"/>
      <c r="AS1146" s="611"/>
    </row>
    <row r="1147" spans="4:45" ht="13">
      <c r="D1147" s="610"/>
      <c r="E1147" s="610"/>
      <c r="F1147" s="610"/>
      <c r="G1147" s="610"/>
      <c r="H1147" s="610"/>
      <c r="AS1147" s="611"/>
    </row>
    <row r="1148" spans="4:45" ht="13">
      <c r="D1148" s="610"/>
      <c r="E1148" s="610"/>
      <c r="F1148" s="610"/>
      <c r="G1148" s="610"/>
      <c r="H1148" s="610"/>
      <c r="AS1148" s="611"/>
    </row>
    <row r="1149" spans="4:45" ht="13">
      <c r="D1149" s="610"/>
      <c r="E1149" s="610"/>
      <c r="F1149" s="610"/>
      <c r="G1149" s="610"/>
      <c r="H1149" s="610"/>
      <c r="AS1149" s="611"/>
    </row>
    <row r="1150" spans="4:45" ht="13">
      <c r="D1150" s="610"/>
      <c r="E1150" s="610"/>
      <c r="F1150" s="610"/>
      <c r="G1150" s="610"/>
      <c r="H1150" s="610"/>
      <c r="AS1150" s="611"/>
    </row>
    <row r="1151" spans="4:45" ht="13">
      <c r="D1151" s="610"/>
      <c r="E1151" s="610"/>
      <c r="F1151" s="610"/>
      <c r="G1151" s="610"/>
      <c r="H1151" s="610"/>
      <c r="AS1151" s="611"/>
    </row>
    <row r="1152" spans="4:45" ht="13">
      <c r="D1152" s="610"/>
      <c r="E1152" s="610"/>
      <c r="F1152" s="610"/>
      <c r="G1152" s="610"/>
      <c r="H1152" s="610"/>
      <c r="AS1152" s="611"/>
    </row>
    <row r="1153" spans="4:45" ht="13">
      <c r="D1153" s="610"/>
      <c r="E1153" s="610"/>
      <c r="F1153" s="610"/>
      <c r="G1153" s="610"/>
      <c r="H1153" s="610"/>
      <c r="AS1153" s="611"/>
    </row>
    <row r="1154" spans="4:45" ht="13">
      <c r="D1154" s="610"/>
      <c r="E1154" s="610"/>
      <c r="F1154" s="610"/>
      <c r="G1154" s="610"/>
      <c r="H1154" s="610"/>
      <c r="AS1154" s="611"/>
    </row>
    <row r="1155" spans="4:45" ht="13">
      <c r="D1155" s="610"/>
      <c r="E1155" s="610"/>
      <c r="F1155" s="610"/>
      <c r="G1155" s="610"/>
      <c r="H1155" s="610"/>
      <c r="AS1155" s="611"/>
    </row>
    <row r="1156" spans="4:45" ht="13">
      <c r="D1156" s="610"/>
      <c r="E1156" s="610"/>
      <c r="F1156" s="610"/>
      <c r="G1156" s="610"/>
      <c r="H1156" s="610"/>
      <c r="AS1156" s="611"/>
    </row>
    <row r="1157" spans="4:45" ht="13">
      <c r="D1157" s="610"/>
      <c r="E1157" s="610"/>
      <c r="F1157" s="610"/>
      <c r="G1157" s="610"/>
      <c r="H1157" s="610"/>
      <c r="AS1157" s="611"/>
    </row>
    <row r="1158" spans="4:45" ht="13">
      <c r="D1158" s="610"/>
      <c r="E1158" s="610"/>
      <c r="F1158" s="610"/>
      <c r="G1158" s="610"/>
      <c r="H1158" s="610"/>
      <c r="AS1158" s="611"/>
    </row>
    <row r="1159" spans="4:45" ht="13">
      <c r="D1159" s="610"/>
      <c r="E1159" s="610"/>
      <c r="F1159" s="610"/>
      <c r="G1159" s="610"/>
      <c r="H1159" s="610"/>
      <c r="AS1159" s="611"/>
    </row>
    <row r="1160" spans="4:45" ht="13">
      <c r="D1160" s="610"/>
      <c r="E1160" s="610"/>
      <c r="F1160" s="610"/>
      <c r="G1160" s="610"/>
      <c r="H1160" s="610"/>
      <c r="AS1160" s="611"/>
    </row>
    <row r="1161" spans="4:45" ht="13">
      <c r="D1161" s="610"/>
      <c r="E1161" s="610"/>
      <c r="F1161" s="610"/>
      <c r="G1161" s="610"/>
      <c r="H1161" s="610"/>
      <c r="AS1161" s="611"/>
    </row>
    <row r="1162" spans="4:45" ht="13">
      <c r="D1162" s="610"/>
      <c r="E1162" s="610"/>
      <c r="F1162" s="610"/>
      <c r="G1162" s="610"/>
      <c r="H1162" s="610"/>
      <c r="AS1162" s="611"/>
    </row>
    <row r="1163" spans="4:45" ht="13">
      <c r="D1163" s="610"/>
      <c r="E1163" s="610"/>
      <c r="F1163" s="610"/>
      <c r="G1163" s="610"/>
      <c r="H1163" s="610"/>
      <c r="AS1163" s="611"/>
    </row>
    <row r="1164" spans="4:45" ht="13">
      <c r="D1164" s="610"/>
      <c r="E1164" s="610"/>
      <c r="F1164" s="610"/>
      <c r="G1164" s="610"/>
      <c r="H1164" s="610"/>
      <c r="AS1164" s="611"/>
    </row>
    <row r="1165" spans="4:45" ht="13">
      <c r="D1165" s="610"/>
      <c r="E1165" s="610"/>
      <c r="F1165" s="610"/>
      <c r="G1165" s="610"/>
      <c r="H1165" s="610"/>
      <c r="AS1165" s="611"/>
    </row>
    <row r="1166" spans="4:45" ht="13">
      <c r="D1166" s="610"/>
      <c r="E1166" s="610"/>
      <c r="F1166" s="610"/>
      <c r="G1166" s="610"/>
      <c r="H1166" s="610"/>
      <c r="AS1166" s="611"/>
    </row>
    <row r="1167" spans="4:45" ht="13">
      <c r="D1167" s="610"/>
      <c r="E1167" s="610"/>
      <c r="F1167" s="610"/>
      <c r="G1167" s="610"/>
      <c r="H1167" s="610"/>
      <c r="AS1167" s="611"/>
    </row>
    <row r="1168" spans="4:45" ht="13">
      <c r="D1168" s="610"/>
      <c r="E1168" s="610"/>
      <c r="F1168" s="610"/>
      <c r="G1168" s="610"/>
      <c r="H1168" s="610"/>
      <c r="AS1168" s="611"/>
    </row>
    <row r="1169" spans="4:45" ht="13">
      <c r="D1169" s="610"/>
      <c r="E1169" s="610"/>
      <c r="F1169" s="610"/>
      <c r="G1169" s="610"/>
      <c r="H1169" s="610"/>
      <c r="AS1169" s="611"/>
    </row>
    <row r="1170" spans="4:45" ht="13">
      <c r="D1170" s="610"/>
      <c r="E1170" s="610"/>
      <c r="F1170" s="610"/>
      <c r="G1170" s="610"/>
      <c r="H1170" s="610"/>
      <c r="AS1170" s="611"/>
    </row>
    <row r="1171" spans="4:45" ht="13">
      <c r="D1171" s="610"/>
      <c r="E1171" s="610"/>
      <c r="F1171" s="610"/>
      <c r="G1171" s="610"/>
      <c r="H1171" s="610"/>
      <c r="AS1171" s="611"/>
    </row>
    <row r="1172" spans="4:45" ht="13">
      <c r="D1172" s="610"/>
      <c r="E1172" s="610"/>
      <c r="F1172" s="610"/>
      <c r="G1172" s="610"/>
      <c r="H1172" s="610"/>
      <c r="AS1172" s="611"/>
    </row>
    <row r="1173" spans="4:45" ht="13">
      <c r="D1173" s="610"/>
      <c r="E1173" s="610"/>
      <c r="F1173" s="610"/>
      <c r="G1173" s="610"/>
      <c r="H1173" s="610"/>
      <c r="AS1173" s="611"/>
    </row>
    <row r="1174" spans="4:45" ht="13">
      <c r="D1174" s="610"/>
      <c r="E1174" s="610"/>
      <c r="F1174" s="610"/>
      <c r="G1174" s="610"/>
      <c r="H1174" s="610"/>
      <c r="AS1174" s="611"/>
    </row>
    <row r="1175" spans="4:45" ht="13">
      <c r="D1175" s="610"/>
      <c r="E1175" s="610"/>
      <c r="F1175" s="610"/>
      <c r="G1175" s="610"/>
      <c r="H1175" s="610"/>
      <c r="AS1175" s="611"/>
    </row>
    <row r="1176" spans="4:45" ht="13">
      <c r="D1176" s="610"/>
      <c r="E1176" s="610"/>
      <c r="F1176" s="610"/>
      <c r="G1176" s="610"/>
      <c r="H1176" s="610"/>
      <c r="AS1176" s="611"/>
    </row>
    <row r="1177" spans="4:45" ht="13">
      <c r="D1177" s="610"/>
      <c r="E1177" s="610"/>
      <c r="F1177" s="610"/>
      <c r="G1177" s="610"/>
      <c r="H1177" s="610"/>
      <c r="AS1177" s="611"/>
    </row>
    <row r="1178" spans="4:45" ht="13">
      <c r="D1178" s="610"/>
      <c r="E1178" s="610"/>
      <c r="F1178" s="610"/>
      <c r="G1178" s="610"/>
      <c r="H1178" s="610"/>
      <c r="AS1178" s="611"/>
    </row>
    <row r="1179" spans="4:45" ht="13">
      <c r="D1179" s="610"/>
      <c r="E1179" s="610"/>
      <c r="F1179" s="610"/>
      <c r="G1179" s="610"/>
      <c r="H1179" s="610"/>
      <c r="AS1179" s="611"/>
    </row>
    <row r="1180" spans="4:45" ht="13">
      <c r="D1180" s="610"/>
      <c r="E1180" s="610"/>
      <c r="F1180" s="610"/>
      <c r="G1180" s="610"/>
      <c r="H1180" s="610"/>
      <c r="AS1180" s="611"/>
    </row>
    <row r="1181" spans="4:45" ht="13">
      <c r="D1181" s="610"/>
      <c r="E1181" s="610"/>
      <c r="F1181" s="610"/>
      <c r="G1181" s="610"/>
      <c r="H1181" s="610"/>
      <c r="AS1181" s="611"/>
    </row>
    <row r="1182" spans="4:45" ht="13">
      <c r="D1182" s="610"/>
      <c r="E1182" s="610"/>
      <c r="F1182" s="610"/>
      <c r="G1182" s="610"/>
      <c r="H1182" s="610"/>
      <c r="AS1182" s="611"/>
    </row>
    <row r="1183" spans="4:45" ht="13">
      <c r="D1183" s="610"/>
      <c r="E1183" s="610"/>
      <c r="F1183" s="610"/>
      <c r="G1183" s="610"/>
      <c r="H1183" s="610"/>
      <c r="AS1183" s="611"/>
    </row>
    <row r="1184" spans="4:45" ht="13">
      <c r="D1184" s="610"/>
      <c r="E1184" s="610"/>
      <c r="F1184" s="610"/>
      <c r="G1184" s="610"/>
      <c r="H1184" s="610"/>
      <c r="AS1184" s="611"/>
    </row>
    <row r="1185" spans="4:45" ht="13">
      <c r="D1185" s="610"/>
      <c r="E1185" s="610"/>
      <c r="F1185" s="610"/>
      <c r="G1185" s="610"/>
      <c r="H1185" s="610"/>
      <c r="AS1185" s="611"/>
    </row>
    <row r="1186" spans="4:45" ht="13">
      <c r="D1186" s="610"/>
      <c r="E1186" s="610"/>
      <c r="F1186" s="610"/>
      <c r="G1186" s="610"/>
      <c r="H1186" s="610"/>
      <c r="AS1186" s="611"/>
    </row>
    <row r="1187" spans="4:45" ht="13">
      <c r="D1187" s="610"/>
      <c r="E1187" s="610"/>
      <c r="F1187" s="610"/>
      <c r="G1187" s="610"/>
      <c r="H1187" s="610"/>
      <c r="AS1187" s="611"/>
    </row>
    <row r="1188" spans="4:45" ht="13">
      <c r="D1188" s="610"/>
      <c r="E1188" s="610"/>
      <c r="F1188" s="610"/>
      <c r="G1188" s="610"/>
      <c r="H1188" s="610"/>
      <c r="AS1188" s="611"/>
    </row>
    <row r="1189" spans="4:45" ht="13">
      <c r="D1189" s="610"/>
      <c r="E1189" s="610"/>
      <c r="F1189" s="610"/>
      <c r="G1189" s="610"/>
      <c r="H1189" s="610"/>
      <c r="AS1189" s="611"/>
    </row>
    <row r="1190" spans="4:45" ht="13">
      <c r="D1190" s="610"/>
      <c r="E1190" s="610"/>
      <c r="F1190" s="610"/>
      <c r="G1190" s="610"/>
      <c r="H1190" s="610"/>
      <c r="AS1190" s="611"/>
    </row>
    <row r="1191" spans="4:45" ht="13">
      <c r="D1191" s="610"/>
      <c r="E1191" s="610"/>
      <c r="F1191" s="610"/>
      <c r="G1191" s="610"/>
      <c r="H1191" s="610"/>
      <c r="AS1191" s="611"/>
    </row>
    <row r="1192" spans="4:45" ht="13">
      <c r="D1192" s="610"/>
      <c r="E1192" s="610"/>
      <c r="F1192" s="610"/>
      <c r="G1192" s="610"/>
      <c r="H1192" s="610"/>
      <c r="AS1192" s="611"/>
    </row>
    <row r="1193" spans="4:45" ht="13">
      <c r="D1193" s="610"/>
      <c r="E1193" s="610"/>
      <c r="F1193" s="610"/>
      <c r="G1193" s="610"/>
      <c r="H1193" s="610"/>
      <c r="AS1193" s="611"/>
    </row>
    <row r="1194" spans="4:45" ht="13">
      <c r="D1194" s="610"/>
      <c r="E1194" s="610"/>
      <c r="F1194" s="610"/>
      <c r="G1194" s="610"/>
      <c r="H1194" s="610"/>
      <c r="AS1194" s="611"/>
    </row>
    <row r="1195" spans="4:45" ht="13">
      <c r="D1195" s="610"/>
      <c r="E1195" s="610"/>
      <c r="F1195" s="610"/>
      <c r="G1195" s="610"/>
      <c r="H1195" s="610"/>
      <c r="AS1195" s="611"/>
    </row>
    <row r="1196" spans="4:45" ht="13">
      <c r="D1196" s="610"/>
      <c r="E1196" s="610"/>
      <c r="F1196" s="610"/>
      <c r="G1196" s="610"/>
      <c r="H1196" s="610"/>
      <c r="AS1196" s="611"/>
    </row>
    <row r="1197" spans="4:45" ht="13">
      <c r="D1197" s="610"/>
      <c r="E1197" s="610"/>
      <c r="F1197" s="610"/>
      <c r="G1197" s="610"/>
      <c r="H1197" s="610"/>
      <c r="AS1197" s="611"/>
    </row>
    <row r="1198" spans="4:45" ht="13">
      <c r="D1198" s="610"/>
      <c r="E1198" s="610"/>
      <c r="F1198" s="610"/>
      <c r="G1198" s="610"/>
      <c r="H1198" s="610"/>
      <c r="AS1198" s="611"/>
    </row>
    <row r="1199" spans="4:45" ht="13">
      <c r="D1199" s="610"/>
      <c r="E1199" s="610"/>
      <c r="F1199" s="610"/>
      <c r="G1199" s="610"/>
      <c r="H1199" s="610"/>
      <c r="AS1199" s="611"/>
    </row>
    <row r="1200" spans="4:45" ht="13">
      <c r="D1200" s="610"/>
      <c r="E1200" s="610"/>
      <c r="F1200" s="610"/>
      <c r="G1200" s="610"/>
      <c r="H1200" s="610"/>
      <c r="AS1200" s="611"/>
    </row>
    <row r="1201" spans="4:45" ht="13">
      <c r="D1201" s="610"/>
      <c r="E1201" s="610"/>
      <c r="F1201" s="610"/>
      <c r="G1201" s="610"/>
      <c r="H1201" s="610"/>
      <c r="AS1201" s="611"/>
    </row>
    <row r="1202" spans="4:45" ht="13">
      <c r="D1202" s="610"/>
      <c r="E1202" s="610"/>
      <c r="F1202" s="610"/>
      <c r="G1202" s="610"/>
      <c r="H1202" s="610"/>
      <c r="AS1202" s="611"/>
    </row>
    <row r="1203" spans="4:45" ht="13">
      <c r="D1203" s="610"/>
      <c r="E1203" s="610"/>
      <c r="F1203" s="610"/>
      <c r="G1203" s="610"/>
      <c r="H1203" s="610"/>
      <c r="AS1203" s="611"/>
    </row>
    <row r="1204" spans="4:45" ht="13">
      <c r="D1204" s="610"/>
      <c r="E1204" s="610"/>
      <c r="F1204" s="610"/>
      <c r="G1204" s="610"/>
      <c r="H1204" s="610"/>
      <c r="AS1204" s="611"/>
    </row>
    <row r="1205" spans="4:45" ht="13">
      <c r="D1205" s="610"/>
      <c r="E1205" s="610"/>
      <c r="F1205" s="610"/>
      <c r="G1205" s="610"/>
      <c r="H1205" s="610"/>
      <c r="AS1205" s="611"/>
    </row>
    <row r="1206" spans="4:45" ht="13">
      <c r="D1206" s="610"/>
      <c r="E1206" s="610"/>
      <c r="F1206" s="610"/>
      <c r="G1206" s="610"/>
      <c r="H1206" s="610"/>
      <c r="AS1206" s="611"/>
    </row>
    <row r="1207" spans="4:45" ht="13">
      <c r="D1207" s="610"/>
      <c r="E1207" s="610"/>
      <c r="F1207" s="610"/>
      <c r="G1207" s="610"/>
      <c r="H1207" s="610"/>
      <c r="AS1207" s="611"/>
    </row>
    <row r="1208" spans="4:45" ht="13">
      <c r="D1208" s="610"/>
      <c r="E1208" s="610"/>
      <c r="F1208" s="610"/>
      <c r="G1208" s="610"/>
      <c r="H1208" s="610"/>
      <c r="AS1208" s="611"/>
    </row>
    <row r="1209" spans="4:45" ht="13">
      <c r="D1209" s="610"/>
      <c r="E1209" s="610"/>
      <c r="F1209" s="610"/>
      <c r="G1209" s="610"/>
      <c r="H1209" s="610"/>
      <c r="AS1209" s="611"/>
    </row>
    <row r="1210" spans="4:45" ht="13">
      <c r="D1210" s="610"/>
      <c r="E1210" s="610"/>
      <c r="F1210" s="610"/>
      <c r="G1210" s="610"/>
      <c r="H1210" s="610"/>
      <c r="AS1210" s="611"/>
    </row>
    <row r="1211" spans="4:45" ht="13">
      <c r="D1211" s="610"/>
      <c r="E1211" s="610"/>
      <c r="F1211" s="610"/>
      <c r="G1211" s="610"/>
      <c r="H1211" s="610"/>
      <c r="AS1211" s="611"/>
    </row>
    <row r="1212" spans="4:45" ht="13">
      <c r="D1212" s="610"/>
      <c r="E1212" s="610"/>
      <c r="F1212" s="610"/>
      <c r="G1212" s="610"/>
      <c r="H1212" s="610"/>
      <c r="AS1212" s="611"/>
    </row>
    <row r="1213" spans="4:45" ht="13">
      <c r="D1213" s="610"/>
      <c r="E1213" s="610"/>
      <c r="F1213" s="610"/>
      <c r="G1213" s="610"/>
      <c r="H1213" s="610"/>
      <c r="AS1213" s="611"/>
    </row>
    <row r="1214" spans="4:45" ht="13">
      <c r="D1214" s="610"/>
      <c r="E1214" s="610"/>
      <c r="F1214" s="610"/>
      <c r="G1214" s="610"/>
      <c r="H1214" s="610"/>
      <c r="AS1214" s="611"/>
    </row>
    <row r="1215" spans="4:45" ht="13">
      <c r="D1215" s="610"/>
      <c r="E1215" s="610"/>
      <c r="F1215" s="610"/>
      <c r="G1215" s="610"/>
      <c r="H1215" s="610"/>
      <c r="AS1215" s="611"/>
    </row>
    <row r="1216" spans="4:45" ht="13">
      <c r="D1216" s="610"/>
      <c r="E1216" s="610"/>
      <c r="F1216" s="610"/>
      <c r="G1216" s="610"/>
      <c r="H1216" s="610"/>
      <c r="AS1216" s="611"/>
    </row>
    <row r="1217" spans="4:45" ht="13">
      <c r="D1217" s="610"/>
      <c r="E1217" s="610"/>
      <c r="F1217" s="610"/>
      <c r="G1217" s="610"/>
      <c r="H1217" s="610"/>
      <c r="AS1217" s="611"/>
    </row>
    <row r="1218" spans="4:45" ht="13">
      <c r="D1218" s="610"/>
      <c r="E1218" s="610"/>
      <c r="F1218" s="610"/>
      <c r="G1218" s="610"/>
      <c r="H1218" s="610"/>
      <c r="AS1218" s="611"/>
    </row>
    <row r="1219" spans="4:45" ht="13">
      <c r="D1219" s="610"/>
      <c r="E1219" s="610"/>
      <c r="F1219" s="610"/>
      <c r="G1219" s="610"/>
      <c r="H1219" s="610"/>
      <c r="AS1219" s="611"/>
    </row>
    <row r="1220" spans="4:45" ht="13">
      <c r="D1220" s="610"/>
      <c r="E1220" s="610"/>
      <c r="F1220" s="610"/>
      <c r="G1220" s="610"/>
      <c r="H1220" s="610"/>
      <c r="AS1220" s="611"/>
    </row>
    <row r="1221" spans="4:45" ht="13">
      <c r="D1221" s="610"/>
      <c r="E1221" s="610"/>
      <c r="F1221" s="610"/>
      <c r="G1221" s="610"/>
      <c r="H1221" s="610"/>
      <c r="AS1221" s="611"/>
    </row>
    <row r="1222" spans="4:45" ht="13">
      <c r="D1222" s="610"/>
      <c r="E1222" s="610"/>
      <c r="F1222" s="610"/>
      <c r="G1222" s="610"/>
      <c r="H1222" s="610"/>
      <c r="AS1222" s="611"/>
    </row>
    <row r="1223" spans="4:45" ht="13">
      <c r="D1223" s="610"/>
      <c r="E1223" s="610"/>
      <c r="F1223" s="610"/>
      <c r="G1223" s="610"/>
      <c r="H1223" s="610"/>
      <c r="AS1223" s="611"/>
    </row>
    <row r="1224" spans="4:45" ht="13">
      <c r="D1224" s="610"/>
      <c r="E1224" s="610"/>
      <c r="F1224" s="610"/>
      <c r="G1224" s="610"/>
      <c r="H1224" s="610"/>
      <c r="AS1224" s="611"/>
    </row>
    <row r="1225" spans="4:45" ht="13">
      <c r="D1225" s="610"/>
      <c r="E1225" s="610"/>
      <c r="F1225" s="610"/>
      <c r="G1225" s="610"/>
      <c r="H1225" s="610"/>
      <c r="AS1225" s="611"/>
    </row>
    <row r="1226" spans="4:45" ht="13">
      <c r="D1226" s="610"/>
      <c r="E1226" s="610"/>
      <c r="F1226" s="610"/>
      <c r="G1226" s="610"/>
      <c r="H1226" s="610"/>
      <c r="AS1226" s="611"/>
    </row>
    <row r="1227" spans="4:45" ht="13">
      <c r="D1227" s="610"/>
      <c r="E1227" s="610"/>
      <c r="F1227" s="610"/>
      <c r="G1227" s="610"/>
      <c r="H1227" s="610"/>
      <c r="AS1227" s="611"/>
    </row>
    <row r="1228" spans="4:45" ht="13">
      <c r="D1228" s="610"/>
      <c r="E1228" s="610"/>
      <c r="F1228" s="610"/>
      <c r="G1228" s="610"/>
      <c r="H1228" s="610"/>
      <c r="AS1228" s="611"/>
    </row>
    <row r="1229" spans="4:45" ht="13">
      <c r="D1229" s="610"/>
      <c r="E1229" s="610"/>
      <c r="F1229" s="610"/>
      <c r="G1229" s="610"/>
      <c r="H1229" s="610"/>
      <c r="AS1229" s="611"/>
    </row>
    <row r="1230" spans="4:45" ht="13">
      <c r="D1230" s="610"/>
      <c r="E1230" s="610"/>
      <c r="F1230" s="610"/>
      <c r="G1230" s="610"/>
      <c r="H1230" s="610"/>
      <c r="AS1230" s="611"/>
    </row>
    <row r="1231" spans="4:45" ht="13">
      <c r="D1231" s="610"/>
      <c r="E1231" s="610"/>
      <c r="F1231" s="610"/>
      <c r="G1231" s="610"/>
      <c r="H1231" s="610"/>
      <c r="AS1231" s="611"/>
    </row>
    <row r="1232" spans="4:45" ht="13">
      <c r="D1232" s="610"/>
      <c r="E1232" s="610"/>
      <c r="F1232" s="610"/>
      <c r="G1232" s="610"/>
      <c r="H1232" s="610"/>
      <c r="AS1232" s="611"/>
    </row>
    <row r="1233" spans="4:45" ht="13">
      <c r="D1233" s="610"/>
      <c r="E1233" s="610"/>
      <c r="F1233" s="610"/>
      <c r="G1233" s="610"/>
      <c r="H1233" s="610"/>
      <c r="AS1233" s="611"/>
    </row>
    <row r="1234" spans="4:45" ht="13">
      <c r="D1234" s="610"/>
      <c r="E1234" s="610"/>
      <c r="F1234" s="610"/>
      <c r="G1234" s="610"/>
      <c r="H1234" s="610"/>
      <c r="AS1234" s="611"/>
    </row>
    <row r="1235" spans="4:45" ht="13">
      <c r="D1235" s="610"/>
      <c r="E1235" s="610"/>
      <c r="F1235" s="610"/>
      <c r="G1235" s="610"/>
      <c r="H1235" s="610"/>
      <c r="AS1235" s="611"/>
    </row>
    <row r="1236" spans="4:45" ht="13">
      <c r="D1236" s="610"/>
      <c r="E1236" s="610"/>
      <c r="F1236" s="610"/>
      <c r="G1236" s="610"/>
      <c r="H1236" s="610"/>
      <c r="AS1236" s="611"/>
    </row>
    <row r="1237" spans="4:45" ht="13">
      <c r="D1237" s="610"/>
      <c r="E1237" s="610"/>
      <c r="F1237" s="610"/>
      <c r="G1237" s="610"/>
      <c r="H1237" s="610"/>
      <c r="AS1237" s="611"/>
    </row>
    <row r="1238" spans="4:45" ht="13">
      <c r="D1238" s="610"/>
      <c r="E1238" s="610"/>
      <c r="F1238" s="610"/>
      <c r="G1238" s="610"/>
      <c r="H1238" s="610"/>
      <c r="AS1238" s="611"/>
    </row>
    <row r="1239" spans="4:45" ht="13">
      <c r="D1239" s="610"/>
      <c r="E1239" s="610"/>
      <c r="F1239" s="610"/>
      <c r="G1239" s="610"/>
      <c r="H1239" s="610"/>
      <c r="AS1239" s="611"/>
    </row>
    <row r="1240" spans="4:45" ht="13">
      <c r="D1240" s="610"/>
      <c r="E1240" s="610"/>
      <c r="F1240" s="610"/>
      <c r="G1240" s="610"/>
      <c r="H1240" s="610"/>
      <c r="AS1240" s="611"/>
    </row>
    <row r="1241" spans="4:45" ht="13">
      <c r="D1241" s="610"/>
      <c r="E1241" s="610"/>
      <c r="F1241" s="610"/>
      <c r="G1241" s="610"/>
      <c r="H1241" s="610"/>
      <c r="AS1241" s="611"/>
    </row>
    <row r="1242" spans="4:45" ht="13">
      <c r="D1242" s="610"/>
      <c r="E1242" s="610"/>
      <c r="F1242" s="610"/>
      <c r="G1242" s="610"/>
      <c r="H1242" s="610"/>
      <c r="AS1242" s="611"/>
    </row>
    <row r="1243" spans="4:45" ht="13">
      <c r="D1243" s="610"/>
      <c r="E1243" s="610"/>
      <c r="F1243" s="610"/>
      <c r="G1243" s="610"/>
      <c r="H1243" s="610"/>
      <c r="AS1243" s="611"/>
    </row>
    <row r="1244" spans="4:45" ht="13">
      <c r="D1244" s="610"/>
      <c r="E1244" s="610"/>
      <c r="F1244" s="610"/>
      <c r="G1244" s="610"/>
      <c r="H1244" s="610"/>
      <c r="AS1244" s="611"/>
    </row>
    <row r="1245" spans="4:45" ht="13">
      <c r="D1245" s="610"/>
      <c r="E1245" s="610"/>
      <c r="F1245" s="610"/>
      <c r="G1245" s="610"/>
      <c r="H1245" s="610"/>
      <c r="AS1245" s="611"/>
    </row>
    <row r="1246" spans="4:45" ht="13">
      <c r="D1246" s="610"/>
      <c r="E1246" s="610"/>
      <c r="F1246" s="610"/>
      <c r="G1246" s="610"/>
      <c r="H1246" s="610"/>
      <c r="AS1246" s="611"/>
    </row>
    <row r="1247" spans="4:45" ht="13">
      <c r="D1247" s="610"/>
      <c r="E1247" s="610"/>
      <c r="F1247" s="610"/>
      <c r="G1247" s="610"/>
      <c r="H1247" s="610"/>
      <c r="AS1247" s="611"/>
    </row>
    <row r="1248" spans="4:45" ht="13">
      <c r="D1248" s="610"/>
      <c r="E1248" s="610"/>
      <c r="F1248" s="610"/>
      <c r="G1248" s="610"/>
      <c r="H1248" s="610"/>
      <c r="AS1248" s="611"/>
    </row>
    <row r="1249" spans="4:45" ht="13">
      <c r="D1249" s="610"/>
      <c r="E1249" s="610"/>
      <c r="F1249" s="610"/>
      <c r="G1249" s="610"/>
      <c r="H1249" s="610"/>
      <c r="AS1249" s="611"/>
    </row>
    <row r="1250" spans="4:45" ht="13">
      <c r="D1250" s="610"/>
      <c r="E1250" s="610"/>
      <c r="F1250" s="610"/>
      <c r="G1250" s="610"/>
      <c r="H1250" s="610"/>
      <c r="AS1250" s="611"/>
    </row>
    <row r="1251" spans="4:45" ht="13">
      <c r="D1251" s="610"/>
      <c r="E1251" s="610"/>
      <c r="F1251" s="610"/>
      <c r="G1251" s="610"/>
      <c r="H1251" s="610"/>
      <c r="AS1251" s="611"/>
    </row>
    <row r="1252" spans="4:45" ht="13">
      <c r="D1252" s="610"/>
      <c r="E1252" s="610"/>
      <c r="F1252" s="610"/>
      <c r="G1252" s="610"/>
      <c r="H1252" s="610"/>
      <c r="AS1252" s="611"/>
    </row>
    <row r="1253" spans="4:45" ht="13">
      <c r="D1253" s="610"/>
      <c r="E1253" s="610"/>
      <c r="F1253" s="610"/>
      <c r="G1253" s="610"/>
      <c r="H1253" s="610"/>
      <c r="AS1253" s="611"/>
    </row>
    <row r="1254" spans="4:45" ht="13">
      <c r="D1254" s="610"/>
      <c r="E1254" s="610"/>
      <c r="F1254" s="610"/>
      <c r="G1254" s="610"/>
      <c r="H1254" s="610"/>
      <c r="AS1254" s="611"/>
    </row>
    <row r="1255" spans="4:45" ht="13">
      <c r="D1255" s="610"/>
      <c r="E1255" s="610"/>
      <c r="F1255" s="610"/>
      <c r="G1255" s="610"/>
      <c r="H1255" s="610"/>
      <c r="AS1255" s="611"/>
    </row>
    <row r="1256" spans="4:45" ht="13">
      <c r="D1256" s="610"/>
      <c r="E1256" s="610"/>
      <c r="F1256" s="610"/>
      <c r="G1256" s="610"/>
      <c r="H1256" s="610"/>
      <c r="AS1256" s="611"/>
    </row>
    <row r="1257" spans="4:45" ht="13">
      <c r="D1257" s="610"/>
      <c r="E1257" s="610"/>
      <c r="F1257" s="610"/>
      <c r="G1257" s="610"/>
      <c r="H1257" s="610"/>
      <c r="AS1257" s="611"/>
    </row>
    <row r="1258" spans="4:45" ht="13">
      <c r="D1258" s="610"/>
      <c r="E1258" s="610"/>
      <c r="F1258" s="610"/>
      <c r="G1258" s="610"/>
      <c r="H1258" s="610"/>
      <c r="AS1258" s="611"/>
    </row>
    <row r="1259" spans="4:45" ht="13">
      <c r="D1259" s="610"/>
      <c r="E1259" s="610"/>
      <c r="F1259" s="610"/>
      <c r="G1259" s="610"/>
      <c r="H1259" s="610"/>
      <c r="AS1259" s="611"/>
    </row>
    <row r="1260" spans="4:45" ht="13">
      <c r="D1260" s="610"/>
      <c r="E1260" s="610"/>
      <c r="F1260" s="610"/>
      <c r="G1260" s="610"/>
      <c r="H1260" s="610"/>
      <c r="AS1260" s="611"/>
    </row>
    <row r="1261" spans="4:45" ht="13">
      <c r="D1261" s="610"/>
      <c r="E1261" s="610"/>
      <c r="F1261" s="610"/>
      <c r="G1261" s="610"/>
      <c r="H1261" s="610"/>
      <c r="AS1261" s="611"/>
    </row>
    <row r="1262" spans="4:45" ht="13">
      <c r="D1262" s="610"/>
      <c r="E1262" s="610"/>
      <c r="F1262" s="610"/>
      <c r="G1262" s="610"/>
      <c r="H1262" s="610"/>
      <c r="AS1262" s="611"/>
    </row>
    <row r="1263" spans="4:45" ht="13">
      <c r="D1263" s="610"/>
      <c r="E1263" s="610"/>
      <c r="F1263" s="610"/>
      <c r="G1263" s="610"/>
      <c r="H1263" s="610"/>
      <c r="AS1263" s="611"/>
    </row>
    <row r="1264" spans="4:45" ht="13">
      <c r="D1264" s="610"/>
      <c r="E1264" s="610"/>
      <c r="F1264" s="610"/>
      <c r="G1264" s="610"/>
      <c r="H1264" s="610"/>
      <c r="AS1264" s="611"/>
    </row>
    <row r="1265" spans="4:45" ht="13">
      <c r="D1265" s="610"/>
      <c r="E1265" s="610"/>
      <c r="F1265" s="610"/>
      <c r="G1265" s="610"/>
      <c r="H1265" s="610"/>
      <c r="AS1265" s="611"/>
    </row>
    <row r="1266" spans="4:45" ht="13">
      <c r="D1266" s="610"/>
      <c r="E1266" s="610"/>
      <c r="F1266" s="610"/>
      <c r="G1266" s="610"/>
      <c r="H1266" s="610"/>
      <c r="AS1266" s="611"/>
    </row>
    <row r="1267" spans="4:45" ht="13">
      <c r="D1267" s="610"/>
      <c r="E1267" s="610"/>
      <c r="F1267" s="610"/>
      <c r="G1267" s="610"/>
      <c r="H1267" s="610"/>
      <c r="AS1267" s="611"/>
    </row>
    <row r="1268" spans="4:45" ht="13">
      <c r="D1268" s="610"/>
      <c r="E1268" s="610"/>
      <c r="F1268" s="610"/>
      <c r="G1268" s="610"/>
      <c r="H1268" s="610"/>
      <c r="AS1268" s="611"/>
    </row>
    <row r="1269" spans="4:45" ht="13">
      <c r="D1269" s="610"/>
      <c r="E1269" s="610"/>
      <c r="F1269" s="610"/>
      <c r="G1269" s="610"/>
      <c r="H1269" s="610"/>
      <c r="AS1269" s="611"/>
    </row>
    <row r="1270" spans="4:45" ht="13">
      <c r="D1270" s="610"/>
      <c r="E1270" s="610"/>
      <c r="F1270" s="610"/>
      <c r="G1270" s="610"/>
      <c r="H1270" s="610"/>
      <c r="AS1270" s="611"/>
    </row>
    <row r="1271" spans="4:45" ht="13">
      <c r="D1271" s="610"/>
      <c r="E1271" s="610"/>
      <c r="F1271" s="610"/>
      <c r="G1271" s="610"/>
      <c r="H1271" s="610"/>
      <c r="AS1271" s="611"/>
    </row>
    <row r="1272" spans="4:45" ht="13">
      <c r="D1272" s="610"/>
      <c r="E1272" s="610"/>
      <c r="F1272" s="610"/>
      <c r="G1272" s="610"/>
      <c r="H1272" s="610"/>
      <c r="AS1272" s="611"/>
    </row>
    <row r="1273" spans="4:45" ht="13">
      <c r="D1273" s="610"/>
      <c r="E1273" s="610"/>
      <c r="F1273" s="610"/>
      <c r="G1273" s="610"/>
      <c r="H1273" s="610"/>
      <c r="AS1273" s="611"/>
    </row>
    <row r="1274" spans="4:45" ht="13">
      <c r="D1274" s="610"/>
      <c r="E1274" s="610"/>
      <c r="F1274" s="610"/>
      <c r="G1274" s="610"/>
      <c r="H1274" s="610"/>
      <c r="AS1274" s="611"/>
    </row>
    <row r="1275" spans="4:45" ht="13">
      <c r="D1275" s="610"/>
      <c r="E1275" s="610"/>
      <c r="F1275" s="610"/>
      <c r="G1275" s="610"/>
      <c r="H1275" s="610"/>
      <c r="AS1275" s="611"/>
    </row>
    <row r="1276" spans="4:45" ht="13">
      <c r="D1276" s="610"/>
      <c r="E1276" s="610"/>
      <c r="F1276" s="610"/>
      <c r="G1276" s="610"/>
      <c r="H1276" s="610"/>
      <c r="AS1276" s="611"/>
    </row>
    <row r="1277" spans="4:45" ht="13">
      <c r="D1277" s="610"/>
      <c r="E1277" s="610"/>
      <c r="F1277" s="610"/>
      <c r="G1277" s="610"/>
      <c r="H1277" s="610"/>
      <c r="AS1277" s="611"/>
    </row>
    <row r="1278" spans="4:45" ht="13">
      <c r="D1278" s="610"/>
      <c r="E1278" s="610"/>
      <c r="F1278" s="610"/>
      <c r="G1278" s="610"/>
      <c r="H1278" s="610"/>
      <c r="AS1278" s="611"/>
    </row>
    <row r="1279" spans="4:45" ht="13">
      <c r="D1279" s="610"/>
      <c r="E1279" s="610"/>
      <c r="F1279" s="610"/>
      <c r="G1279" s="610"/>
      <c r="H1279" s="610"/>
      <c r="AS1279" s="611"/>
    </row>
    <row r="1280" spans="4:45" ht="13">
      <c r="D1280" s="610"/>
      <c r="E1280" s="610"/>
      <c r="F1280" s="610"/>
      <c r="G1280" s="610"/>
      <c r="H1280" s="610"/>
      <c r="AS1280" s="611"/>
    </row>
    <row r="1281" spans="4:45" ht="13">
      <c r="D1281" s="610"/>
      <c r="E1281" s="610"/>
      <c r="F1281" s="610"/>
      <c r="G1281" s="610"/>
      <c r="H1281" s="610"/>
      <c r="AS1281" s="611"/>
    </row>
    <row r="1282" spans="4:45" ht="13">
      <c r="D1282" s="610"/>
      <c r="E1282" s="610"/>
      <c r="F1282" s="610"/>
      <c r="G1282" s="610"/>
      <c r="H1282" s="610"/>
      <c r="AS1282" s="611"/>
    </row>
    <row r="1283" spans="4:45" ht="13">
      <c r="D1283" s="610"/>
      <c r="E1283" s="610"/>
      <c r="F1283" s="610"/>
      <c r="G1283" s="610"/>
      <c r="H1283" s="610"/>
      <c r="AS1283" s="611"/>
    </row>
    <row r="1284" spans="4:45" ht="13">
      <c r="D1284" s="610"/>
      <c r="E1284" s="610"/>
      <c r="F1284" s="610"/>
      <c r="G1284" s="610"/>
      <c r="H1284" s="610"/>
      <c r="AS1284" s="611"/>
    </row>
    <row r="1285" spans="4:45" ht="13">
      <c r="D1285" s="610"/>
      <c r="E1285" s="610"/>
      <c r="F1285" s="610"/>
      <c r="G1285" s="610"/>
      <c r="H1285" s="610"/>
      <c r="AS1285" s="611"/>
    </row>
    <row r="1286" spans="4:45" ht="13">
      <c r="D1286" s="610"/>
      <c r="E1286" s="610"/>
      <c r="F1286" s="610"/>
      <c r="G1286" s="610"/>
      <c r="H1286" s="610"/>
      <c r="AS1286" s="611"/>
    </row>
    <row r="1287" spans="4:45" ht="13">
      <c r="D1287" s="610"/>
      <c r="E1287" s="610"/>
      <c r="F1287" s="610"/>
      <c r="G1287" s="610"/>
      <c r="H1287" s="610"/>
      <c r="AS1287" s="611"/>
    </row>
    <row r="1288" spans="4:45" ht="13">
      <c r="D1288" s="610"/>
      <c r="E1288" s="610"/>
      <c r="F1288" s="610"/>
      <c r="G1288" s="610"/>
      <c r="H1288" s="610"/>
      <c r="AS1288" s="611"/>
    </row>
    <row r="1289" spans="4:45" ht="13">
      <c r="D1289" s="610"/>
      <c r="E1289" s="610"/>
      <c r="F1289" s="610"/>
      <c r="G1289" s="610"/>
      <c r="H1289" s="610"/>
      <c r="AS1289" s="611"/>
    </row>
    <row r="1290" spans="4:45" ht="13">
      <c r="D1290" s="610"/>
      <c r="E1290" s="610"/>
      <c r="F1290" s="610"/>
      <c r="G1290" s="610"/>
      <c r="H1290" s="610"/>
      <c r="AS1290" s="611"/>
    </row>
    <row r="1291" spans="4:45" ht="13">
      <c r="D1291" s="610"/>
      <c r="E1291" s="610"/>
      <c r="F1291" s="610"/>
      <c r="G1291" s="610"/>
      <c r="H1291" s="610"/>
      <c r="AS1291" s="611"/>
    </row>
    <row r="1292" spans="4:45" ht="13">
      <c r="D1292" s="610"/>
      <c r="E1292" s="610"/>
      <c r="F1292" s="610"/>
      <c r="G1292" s="610"/>
      <c r="H1292" s="610"/>
      <c r="AS1292" s="611"/>
    </row>
    <row r="1293" spans="4:45" ht="13">
      <c r="D1293" s="610"/>
      <c r="E1293" s="610"/>
      <c r="F1293" s="610"/>
      <c r="G1293" s="610"/>
      <c r="H1293" s="610"/>
      <c r="AS1293" s="611"/>
    </row>
    <row r="1294" spans="4:45" ht="13">
      <c r="D1294" s="610"/>
      <c r="E1294" s="610"/>
      <c r="F1294" s="610"/>
      <c r="G1294" s="610"/>
      <c r="H1294" s="610"/>
      <c r="AS1294" s="611"/>
    </row>
    <row r="1295" spans="4:45" ht="13">
      <c r="D1295" s="610"/>
      <c r="E1295" s="610"/>
      <c r="F1295" s="610"/>
      <c r="G1295" s="610"/>
      <c r="H1295" s="610"/>
      <c r="AS1295" s="611"/>
    </row>
    <row r="1296" spans="4:45" ht="13">
      <c r="D1296" s="610"/>
      <c r="E1296" s="610"/>
      <c r="F1296" s="610"/>
      <c r="G1296" s="610"/>
      <c r="H1296" s="610"/>
      <c r="AS1296" s="611"/>
    </row>
    <row r="1297" spans="4:45" ht="13">
      <c r="D1297" s="610"/>
      <c r="E1297" s="610"/>
      <c r="F1297" s="610"/>
      <c r="G1297" s="610"/>
      <c r="H1297" s="610"/>
      <c r="AS1297" s="611"/>
    </row>
    <row r="1298" spans="4:45" ht="13">
      <c r="D1298" s="610"/>
      <c r="E1298" s="610"/>
      <c r="F1298" s="610"/>
      <c r="G1298" s="610"/>
      <c r="H1298" s="610"/>
      <c r="AS1298" s="611"/>
    </row>
    <row r="1299" spans="4:45" ht="13">
      <c r="D1299" s="610"/>
      <c r="E1299" s="610"/>
      <c r="F1299" s="610"/>
      <c r="G1299" s="610"/>
      <c r="H1299" s="610"/>
      <c r="AS1299" s="611"/>
    </row>
    <row r="1300" spans="4:45" ht="13">
      <c r="D1300" s="610"/>
      <c r="E1300" s="610"/>
      <c r="F1300" s="610"/>
      <c r="G1300" s="610"/>
      <c r="H1300" s="610"/>
      <c r="AS1300" s="611"/>
    </row>
    <row r="1301" spans="4:45" ht="13">
      <c r="D1301" s="610"/>
      <c r="E1301" s="610"/>
      <c r="F1301" s="610"/>
      <c r="G1301" s="610"/>
      <c r="H1301" s="610"/>
      <c r="AS1301" s="611"/>
    </row>
    <row r="1302" spans="4:45" ht="13">
      <c r="D1302" s="610"/>
      <c r="E1302" s="610"/>
      <c r="F1302" s="610"/>
      <c r="G1302" s="610"/>
      <c r="H1302" s="610"/>
      <c r="AS1302" s="611"/>
    </row>
    <row r="1303" spans="4:45" ht="13">
      <c r="D1303" s="610"/>
      <c r="E1303" s="610"/>
      <c r="F1303" s="610"/>
      <c r="G1303" s="610"/>
      <c r="H1303" s="610"/>
      <c r="AS1303" s="611"/>
    </row>
    <row r="1304" spans="4:45" ht="13">
      <c r="D1304" s="610"/>
      <c r="E1304" s="610"/>
      <c r="F1304" s="610"/>
      <c r="G1304" s="610"/>
      <c r="H1304" s="610"/>
      <c r="AS1304" s="611"/>
    </row>
    <row r="1305" spans="4:45" ht="13">
      <c r="D1305" s="610"/>
      <c r="E1305" s="610"/>
      <c r="F1305" s="610"/>
      <c r="G1305" s="610"/>
      <c r="H1305" s="610"/>
      <c r="AS1305" s="611"/>
    </row>
    <row r="1306" spans="4:45" ht="13">
      <c r="D1306" s="610"/>
      <c r="E1306" s="610"/>
      <c r="F1306" s="610"/>
      <c r="G1306" s="610"/>
      <c r="H1306" s="610"/>
      <c r="AS1306" s="611"/>
    </row>
    <row r="1307" spans="4:45" ht="13">
      <c r="D1307" s="610"/>
      <c r="E1307" s="610"/>
      <c r="F1307" s="610"/>
      <c r="G1307" s="610"/>
      <c r="H1307" s="610"/>
      <c r="AS1307" s="611"/>
    </row>
    <row r="1308" spans="4:45" ht="13">
      <c r="D1308" s="610"/>
      <c r="E1308" s="610"/>
      <c r="F1308" s="610"/>
      <c r="G1308" s="610"/>
      <c r="H1308" s="610"/>
      <c r="AS1308" s="611"/>
    </row>
    <row r="1309" spans="4:45" ht="13">
      <c r="D1309" s="610"/>
      <c r="E1309" s="610"/>
      <c r="F1309" s="610"/>
      <c r="G1309" s="610"/>
      <c r="H1309" s="610"/>
      <c r="AS1309" s="611"/>
    </row>
    <row r="1310" spans="4:45" ht="13">
      <c r="D1310" s="610"/>
      <c r="E1310" s="610"/>
      <c r="F1310" s="610"/>
      <c r="G1310" s="610"/>
      <c r="H1310" s="610"/>
      <c r="AS1310" s="611"/>
    </row>
    <row r="1311" spans="4:45" ht="13">
      <c r="D1311" s="610"/>
      <c r="E1311" s="610"/>
      <c r="F1311" s="610"/>
      <c r="G1311" s="610"/>
      <c r="H1311" s="610"/>
      <c r="AS1311" s="611"/>
    </row>
    <row r="1312" spans="4:45" ht="13">
      <c r="D1312" s="610"/>
      <c r="E1312" s="610"/>
      <c r="F1312" s="610"/>
      <c r="G1312" s="610"/>
      <c r="H1312" s="610"/>
      <c r="AS1312" s="611"/>
    </row>
    <row r="1313" spans="4:45" ht="13">
      <c r="D1313" s="610"/>
      <c r="E1313" s="610"/>
      <c r="F1313" s="610"/>
      <c r="G1313" s="610"/>
      <c r="H1313" s="610"/>
      <c r="AS1313" s="611"/>
    </row>
    <row r="1314" spans="4:45" ht="13">
      <c r="D1314" s="610"/>
      <c r="E1314" s="610"/>
      <c r="F1314" s="610"/>
      <c r="G1314" s="610"/>
      <c r="H1314" s="610"/>
      <c r="AS1314" s="611"/>
    </row>
    <row r="1315" spans="4:45" ht="13">
      <c r="D1315" s="610"/>
      <c r="E1315" s="610"/>
      <c r="F1315" s="610"/>
      <c r="G1315" s="610"/>
      <c r="H1315" s="610"/>
      <c r="AS1315" s="611"/>
    </row>
    <row r="1316" spans="4:45" ht="13">
      <c r="D1316" s="610"/>
      <c r="E1316" s="610"/>
      <c r="F1316" s="610"/>
      <c r="G1316" s="610"/>
      <c r="H1316" s="610"/>
      <c r="AS1316" s="611"/>
    </row>
    <row r="1317" spans="4:45" ht="13">
      <c r="D1317" s="610"/>
      <c r="E1317" s="610"/>
      <c r="F1317" s="610"/>
      <c r="G1317" s="610"/>
      <c r="H1317" s="610"/>
      <c r="AS1317" s="611"/>
    </row>
    <row r="1318" spans="4:45" ht="13">
      <c r="D1318" s="610"/>
      <c r="E1318" s="610"/>
      <c r="F1318" s="610"/>
      <c r="G1318" s="610"/>
      <c r="H1318" s="610"/>
      <c r="AS1318" s="611"/>
    </row>
    <row r="1319" spans="4:45" ht="13">
      <c r="D1319" s="610"/>
      <c r="E1319" s="610"/>
      <c r="F1319" s="610"/>
      <c r="G1319" s="610"/>
      <c r="H1319" s="610"/>
      <c r="AS1319" s="611"/>
    </row>
    <row r="1320" spans="4:45" ht="13">
      <c r="D1320" s="610"/>
      <c r="E1320" s="610"/>
      <c r="F1320" s="610"/>
      <c r="G1320" s="610"/>
      <c r="H1320" s="610"/>
      <c r="AS1320" s="611"/>
    </row>
    <row r="1321" spans="4:45" ht="13">
      <c r="D1321" s="610"/>
      <c r="E1321" s="610"/>
      <c r="F1321" s="610"/>
      <c r="G1321" s="610"/>
      <c r="H1321" s="610"/>
      <c r="AS1321" s="611"/>
    </row>
    <row r="1322" spans="4:45" ht="13">
      <c r="D1322" s="610"/>
      <c r="E1322" s="610"/>
      <c r="F1322" s="610"/>
      <c r="G1322" s="610"/>
      <c r="H1322" s="610"/>
      <c r="AS1322" s="611"/>
    </row>
    <row r="1323" spans="4:45" ht="13">
      <c r="D1323" s="610"/>
      <c r="E1323" s="610"/>
      <c r="F1323" s="610"/>
      <c r="G1323" s="610"/>
      <c r="H1323" s="610"/>
      <c r="AS1323" s="611"/>
    </row>
    <row r="1324" spans="4:45" ht="13">
      <c r="D1324" s="610"/>
      <c r="E1324" s="610"/>
      <c r="F1324" s="610"/>
      <c r="G1324" s="610"/>
      <c r="H1324" s="610"/>
      <c r="AS1324" s="611"/>
    </row>
    <row r="1325" spans="4:45" ht="13">
      <c r="D1325" s="610"/>
      <c r="E1325" s="610"/>
      <c r="F1325" s="610"/>
      <c r="G1325" s="610"/>
      <c r="H1325" s="610"/>
      <c r="AS1325" s="611"/>
    </row>
    <row r="1326" spans="4:45" ht="13">
      <c r="D1326" s="610"/>
      <c r="E1326" s="610"/>
      <c r="F1326" s="610"/>
      <c r="G1326" s="610"/>
      <c r="H1326" s="610"/>
      <c r="AS1326" s="611"/>
    </row>
    <row r="1327" spans="4:45" ht="13">
      <c r="D1327" s="610"/>
      <c r="E1327" s="610"/>
      <c r="F1327" s="610"/>
      <c r="G1327" s="610"/>
      <c r="H1327" s="610"/>
      <c r="AS1327" s="611"/>
    </row>
    <row r="1328" spans="4:45" ht="13">
      <c r="D1328" s="610"/>
      <c r="E1328" s="610"/>
      <c r="F1328" s="610"/>
      <c r="G1328" s="610"/>
      <c r="H1328" s="610"/>
      <c r="AS1328" s="611"/>
    </row>
    <row r="1329" spans="4:45" ht="13">
      <c r="D1329" s="610"/>
      <c r="E1329" s="610"/>
      <c r="F1329" s="610"/>
      <c r="G1329" s="610"/>
      <c r="H1329" s="610"/>
      <c r="AS1329" s="611"/>
    </row>
    <row r="1330" spans="4:45" ht="13">
      <c r="D1330" s="610"/>
      <c r="E1330" s="610"/>
      <c r="F1330" s="610"/>
      <c r="G1330" s="610"/>
      <c r="H1330" s="610"/>
      <c r="AS1330" s="611"/>
    </row>
    <row r="1331" spans="4:45" ht="13">
      <c r="D1331" s="610"/>
      <c r="E1331" s="610"/>
      <c r="F1331" s="610"/>
      <c r="G1331" s="610"/>
      <c r="H1331" s="610"/>
      <c r="AS1331" s="611"/>
    </row>
    <row r="1332" spans="4:45" ht="13">
      <c r="D1332" s="610"/>
      <c r="E1332" s="610"/>
      <c r="F1332" s="610"/>
      <c r="G1332" s="610"/>
      <c r="H1332" s="610"/>
      <c r="AS1332" s="611"/>
    </row>
    <row r="1333" spans="4:45" ht="13">
      <c r="D1333" s="610"/>
      <c r="E1333" s="610"/>
      <c r="F1333" s="610"/>
      <c r="G1333" s="610"/>
      <c r="H1333" s="610"/>
      <c r="AS1333" s="611"/>
    </row>
    <row r="1334" spans="4:45" ht="13">
      <c r="D1334" s="610"/>
      <c r="E1334" s="610"/>
      <c r="F1334" s="610"/>
      <c r="G1334" s="610"/>
      <c r="H1334" s="610"/>
      <c r="AS1334" s="611"/>
    </row>
    <row r="1335" spans="4:45" ht="13">
      <c r="D1335" s="610"/>
      <c r="E1335" s="610"/>
      <c r="F1335" s="610"/>
      <c r="G1335" s="610"/>
      <c r="H1335" s="610"/>
      <c r="AS1335" s="611"/>
    </row>
    <row r="1336" spans="4:45" ht="13">
      <c r="D1336" s="610"/>
      <c r="E1336" s="610"/>
      <c r="F1336" s="610"/>
      <c r="G1336" s="610"/>
      <c r="H1336" s="610"/>
      <c r="AS1336" s="611"/>
    </row>
    <row r="1337" spans="4:45" ht="13">
      <c r="D1337" s="610"/>
      <c r="E1337" s="610"/>
      <c r="F1337" s="610"/>
      <c r="G1337" s="610"/>
      <c r="H1337" s="610"/>
      <c r="AS1337" s="611"/>
    </row>
    <row r="1338" spans="4:45" ht="13">
      <c r="D1338" s="610"/>
      <c r="E1338" s="610"/>
      <c r="F1338" s="610"/>
      <c r="G1338" s="610"/>
      <c r="H1338" s="610"/>
      <c r="AS1338" s="611"/>
    </row>
    <row r="1339" spans="4:45" ht="13">
      <c r="D1339" s="610"/>
      <c r="E1339" s="610"/>
      <c r="F1339" s="610"/>
      <c r="G1339" s="610"/>
      <c r="H1339" s="610"/>
      <c r="AS1339" s="611"/>
    </row>
    <row r="1340" spans="4:45" ht="13">
      <c r="D1340" s="610"/>
      <c r="E1340" s="610"/>
      <c r="F1340" s="610"/>
      <c r="G1340" s="610"/>
      <c r="H1340" s="610"/>
      <c r="AS1340" s="611"/>
    </row>
    <row r="1341" spans="4:45" ht="13">
      <c r="D1341" s="610"/>
      <c r="E1341" s="610"/>
      <c r="F1341" s="610"/>
      <c r="G1341" s="610"/>
      <c r="H1341" s="610"/>
      <c r="AS1341" s="611"/>
    </row>
    <row r="1342" spans="4:45" ht="13">
      <c r="D1342" s="610"/>
      <c r="E1342" s="610"/>
      <c r="F1342" s="610"/>
      <c r="G1342" s="610"/>
      <c r="H1342" s="610"/>
      <c r="AS1342" s="611"/>
    </row>
  </sheetData>
  <mergeCells count="122">
    <mergeCell ref="N439:P439"/>
    <mergeCell ref="N427:O427"/>
    <mergeCell ref="N424:P424"/>
    <mergeCell ref="N499:O499"/>
    <mergeCell ref="N502:O502"/>
    <mergeCell ref="N501:O501"/>
    <mergeCell ref="N511:O511"/>
    <mergeCell ref="N514:O514"/>
    <mergeCell ref="N462:P462"/>
    <mergeCell ref="N460:P460"/>
    <mergeCell ref="N465:O465"/>
    <mergeCell ref="N474:O474"/>
    <mergeCell ref="N493:P493"/>
    <mergeCell ref="N496:P496"/>
    <mergeCell ref="N490:P490"/>
    <mergeCell ref="N492:P492"/>
    <mergeCell ref="N259:O259"/>
    <mergeCell ref="N261:O261"/>
    <mergeCell ref="N60:O60"/>
    <mergeCell ref="N63:O63"/>
    <mergeCell ref="N61:O61"/>
    <mergeCell ref="N130:O130"/>
    <mergeCell ref="N364:O364"/>
    <mergeCell ref="AM487:AO487"/>
    <mergeCell ref="AP487:AQ487"/>
    <mergeCell ref="AI481:AJ481"/>
    <mergeCell ref="AI483:AJ483"/>
    <mergeCell ref="AM478:AP478"/>
    <mergeCell ref="AM480:AP480"/>
    <mergeCell ref="N472:O472"/>
    <mergeCell ref="N478:O478"/>
    <mergeCell ref="N484:P484"/>
    <mergeCell ref="N463:O463"/>
    <mergeCell ref="N456:P456"/>
    <mergeCell ref="N457:O457"/>
    <mergeCell ref="N450:O450"/>
    <mergeCell ref="N454:P454"/>
    <mergeCell ref="N480:O480"/>
    <mergeCell ref="N487:O487"/>
    <mergeCell ref="N448:O448"/>
    <mergeCell ref="N361:O361"/>
    <mergeCell ref="N358:O358"/>
    <mergeCell ref="N214:O214"/>
    <mergeCell ref="N235:O235"/>
    <mergeCell ref="N232:O232"/>
    <mergeCell ref="N223:O223"/>
    <mergeCell ref="N226:O226"/>
    <mergeCell ref="N442:P442"/>
    <mergeCell ref="N445:O445"/>
    <mergeCell ref="N430:O430"/>
    <mergeCell ref="N436:O436"/>
    <mergeCell ref="N370:O370"/>
    <mergeCell ref="N346:O346"/>
    <mergeCell ref="P280:Q280"/>
    <mergeCell ref="N355:O355"/>
    <mergeCell ref="N352:O352"/>
    <mergeCell ref="N280:O280"/>
    <mergeCell ref="N265:O265"/>
    <mergeCell ref="N274:O274"/>
    <mergeCell ref="N276:O276"/>
    <mergeCell ref="N277:O277"/>
    <mergeCell ref="N247:O247"/>
    <mergeCell ref="N250:O250"/>
    <mergeCell ref="N298:O298"/>
    <mergeCell ref="N36:O36"/>
    <mergeCell ref="N208:O208"/>
    <mergeCell ref="N205:O205"/>
    <mergeCell ref="N151:O151"/>
    <mergeCell ref="N132:O132"/>
    <mergeCell ref="N57:O57"/>
    <mergeCell ref="N55:O55"/>
    <mergeCell ref="N271:P271"/>
    <mergeCell ref="N268:P268"/>
    <mergeCell ref="N246:P246"/>
    <mergeCell ref="N244:P244"/>
    <mergeCell ref="N256:P256"/>
    <mergeCell ref="N253:P253"/>
    <mergeCell ref="N262:P262"/>
    <mergeCell ref="N58:O58"/>
    <mergeCell ref="N220:O220"/>
    <mergeCell ref="N217:O217"/>
    <mergeCell ref="N51:O51"/>
    <mergeCell ref="N46:O46"/>
    <mergeCell ref="N49:O49"/>
    <mergeCell ref="N231:O231"/>
    <mergeCell ref="N229:O229"/>
    <mergeCell ref="N237:O237"/>
    <mergeCell ref="N211:O211"/>
    <mergeCell ref="T3:W3"/>
    <mergeCell ref="X3:AA3"/>
    <mergeCell ref="P208:Q208"/>
    <mergeCell ref="N154:P154"/>
    <mergeCell ref="N39:O39"/>
    <mergeCell ref="N40:O40"/>
    <mergeCell ref="AJ7:AK7"/>
    <mergeCell ref="AO4:AR4"/>
    <mergeCell ref="AP19:AQ19"/>
    <mergeCell ref="N25:O25"/>
    <mergeCell ref="N202:O202"/>
    <mergeCell ref="N193:O193"/>
    <mergeCell ref="N69:O69"/>
    <mergeCell ref="N76:O76"/>
    <mergeCell ref="N142:O142"/>
    <mergeCell ref="N136:P136"/>
    <mergeCell ref="N138:P138"/>
    <mergeCell ref="N145:O145"/>
    <mergeCell ref="N133:P133"/>
    <mergeCell ref="N34:O34"/>
    <mergeCell ref="N31:O31"/>
    <mergeCell ref="N67:O67"/>
    <mergeCell ref="N64:O64"/>
    <mergeCell ref="N43:O43"/>
    <mergeCell ref="AC268:AD268"/>
    <mergeCell ref="AC271:AD271"/>
    <mergeCell ref="N349:O349"/>
    <mergeCell ref="N286:O286"/>
    <mergeCell ref="N292:O292"/>
    <mergeCell ref="N289:P289"/>
    <mergeCell ref="N297:O297"/>
    <mergeCell ref="N295:O295"/>
    <mergeCell ref="AL298:AM298"/>
    <mergeCell ref="N300:O300"/>
  </mergeCells>
  <conditionalFormatting sqref="D4:D516 E4:H13 I4:N516 O4:O387 P4:P207 Q4:Q73 R4:AR15 AS4:AS307 E16:G79 H16:H20 H22:H79 Q75:Q207 E82:H516 AS309:AS310 AS312:AS313 AS315:AS316 AS318:AS319 AS321:AS322 AS324:AS325 AS327:AS328 AS330:AS516 O389:O516 P211:Q483 P487:Q507 P484:P486 P511:Q516 P508:P510 R505:AR516 R502:S504 U502:AR504 R199:AR279 R196:S198 U196:AR198 R31:AR63 R28:T30 V28:AR30 R19:AR27 R16:AJ18 AL16:AR18 R67:AR75 R64:AJ66 AL64:AR66 R79:AR123 R76:AJ78 AL76:AR78 R127:AR183 R124:AJ126 AL124:AR126 R283:AR501 R280:AJ282 AL280:AR282 R187:AR195 R184:AJ186 AL184:AR186">
    <cfRule type="expression" dxfId="12" priority="1">
      <formula>ISEVEN((ROW()+2)/3)</formula>
    </cfRule>
  </conditionalFormatting>
  <hyperlinks>
    <hyperlink ref="N4" r:id="rId1" location="peerreview" xr:uid="{00000000-0004-0000-0000-000000000000}"/>
    <hyperlink ref="O4" r:id="rId2" xr:uid="{00000000-0004-0000-0000-000001000000}"/>
    <hyperlink ref="AD4" r:id="rId3" xr:uid="{00000000-0004-0000-0000-000002000000}"/>
    <hyperlink ref="AH4" r:id="rId4" location="publicationaheadofprint" xr:uid="{00000000-0004-0000-0000-000003000000}"/>
    <hyperlink ref="N6" r:id="rId5" location="peerreview" xr:uid="{00000000-0004-0000-0000-000004000000}"/>
    <hyperlink ref="O6" r:id="rId6" xr:uid="{00000000-0004-0000-0000-000005000000}"/>
    <hyperlink ref="AD6" r:id="rId7" xr:uid="{00000000-0004-0000-0000-000006000000}"/>
    <hyperlink ref="AH6" r:id="rId8" location="publicationaheadofprint" xr:uid="{00000000-0004-0000-0000-000007000000}"/>
    <hyperlink ref="N7" r:id="rId9" xr:uid="{00000000-0004-0000-0000-000008000000}"/>
    <hyperlink ref="S7" r:id="rId10" xr:uid="{00000000-0004-0000-0000-000009000000}"/>
    <hyperlink ref="AH7" r:id="rId11" xr:uid="{00000000-0004-0000-0000-00000A000000}"/>
    <hyperlink ref="N8" r:id="rId12" xr:uid="{00000000-0004-0000-0000-00000B000000}"/>
    <hyperlink ref="S9" r:id="rId13" xr:uid="{00000000-0004-0000-0000-00000C000000}"/>
    <hyperlink ref="N10" r:id="rId14" xr:uid="{00000000-0004-0000-0000-00000D000000}"/>
    <hyperlink ref="S10" r:id="rId15" xr:uid="{00000000-0004-0000-0000-00000E000000}"/>
    <hyperlink ref="AH10" r:id="rId16" xr:uid="{00000000-0004-0000-0000-00000F000000}"/>
    <hyperlink ref="N12" r:id="rId17" xr:uid="{00000000-0004-0000-0000-000010000000}"/>
    <hyperlink ref="AH12" r:id="rId18" xr:uid="{00000000-0004-0000-0000-000011000000}"/>
    <hyperlink ref="N13" r:id="rId19" xr:uid="{00000000-0004-0000-0000-000012000000}"/>
    <hyperlink ref="S13" r:id="rId20" xr:uid="{00000000-0004-0000-0000-000013000000}"/>
    <hyperlink ref="AH13" r:id="rId21" xr:uid="{00000000-0004-0000-0000-000014000000}"/>
    <hyperlink ref="S15" r:id="rId22" xr:uid="{00000000-0004-0000-0000-000015000000}"/>
    <hyperlink ref="AH15" r:id="rId23" xr:uid="{00000000-0004-0000-0000-000016000000}"/>
    <hyperlink ref="N16" r:id="rId24" location="amrR7" xr:uid="{00000000-0004-0000-0000-000017000000}"/>
    <hyperlink ref="P16" r:id="rId25" location="amrR7" xr:uid="{00000000-0004-0000-0000-000018000000}"/>
    <hyperlink ref="AD16" r:id="rId26" location="amrR7" xr:uid="{00000000-0004-0000-0000-000019000000}"/>
    <hyperlink ref="O17" r:id="rId27" xr:uid="{00000000-0004-0000-0000-00001A000000}"/>
    <hyperlink ref="AH17" r:id="rId28" xr:uid="{00000000-0004-0000-0000-00001B000000}"/>
    <hyperlink ref="O18" r:id="rId29" xr:uid="{00000000-0004-0000-0000-00001C000000}"/>
    <hyperlink ref="AD18" r:id="rId30" location="amrR7" xr:uid="{00000000-0004-0000-0000-00001D000000}"/>
    <hyperlink ref="AH18" r:id="rId31" xr:uid="{00000000-0004-0000-0000-00001E000000}"/>
    <hyperlink ref="N19" r:id="rId32" xr:uid="{00000000-0004-0000-0000-00001F000000}"/>
    <hyperlink ref="S19" r:id="rId33" xr:uid="{00000000-0004-0000-0000-000020000000}"/>
    <hyperlink ref="AH19" r:id="rId34" xr:uid="{00000000-0004-0000-0000-000021000000}"/>
    <hyperlink ref="N20" r:id="rId35" xr:uid="{00000000-0004-0000-0000-000022000000}"/>
    <hyperlink ref="O20" r:id="rId36" xr:uid="{00000000-0004-0000-0000-000023000000}"/>
    <hyperlink ref="S20" r:id="rId37" xr:uid="{00000000-0004-0000-0000-000024000000}"/>
    <hyperlink ref="N21" r:id="rId38" xr:uid="{00000000-0004-0000-0000-000025000000}"/>
    <hyperlink ref="O21" r:id="rId39" xr:uid="{00000000-0004-0000-0000-000026000000}"/>
    <hyperlink ref="S21" r:id="rId40" xr:uid="{00000000-0004-0000-0000-000027000000}"/>
    <hyperlink ref="AH21" r:id="rId41" xr:uid="{00000000-0004-0000-0000-000028000000}"/>
    <hyperlink ref="N22" r:id="rId42" xr:uid="{00000000-0004-0000-0000-000029000000}"/>
    <hyperlink ref="AD22" r:id="rId43" xr:uid="{00000000-0004-0000-0000-00002A000000}"/>
    <hyperlink ref="AH22" r:id="rId44" xr:uid="{00000000-0004-0000-0000-00002B000000}"/>
    <hyperlink ref="N23" r:id="rId45" xr:uid="{00000000-0004-0000-0000-00002C000000}"/>
    <hyperlink ref="N24" r:id="rId46" xr:uid="{00000000-0004-0000-0000-00002D000000}"/>
    <hyperlink ref="N25" r:id="rId47" xr:uid="{00000000-0004-0000-0000-00002E000000}"/>
    <hyperlink ref="AD25" r:id="rId48" xr:uid="{00000000-0004-0000-0000-00002F000000}"/>
    <hyperlink ref="AH25" r:id="rId49" xr:uid="{00000000-0004-0000-0000-000030000000}"/>
    <hyperlink ref="N26" r:id="rId50" xr:uid="{00000000-0004-0000-0000-000031000000}"/>
    <hyperlink ref="AH26" r:id="rId51" xr:uid="{00000000-0004-0000-0000-000032000000}"/>
    <hyperlink ref="N27" r:id="rId52" xr:uid="{00000000-0004-0000-0000-000033000000}"/>
    <hyperlink ref="AH27" r:id="rId53" xr:uid="{00000000-0004-0000-0000-000034000000}"/>
    <hyperlink ref="N28" r:id="rId54" xr:uid="{00000000-0004-0000-0000-000035000000}"/>
    <hyperlink ref="AD28" r:id="rId55" xr:uid="{00000000-0004-0000-0000-000036000000}"/>
    <hyperlink ref="AH28" r:id="rId56" xr:uid="{00000000-0004-0000-0000-000037000000}"/>
    <hyperlink ref="N29" r:id="rId57" xr:uid="{00000000-0004-0000-0000-000038000000}"/>
    <hyperlink ref="AH29" r:id="rId58" xr:uid="{00000000-0004-0000-0000-000039000000}"/>
    <hyperlink ref="N30" r:id="rId59" xr:uid="{00000000-0004-0000-0000-00003A000000}"/>
    <hyperlink ref="AH30" r:id="rId60" xr:uid="{00000000-0004-0000-0000-00003B000000}"/>
    <hyperlink ref="N31" r:id="rId61" xr:uid="{00000000-0004-0000-0000-00003C000000}"/>
    <hyperlink ref="AD31" r:id="rId62" xr:uid="{00000000-0004-0000-0000-00003D000000}"/>
    <hyperlink ref="AH31" r:id="rId63" xr:uid="{00000000-0004-0000-0000-00003E000000}"/>
    <hyperlink ref="N33" r:id="rId64" xr:uid="{00000000-0004-0000-0000-00003F000000}"/>
    <hyperlink ref="AD33" r:id="rId65" xr:uid="{00000000-0004-0000-0000-000040000000}"/>
    <hyperlink ref="AH33" r:id="rId66" xr:uid="{00000000-0004-0000-0000-000041000000}"/>
    <hyperlink ref="N34" r:id="rId67" xr:uid="{00000000-0004-0000-0000-000042000000}"/>
    <hyperlink ref="AD34" r:id="rId68" xr:uid="{00000000-0004-0000-0000-000043000000}"/>
    <hyperlink ref="AH34" r:id="rId69" xr:uid="{00000000-0004-0000-0000-000044000000}"/>
    <hyperlink ref="N36" r:id="rId70" xr:uid="{00000000-0004-0000-0000-000045000000}"/>
    <hyperlink ref="AD36" r:id="rId71" xr:uid="{00000000-0004-0000-0000-000046000000}"/>
    <hyperlink ref="AH36" r:id="rId72" xr:uid="{00000000-0004-0000-0000-000047000000}"/>
    <hyperlink ref="N37" r:id="rId73" xr:uid="{00000000-0004-0000-0000-000048000000}"/>
    <hyperlink ref="AD37" r:id="rId74" xr:uid="{00000000-0004-0000-0000-000049000000}"/>
    <hyperlink ref="N39" r:id="rId75" xr:uid="{00000000-0004-0000-0000-00004A000000}"/>
    <hyperlink ref="AD39" r:id="rId76" xr:uid="{00000000-0004-0000-0000-00004B000000}"/>
    <hyperlink ref="N40" r:id="rId77" xr:uid="{00000000-0004-0000-0000-00004C000000}"/>
    <hyperlink ref="P40" r:id="rId78" xr:uid="{00000000-0004-0000-0000-00004D000000}"/>
    <hyperlink ref="N41" r:id="rId79" xr:uid="{00000000-0004-0000-0000-00004E000000}"/>
    <hyperlink ref="N42" r:id="rId80" xr:uid="{00000000-0004-0000-0000-00004F000000}"/>
    <hyperlink ref="N43" r:id="rId81" xr:uid="{00000000-0004-0000-0000-000050000000}"/>
    <hyperlink ref="P43" r:id="rId82" xr:uid="{00000000-0004-0000-0000-000051000000}"/>
    <hyperlink ref="AD43" r:id="rId83" xr:uid="{00000000-0004-0000-0000-000052000000}"/>
    <hyperlink ref="AH43" r:id="rId84" xr:uid="{00000000-0004-0000-0000-000053000000}"/>
    <hyperlink ref="N44" r:id="rId85" location="submission-guidelines" xr:uid="{00000000-0004-0000-0000-000054000000}"/>
    <hyperlink ref="P44" r:id="rId86" xr:uid="{00000000-0004-0000-0000-000055000000}"/>
    <hyperlink ref="AH44" r:id="rId87" xr:uid="{00000000-0004-0000-0000-000056000000}"/>
    <hyperlink ref="N45" r:id="rId88" location="submission-guidelines" xr:uid="{00000000-0004-0000-0000-000057000000}"/>
    <hyperlink ref="P45" r:id="rId89" xr:uid="{00000000-0004-0000-0000-000058000000}"/>
    <hyperlink ref="AD45" r:id="rId90" xr:uid="{00000000-0004-0000-0000-000059000000}"/>
    <hyperlink ref="AH45" r:id="rId91" xr:uid="{00000000-0004-0000-0000-00005A000000}"/>
    <hyperlink ref="N46" r:id="rId92" xr:uid="{00000000-0004-0000-0000-00005B000000}"/>
    <hyperlink ref="AH46" r:id="rId93" xr:uid="{00000000-0004-0000-0000-00005C000000}"/>
    <hyperlink ref="N47" r:id="rId94" xr:uid="{00000000-0004-0000-0000-00005D000000}"/>
    <hyperlink ref="P47" r:id="rId95" xr:uid="{00000000-0004-0000-0000-00005E000000}"/>
    <hyperlink ref="AH47" r:id="rId96" xr:uid="{00000000-0004-0000-0000-00005F000000}"/>
    <hyperlink ref="AH48" r:id="rId97" xr:uid="{00000000-0004-0000-0000-000060000000}"/>
    <hyperlink ref="N49" r:id="rId98" xr:uid="{00000000-0004-0000-0000-000061000000}"/>
    <hyperlink ref="P49" r:id="rId99" xr:uid="{00000000-0004-0000-0000-000062000000}"/>
    <hyperlink ref="AD49" r:id="rId100" xr:uid="{00000000-0004-0000-0000-000063000000}"/>
    <hyperlink ref="AH49" r:id="rId101" xr:uid="{00000000-0004-0000-0000-000064000000}"/>
    <hyperlink ref="N51" r:id="rId102" xr:uid="{00000000-0004-0000-0000-000065000000}"/>
    <hyperlink ref="P51" r:id="rId103" xr:uid="{00000000-0004-0000-0000-000066000000}"/>
    <hyperlink ref="AD51" r:id="rId104" xr:uid="{00000000-0004-0000-0000-000067000000}"/>
    <hyperlink ref="AH51" r:id="rId105" xr:uid="{00000000-0004-0000-0000-000068000000}"/>
    <hyperlink ref="N52" r:id="rId106" xr:uid="{00000000-0004-0000-0000-000069000000}"/>
    <hyperlink ref="AH52" r:id="rId107" xr:uid="{00000000-0004-0000-0000-00006A000000}"/>
    <hyperlink ref="N54" r:id="rId108" xr:uid="{00000000-0004-0000-0000-00006B000000}"/>
    <hyperlink ref="AH54" r:id="rId109" xr:uid="{00000000-0004-0000-0000-00006C000000}"/>
    <hyperlink ref="N55" r:id="rId110" xr:uid="{00000000-0004-0000-0000-00006D000000}"/>
    <hyperlink ref="P55" r:id="rId111" xr:uid="{00000000-0004-0000-0000-00006E000000}"/>
    <hyperlink ref="S55" r:id="rId112" xr:uid="{00000000-0004-0000-0000-00006F000000}"/>
    <hyperlink ref="AD55" r:id="rId113" xr:uid="{00000000-0004-0000-0000-000070000000}"/>
    <hyperlink ref="AH55" r:id="rId114" xr:uid="{00000000-0004-0000-0000-000071000000}"/>
    <hyperlink ref="N57" r:id="rId115" xr:uid="{00000000-0004-0000-0000-000072000000}"/>
    <hyperlink ref="P57" r:id="rId116" xr:uid="{00000000-0004-0000-0000-000073000000}"/>
    <hyperlink ref="S57" r:id="rId117" xr:uid="{00000000-0004-0000-0000-000074000000}"/>
    <hyperlink ref="AD57" r:id="rId118" xr:uid="{00000000-0004-0000-0000-000075000000}"/>
    <hyperlink ref="AH57" r:id="rId119" xr:uid="{00000000-0004-0000-0000-000076000000}"/>
    <hyperlink ref="N58" r:id="rId120" xr:uid="{00000000-0004-0000-0000-000077000000}"/>
    <hyperlink ref="P58" r:id="rId121" location="recognizing" xr:uid="{00000000-0004-0000-0000-000078000000}"/>
    <hyperlink ref="S58" r:id="rId122" xr:uid="{00000000-0004-0000-0000-000079000000}"/>
    <hyperlink ref="AH58" r:id="rId123" xr:uid="{00000000-0004-0000-0000-00007A000000}"/>
    <hyperlink ref="N60" r:id="rId124" xr:uid="{00000000-0004-0000-0000-00007B000000}"/>
    <hyperlink ref="P60" r:id="rId125" location="recognizing" xr:uid="{00000000-0004-0000-0000-00007C000000}"/>
    <hyperlink ref="S60" r:id="rId126" xr:uid="{00000000-0004-0000-0000-00007D000000}"/>
    <hyperlink ref="AH60" r:id="rId127" xr:uid="{00000000-0004-0000-0000-00007E000000}"/>
    <hyperlink ref="N61" r:id="rId128" location="20910" xr:uid="{00000000-0004-0000-0000-00007F000000}"/>
    <hyperlink ref="P61" r:id="rId129" location="recognizing" xr:uid="{00000000-0004-0000-0000-000080000000}"/>
    <hyperlink ref="S61" r:id="rId130" xr:uid="{00000000-0004-0000-0000-000081000000}"/>
    <hyperlink ref="AD61" r:id="rId131" location="20910" xr:uid="{00000000-0004-0000-0000-000082000000}"/>
    <hyperlink ref="AH61" r:id="rId132" xr:uid="{00000000-0004-0000-0000-000083000000}"/>
    <hyperlink ref="N63" r:id="rId133" location="20910" xr:uid="{00000000-0004-0000-0000-000084000000}"/>
    <hyperlink ref="P63" r:id="rId134" location="recognizing" xr:uid="{00000000-0004-0000-0000-000085000000}"/>
    <hyperlink ref="S63" r:id="rId135" xr:uid="{00000000-0004-0000-0000-000086000000}"/>
    <hyperlink ref="AH63" r:id="rId136" xr:uid="{00000000-0004-0000-0000-000087000000}"/>
    <hyperlink ref="N64" r:id="rId137" xr:uid="{00000000-0004-0000-0000-000088000000}"/>
    <hyperlink ref="AD64" r:id="rId138" xr:uid="{00000000-0004-0000-0000-000089000000}"/>
    <hyperlink ref="AH64" r:id="rId139" xr:uid="{00000000-0004-0000-0000-00008A000000}"/>
    <hyperlink ref="N66" r:id="rId140" xr:uid="{00000000-0004-0000-0000-00008B000000}"/>
    <hyperlink ref="AD66" r:id="rId141" xr:uid="{00000000-0004-0000-0000-00008C000000}"/>
    <hyperlink ref="AH66" r:id="rId142" xr:uid="{00000000-0004-0000-0000-00008D000000}"/>
    <hyperlink ref="N67" r:id="rId143" xr:uid="{00000000-0004-0000-0000-00008E000000}"/>
    <hyperlink ref="S67" r:id="rId144" xr:uid="{00000000-0004-0000-0000-00008F000000}"/>
    <hyperlink ref="N69" r:id="rId145" xr:uid="{00000000-0004-0000-0000-000090000000}"/>
    <hyperlink ref="S69" r:id="rId146" xr:uid="{00000000-0004-0000-0000-000091000000}"/>
    <hyperlink ref="AH70" r:id="rId147" xr:uid="{00000000-0004-0000-0000-000092000000}"/>
    <hyperlink ref="AH72" r:id="rId148" xr:uid="{00000000-0004-0000-0000-000093000000}"/>
    <hyperlink ref="N73" r:id="rId149" xr:uid="{00000000-0004-0000-0000-000094000000}"/>
    <hyperlink ref="P73" r:id="rId150" location="recognizing" xr:uid="{00000000-0004-0000-0000-000095000000}"/>
    <hyperlink ref="S73" r:id="rId151" xr:uid="{00000000-0004-0000-0000-000096000000}"/>
    <hyperlink ref="AD73" r:id="rId152" xr:uid="{00000000-0004-0000-0000-000097000000}"/>
    <hyperlink ref="N75" r:id="rId153" xr:uid="{00000000-0004-0000-0000-000098000000}"/>
    <hyperlink ref="P75" r:id="rId154" location="recognizing" xr:uid="{00000000-0004-0000-0000-000099000000}"/>
    <hyperlink ref="S75" r:id="rId155" xr:uid="{00000000-0004-0000-0000-00009A000000}"/>
    <hyperlink ref="AD75" r:id="rId156" xr:uid="{00000000-0004-0000-0000-00009B000000}"/>
    <hyperlink ref="N76" r:id="rId157" xr:uid="{00000000-0004-0000-0000-00009C000000}"/>
    <hyperlink ref="P76" r:id="rId158" xr:uid="{00000000-0004-0000-0000-00009D000000}"/>
    <hyperlink ref="AD76" r:id="rId159" xr:uid="{00000000-0004-0000-0000-00009E000000}"/>
    <hyperlink ref="N78" r:id="rId160" xr:uid="{00000000-0004-0000-0000-00009F000000}"/>
    <hyperlink ref="P78" r:id="rId161" xr:uid="{00000000-0004-0000-0000-0000A0000000}"/>
    <hyperlink ref="AD78" r:id="rId162" xr:uid="{00000000-0004-0000-0000-0000A1000000}"/>
    <hyperlink ref="AH78" r:id="rId163" xr:uid="{00000000-0004-0000-0000-0000A2000000}"/>
    <hyperlink ref="N79" r:id="rId164" xr:uid="{00000000-0004-0000-0000-0000A3000000}"/>
    <hyperlink ref="O79" r:id="rId165" xr:uid="{00000000-0004-0000-0000-0000A4000000}"/>
    <hyperlink ref="P79" r:id="rId166" xr:uid="{00000000-0004-0000-0000-0000A5000000}"/>
    <hyperlink ref="R79" r:id="rId167" xr:uid="{00000000-0004-0000-0000-0000A6000000}"/>
    <hyperlink ref="S79" r:id="rId168" xr:uid="{00000000-0004-0000-0000-0000A7000000}"/>
    <hyperlink ref="AB79" r:id="rId169" xr:uid="{00000000-0004-0000-0000-0000A8000000}"/>
    <hyperlink ref="AH79" r:id="rId170" xr:uid="{00000000-0004-0000-0000-0000A9000000}"/>
    <hyperlink ref="AQ79" r:id="rId171" xr:uid="{00000000-0004-0000-0000-0000AA000000}"/>
    <hyperlink ref="AD80" r:id="rId172" xr:uid="{00000000-0004-0000-0000-0000AB000000}"/>
    <hyperlink ref="N81" r:id="rId173" xr:uid="{00000000-0004-0000-0000-0000AC000000}"/>
    <hyperlink ref="P81" r:id="rId174" xr:uid="{00000000-0004-0000-0000-0000AD000000}"/>
    <hyperlink ref="R81" r:id="rId175" xr:uid="{00000000-0004-0000-0000-0000AE000000}"/>
    <hyperlink ref="S81" r:id="rId176" xr:uid="{00000000-0004-0000-0000-0000AF000000}"/>
    <hyperlink ref="AB81" r:id="rId177" xr:uid="{00000000-0004-0000-0000-0000B0000000}"/>
    <hyperlink ref="AD81" r:id="rId178" xr:uid="{00000000-0004-0000-0000-0000B1000000}"/>
    <hyperlink ref="AH81" r:id="rId179" xr:uid="{00000000-0004-0000-0000-0000B2000000}"/>
    <hyperlink ref="N82" r:id="rId180" xr:uid="{00000000-0004-0000-0000-0000B3000000}"/>
    <hyperlink ref="S82" r:id="rId181" xr:uid="{00000000-0004-0000-0000-0000B4000000}"/>
    <hyperlink ref="AB82" r:id="rId182" xr:uid="{00000000-0004-0000-0000-0000B5000000}"/>
    <hyperlink ref="AD82" r:id="rId183" xr:uid="{00000000-0004-0000-0000-0000B6000000}"/>
    <hyperlink ref="AH82" r:id="rId184" xr:uid="{00000000-0004-0000-0000-0000B7000000}"/>
    <hyperlink ref="AJ82" r:id="rId185" xr:uid="{00000000-0004-0000-0000-0000B8000000}"/>
    <hyperlink ref="AM82" r:id="rId186" location="prepub" xr:uid="{00000000-0004-0000-0000-0000B9000000}"/>
    <hyperlink ref="AQ82" r:id="rId187" xr:uid="{00000000-0004-0000-0000-0000BA000000}"/>
    <hyperlink ref="N84" r:id="rId188" xr:uid="{00000000-0004-0000-0000-0000BB000000}"/>
    <hyperlink ref="S84" r:id="rId189" xr:uid="{00000000-0004-0000-0000-0000BC000000}"/>
    <hyperlink ref="AB84" r:id="rId190" xr:uid="{00000000-0004-0000-0000-0000BD000000}"/>
    <hyperlink ref="AD84" r:id="rId191" xr:uid="{00000000-0004-0000-0000-0000BE000000}"/>
    <hyperlink ref="AH84" r:id="rId192" xr:uid="{00000000-0004-0000-0000-0000BF000000}"/>
    <hyperlink ref="AJ84" r:id="rId193" xr:uid="{00000000-0004-0000-0000-0000C0000000}"/>
    <hyperlink ref="AM84" r:id="rId194" location="prepub" xr:uid="{00000000-0004-0000-0000-0000C1000000}"/>
    <hyperlink ref="N85" r:id="rId195" location="peerrev" xr:uid="{00000000-0004-0000-0000-0000C2000000}"/>
    <hyperlink ref="P85" r:id="rId196" xr:uid="{00000000-0004-0000-0000-0000C3000000}"/>
    <hyperlink ref="S85" r:id="rId197" xr:uid="{00000000-0004-0000-0000-0000C4000000}"/>
    <hyperlink ref="AH85" r:id="rId198" xr:uid="{00000000-0004-0000-0000-0000C5000000}"/>
    <hyperlink ref="AQ85" r:id="rId199" xr:uid="{00000000-0004-0000-0000-0000C6000000}"/>
    <hyperlink ref="N87" r:id="rId200" location="peerrev" xr:uid="{00000000-0004-0000-0000-0000C7000000}"/>
    <hyperlink ref="P87" r:id="rId201" xr:uid="{00000000-0004-0000-0000-0000C8000000}"/>
    <hyperlink ref="S87" r:id="rId202" xr:uid="{00000000-0004-0000-0000-0000C9000000}"/>
    <hyperlink ref="AH87" r:id="rId203" xr:uid="{00000000-0004-0000-0000-0000CA000000}"/>
    <hyperlink ref="N88" r:id="rId204" xr:uid="{00000000-0004-0000-0000-0000CB000000}"/>
    <hyperlink ref="S88" r:id="rId205" xr:uid="{00000000-0004-0000-0000-0000CC000000}"/>
    <hyperlink ref="AB88" r:id="rId206" xr:uid="{00000000-0004-0000-0000-0000CD000000}"/>
    <hyperlink ref="AD88" r:id="rId207" xr:uid="{00000000-0004-0000-0000-0000CE000000}"/>
    <hyperlink ref="AH88" r:id="rId208" xr:uid="{00000000-0004-0000-0000-0000CF000000}"/>
    <hyperlink ref="AJ88" r:id="rId209" xr:uid="{00000000-0004-0000-0000-0000D0000000}"/>
    <hyperlink ref="AM88" r:id="rId210" xr:uid="{00000000-0004-0000-0000-0000D1000000}"/>
    <hyperlink ref="AQ88" r:id="rId211" xr:uid="{00000000-0004-0000-0000-0000D2000000}"/>
    <hyperlink ref="N90" r:id="rId212" xr:uid="{00000000-0004-0000-0000-0000D3000000}"/>
    <hyperlink ref="S90" r:id="rId213" xr:uid="{00000000-0004-0000-0000-0000D4000000}"/>
    <hyperlink ref="AD90" r:id="rId214" xr:uid="{00000000-0004-0000-0000-0000D5000000}"/>
    <hyperlink ref="AH90" r:id="rId215" xr:uid="{00000000-0004-0000-0000-0000D6000000}"/>
    <hyperlink ref="AJ90" r:id="rId216" xr:uid="{00000000-0004-0000-0000-0000D7000000}"/>
    <hyperlink ref="N91" r:id="rId217" xr:uid="{00000000-0004-0000-0000-0000D8000000}"/>
    <hyperlink ref="S91" r:id="rId218" xr:uid="{00000000-0004-0000-0000-0000D9000000}"/>
    <hyperlink ref="AB91" r:id="rId219" xr:uid="{00000000-0004-0000-0000-0000DA000000}"/>
    <hyperlink ref="AD91" r:id="rId220" xr:uid="{00000000-0004-0000-0000-0000DB000000}"/>
    <hyperlink ref="AH91" r:id="rId221" xr:uid="{00000000-0004-0000-0000-0000DC000000}"/>
    <hyperlink ref="AJ91" r:id="rId222" xr:uid="{00000000-0004-0000-0000-0000DD000000}"/>
    <hyperlink ref="AM91" r:id="rId223" location="prepub" xr:uid="{00000000-0004-0000-0000-0000DE000000}"/>
    <hyperlink ref="AQ91" r:id="rId224" xr:uid="{00000000-0004-0000-0000-0000DF000000}"/>
    <hyperlink ref="N93" r:id="rId225" xr:uid="{00000000-0004-0000-0000-0000E0000000}"/>
    <hyperlink ref="S93" r:id="rId226" xr:uid="{00000000-0004-0000-0000-0000E1000000}"/>
    <hyperlink ref="AD93" r:id="rId227" xr:uid="{00000000-0004-0000-0000-0000E2000000}"/>
    <hyperlink ref="AH93" r:id="rId228" xr:uid="{00000000-0004-0000-0000-0000E3000000}"/>
    <hyperlink ref="AJ93" r:id="rId229" xr:uid="{00000000-0004-0000-0000-0000E4000000}"/>
    <hyperlink ref="N94" r:id="rId230" xr:uid="{00000000-0004-0000-0000-0000E5000000}"/>
    <hyperlink ref="S94" r:id="rId231" xr:uid="{00000000-0004-0000-0000-0000E6000000}"/>
    <hyperlink ref="AB94" r:id="rId232" xr:uid="{00000000-0004-0000-0000-0000E7000000}"/>
    <hyperlink ref="AD94" r:id="rId233" xr:uid="{00000000-0004-0000-0000-0000E8000000}"/>
    <hyperlink ref="AH94" r:id="rId234" xr:uid="{00000000-0004-0000-0000-0000E9000000}"/>
    <hyperlink ref="AJ94" r:id="rId235" xr:uid="{00000000-0004-0000-0000-0000EA000000}"/>
    <hyperlink ref="AM94" r:id="rId236" location="prepub" xr:uid="{00000000-0004-0000-0000-0000EB000000}"/>
    <hyperlink ref="AQ94" r:id="rId237" xr:uid="{00000000-0004-0000-0000-0000EC000000}"/>
    <hyperlink ref="N96" r:id="rId238" xr:uid="{00000000-0004-0000-0000-0000ED000000}"/>
    <hyperlink ref="S96" r:id="rId239" xr:uid="{00000000-0004-0000-0000-0000EE000000}"/>
    <hyperlink ref="AD96" r:id="rId240" xr:uid="{00000000-0004-0000-0000-0000EF000000}"/>
    <hyperlink ref="AH96" r:id="rId241" xr:uid="{00000000-0004-0000-0000-0000F0000000}"/>
    <hyperlink ref="AJ96" r:id="rId242" xr:uid="{00000000-0004-0000-0000-0000F1000000}"/>
    <hyperlink ref="N97" r:id="rId243" xr:uid="{00000000-0004-0000-0000-0000F2000000}"/>
    <hyperlink ref="P97" r:id="rId244" location="becoming-reviewer" xr:uid="{00000000-0004-0000-0000-0000F3000000}"/>
    <hyperlink ref="S97" r:id="rId245" location="transfers" xr:uid="{00000000-0004-0000-0000-0000F4000000}"/>
    <hyperlink ref="AH97" r:id="rId246" location="prior-publication" xr:uid="{00000000-0004-0000-0000-0000F5000000}"/>
    <hyperlink ref="AQ97" r:id="rId247" location="%20journal-specific-guidelines" xr:uid="{00000000-0004-0000-0000-0000F6000000}"/>
    <hyperlink ref="N99" r:id="rId248" xr:uid="{00000000-0004-0000-0000-0000F7000000}"/>
    <hyperlink ref="P99" r:id="rId249" location="becoming-reviewer" xr:uid="{00000000-0004-0000-0000-0000F8000000}"/>
    <hyperlink ref="S99" r:id="rId250" location="transfers" xr:uid="{00000000-0004-0000-0000-0000F9000000}"/>
    <hyperlink ref="AH99" r:id="rId251" location="prior-publication" xr:uid="{00000000-0004-0000-0000-0000FA000000}"/>
    <hyperlink ref="N100" r:id="rId252" xr:uid="{00000000-0004-0000-0000-0000FB000000}"/>
    <hyperlink ref="S100" r:id="rId253" xr:uid="{00000000-0004-0000-0000-0000FC000000}"/>
    <hyperlink ref="AH100" r:id="rId254" xr:uid="{00000000-0004-0000-0000-0000FD000000}"/>
    <hyperlink ref="AQ100" r:id="rId255" xr:uid="{00000000-0004-0000-0000-0000FE000000}"/>
    <hyperlink ref="N102" r:id="rId256" xr:uid="{00000000-0004-0000-0000-0000FF000000}"/>
    <hyperlink ref="S102" r:id="rId257" xr:uid="{00000000-0004-0000-0000-000000010000}"/>
    <hyperlink ref="AH102" r:id="rId258" xr:uid="{00000000-0004-0000-0000-000001010000}"/>
    <hyperlink ref="N103" r:id="rId259" xr:uid="{00000000-0004-0000-0000-000002010000}"/>
    <hyperlink ref="P103" r:id="rId260" location="becoming-reviewer" xr:uid="{00000000-0004-0000-0000-000003010000}"/>
    <hyperlink ref="S103" r:id="rId261" location="transfers" xr:uid="{00000000-0004-0000-0000-000004010000}"/>
    <hyperlink ref="AH103" r:id="rId262" location="prior-publication" xr:uid="{00000000-0004-0000-0000-000005010000}"/>
    <hyperlink ref="AQ103" r:id="rId263" location="%20journal-specific-guidelines" xr:uid="{00000000-0004-0000-0000-000006010000}"/>
    <hyperlink ref="AD104" r:id="rId264" location="ethical-responsibilities" xr:uid="{00000000-0004-0000-0000-000007010000}"/>
    <hyperlink ref="N105" r:id="rId265" xr:uid="{00000000-0004-0000-0000-000008010000}"/>
    <hyperlink ref="P105" r:id="rId266" location="becoming-reviewer" xr:uid="{00000000-0004-0000-0000-000009010000}"/>
    <hyperlink ref="S105" r:id="rId267" location="transfers" xr:uid="{00000000-0004-0000-0000-00000A010000}"/>
    <hyperlink ref="AD105" r:id="rId268" location="ethical-responsibilities" xr:uid="{00000000-0004-0000-0000-00000B010000}"/>
    <hyperlink ref="AH105" r:id="rId269" location="prior-publication" xr:uid="{00000000-0004-0000-0000-00000C010000}"/>
    <hyperlink ref="N106" r:id="rId270" xr:uid="{00000000-0004-0000-0000-00000D010000}"/>
    <hyperlink ref="S106" r:id="rId271" xr:uid="{00000000-0004-0000-0000-00000E010000}"/>
    <hyperlink ref="AH106" r:id="rId272" xr:uid="{00000000-0004-0000-0000-00000F010000}"/>
    <hyperlink ref="AQ106" r:id="rId273" xr:uid="{00000000-0004-0000-0000-000010010000}"/>
    <hyperlink ref="N108" r:id="rId274" xr:uid="{00000000-0004-0000-0000-000011010000}"/>
    <hyperlink ref="S108" r:id="rId275" xr:uid="{00000000-0004-0000-0000-000012010000}"/>
    <hyperlink ref="AH108" r:id="rId276" xr:uid="{00000000-0004-0000-0000-000013010000}"/>
    <hyperlink ref="AQ108" r:id="rId277" xr:uid="{00000000-0004-0000-0000-000014010000}"/>
    <hyperlink ref="N109" r:id="rId278" xr:uid="{00000000-0004-0000-0000-000015010000}"/>
    <hyperlink ref="AH109" r:id="rId279" xr:uid="{00000000-0004-0000-0000-000016010000}"/>
    <hyperlink ref="AQ109" r:id="rId280" xr:uid="{00000000-0004-0000-0000-000017010000}"/>
    <hyperlink ref="AD110" r:id="rId281" xr:uid="{00000000-0004-0000-0000-000018010000}"/>
    <hyperlink ref="N111" r:id="rId282" xr:uid="{00000000-0004-0000-0000-000019010000}"/>
    <hyperlink ref="AH111" r:id="rId283" xr:uid="{00000000-0004-0000-0000-00001A010000}"/>
    <hyperlink ref="AQ111" r:id="rId284" xr:uid="{00000000-0004-0000-0000-00001B010000}"/>
    <hyperlink ref="N112" r:id="rId285" xr:uid="{00000000-0004-0000-0000-00001C010000}"/>
    <hyperlink ref="AH112" r:id="rId286" xr:uid="{00000000-0004-0000-0000-00001D010000}"/>
    <hyperlink ref="AQ112" r:id="rId287" xr:uid="{00000000-0004-0000-0000-00001E010000}"/>
    <hyperlink ref="AD113" r:id="rId288" xr:uid="{00000000-0004-0000-0000-00001F010000}"/>
    <hyperlink ref="N114" r:id="rId289" xr:uid="{00000000-0004-0000-0000-000020010000}"/>
    <hyperlink ref="AD114" r:id="rId290" xr:uid="{00000000-0004-0000-0000-000021010000}"/>
    <hyperlink ref="AH114" r:id="rId291" xr:uid="{00000000-0004-0000-0000-000022010000}"/>
    <hyperlink ref="AQ114" r:id="rId292" xr:uid="{00000000-0004-0000-0000-000023010000}"/>
    <hyperlink ref="N115" r:id="rId293" location="peerrev" xr:uid="{00000000-0004-0000-0000-000024010000}"/>
    <hyperlink ref="P115" r:id="rId294" xr:uid="{00000000-0004-0000-0000-000025010000}"/>
    <hyperlink ref="S115" r:id="rId295" xr:uid="{00000000-0004-0000-0000-000026010000}"/>
    <hyperlink ref="AH115" r:id="rId296" xr:uid="{00000000-0004-0000-0000-000027010000}"/>
    <hyperlink ref="AQ115" r:id="rId297" xr:uid="{00000000-0004-0000-0000-000028010000}"/>
    <hyperlink ref="AD116" r:id="rId298" xr:uid="{00000000-0004-0000-0000-000029010000}"/>
    <hyperlink ref="N117" r:id="rId299" location="peerrev" xr:uid="{00000000-0004-0000-0000-00002A010000}"/>
    <hyperlink ref="P117" r:id="rId300" xr:uid="{00000000-0004-0000-0000-00002B010000}"/>
    <hyperlink ref="S117" r:id="rId301" xr:uid="{00000000-0004-0000-0000-00002C010000}"/>
    <hyperlink ref="AD117" r:id="rId302" xr:uid="{00000000-0004-0000-0000-00002D010000}"/>
    <hyperlink ref="AH117" r:id="rId303" xr:uid="{00000000-0004-0000-0000-00002E010000}"/>
    <hyperlink ref="AQ117" r:id="rId304" xr:uid="{00000000-0004-0000-0000-00002F010000}"/>
    <hyperlink ref="N118" r:id="rId305" xr:uid="{00000000-0004-0000-0000-000030010000}"/>
    <hyperlink ref="P118" r:id="rId306" location="recognizing" xr:uid="{00000000-0004-0000-0000-000031010000}"/>
    <hyperlink ref="R118" r:id="rId307" xr:uid="{00000000-0004-0000-0000-000032010000}"/>
    <hyperlink ref="S118" r:id="rId308" xr:uid="{00000000-0004-0000-0000-000033010000}"/>
    <hyperlink ref="AH118" r:id="rId309" xr:uid="{00000000-0004-0000-0000-000034010000}"/>
    <hyperlink ref="AQ118" r:id="rId310" xr:uid="{00000000-0004-0000-0000-000035010000}"/>
    <hyperlink ref="N119" r:id="rId311" xr:uid="{00000000-0004-0000-0000-000036010000}"/>
    <hyperlink ref="AH119" r:id="rId312" xr:uid="{00000000-0004-0000-0000-000037010000}"/>
    <hyperlink ref="N120" r:id="rId313" xr:uid="{00000000-0004-0000-0000-000038010000}"/>
    <hyperlink ref="P120" r:id="rId314" location="recognizing" xr:uid="{00000000-0004-0000-0000-000039010000}"/>
    <hyperlink ref="R120" r:id="rId315" xr:uid="{00000000-0004-0000-0000-00003A010000}"/>
    <hyperlink ref="S120" r:id="rId316" xr:uid="{00000000-0004-0000-0000-00003B010000}"/>
    <hyperlink ref="AH120" r:id="rId317" xr:uid="{00000000-0004-0000-0000-00003C010000}"/>
    <hyperlink ref="AQ120" r:id="rId318" xr:uid="{00000000-0004-0000-0000-00003D010000}"/>
    <hyperlink ref="N121" r:id="rId319" location="peerreview" xr:uid="{00000000-0004-0000-0000-00003E010000}"/>
    <hyperlink ref="P121" r:id="rId320" xr:uid="{00000000-0004-0000-0000-00003F010000}"/>
    <hyperlink ref="AH121" r:id="rId321" location="originality" xr:uid="{00000000-0004-0000-0000-000040010000}"/>
    <hyperlink ref="AM121" r:id="rId322" xr:uid="{00000000-0004-0000-0000-000041010000}"/>
    <hyperlink ref="AD122" r:id="rId323" xr:uid="{00000000-0004-0000-0000-000042010000}"/>
    <hyperlink ref="N123" r:id="rId324" location="peerreview" xr:uid="{00000000-0004-0000-0000-000043010000}"/>
    <hyperlink ref="P123" r:id="rId325" xr:uid="{00000000-0004-0000-0000-000044010000}"/>
    <hyperlink ref="AD123" r:id="rId326" xr:uid="{00000000-0004-0000-0000-000045010000}"/>
    <hyperlink ref="AH123" r:id="rId327" location="originality" xr:uid="{00000000-0004-0000-0000-000046010000}"/>
    <hyperlink ref="AM123" r:id="rId328" xr:uid="{00000000-0004-0000-0000-000047010000}"/>
    <hyperlink ref="N124" r:id="rId329" xr:uid="{00000000-0004-0000-0000-000048010000}"/>
    <hyperlink ref="AQ124" r:id="rId330" xr:uid="{00000000-0004-0000-0000-000049010000}"/>
    <hyperlink ref="N125" r:id="rId331" xr:uid="{00000000-0004-0000-0000-00004A010000}"/>
    <hyperlink ref="N126" r:id="rId332" location="Peer_review" xr:uid="{00000000-0004-0000-0000-00004B010000}"/>
    <hyperlink ref="AQ126" r:id="rId333" xr:uid="{00000000-0004-0000-0000-00004C010000}"/>
    <hyperlink ref="N127" r:id="rId334" xr:uid="{00000000-0004-0000-0000-00004D010000}"/>
    <hyperlink ref="S127" r:id="rId335" location="sharing" xr:uid="{00000000-0004-0000-0000-00004E010000}"/>
    <hyperlink ref="AH127" r:id="rId336" location="priorpublication" xr:uid="{00000000-0004-0000-0000-00004F010000}"/>
    <hyperlink ref="AQ127" r:id="rId337" xr:uid="{00000000-0004-0000-0000-000050010000}"/>
    <hyperlink ref="N129" r:id="rId338" location="reviewprocess" xr:uid="{00000000-0004-0000-0000-000051010000}"/>
    <hyperlink ref="S129" r:id="rId339" location="sharing" xr:uid="{00000000-0004-0000-0000-000052010000}"/>
    <hyperlink ref="AH129" r:id="rId340" location="priorpublication" xr:uid="{00000000-0004-0000-0000-000053010000}"/>
    <hyperlink ref="N130" r:id="rId341" location="review-procedure" xr:uid="{00000000-0004-0000-0000-000054010000}"/>
    <hyperlink ref="S130" r:id="rId342" location="submissions" xr:uid="{00000000-0004-0000-0000-000055010000}"/>
    <hyperlink ref="AH130" r:id="rId343" xr:uid="{00000000-0004-0000-0000-000056010000}"/>
    <hyperlink ref="N132" r:id="rId344" location="review-procedure" xr:uid="{00000000-0004-0000-0000-000057010000}"/>
    <hyperlink ref="S132" r:id="rId345" location="transfers" xr:uid="{00000000-0004-0000-0000-000058010000}"/>
    <hyperlink ref="AH132" r:id="rId346" location="prior-publication" xr:uid="{00000000-0004-0000-0000-000059010000}"/>
    <hyperlink ref="N133" r:id="rId347" xr:uid="{00000000-0004-0000-0000-00005A010000}"/>
    <hyperlink ref="S133" r:id="rId348" xr:uid="{00000000-0004-0000-0000-00005B010000}"/>
    <hyperlink ref="AH133" r:id="rId349" xr:uid="{00000000-0004-0000-0000-00005C010000}"/>
    <hyperlink ref="N135" r:id="rId350" xr:uid="{00000000-0004-0000-0000-00005D010000}"/>
    <hyperlink ref="S135" r:id="rId351" xr:uid="{00000000-0004-0000-0000-00005E010000}"/>
    <hyperlink ref="AH135" r:id="rId352" xr:uid="{00000000-0004-0000-0000-00005F010000}"/>
    <hyperlink ref="N136" r:id="rId353" location="3.1" xr:uid="{00000000-0004-0000-0000-000060010000}"/>
    <hyperlink ref="S136" r:id="rId354" xr:uid="{00000000-0004-0000-0000-000061010000}"/>
    <hyperlink ref="AH136" r:id="rId355" xr:uid="{00000000-0004-0000-0000-000062010000}"/>
    <hyperlink ref="N138" r:id="rId356" location="3.1" xr:uid="{00000000-0004-0000-0000-000063010000}"/>
    <hyperlink ref="S138" r:id="rId357" xr:uid="{00000000-0004-0000-0000-000064010000}"/>
    <hyperlink ref="AH138" r:id="rId358" xr:uid="{00000000-0004-0000-0000-000065010000}"/>
    <hyperlink ref="N139" r:id="rId359" xr:uid="{00000000-0004-0000-0000-000066010000}"/>
    <hyperlink ref="P139" r:id="rId360" location="RRP" xr:uid="{00000000-0004-0000-0000-000067010000}"/>
    <hyperlink ref="S139" r:id="rId361" xr:uid="{00000000-0004-0000-0000-000068010000}"/>
    <hyperlink ref="N141" r:id="rId362" xr:uid="{00000000-0004-0000-0000-000069010000}"/>
    <hyperlink ref="P141" r:id="rId363" location="RRP" xr:uid="{00000000-0004-0000-0000-00006A010000}"/>
    <hyperlink ref="S141" r:id="rId364" xr:uid="{00000000-0004-0000-0000-00006B010000}"/>
    <hyperlink ref="N142" r:id="rId365" xr:uid="{00000000-0004-0000-0000-00006C010000}"/>
    <hyperlink ref="P142" r:id="rId366" xr:uid="{00000000-0004-0000-0000-00006D010000}"/>
    <hyperlink ref="S142" r:id="rId367" xr:uid="{00000000-0004-0000-0000-00006E010000}"/>
    <hyperlink ref="AD142" r:id="rId368" xr:uid="{00000000-0004-0000-0000-00006F010000}"/>
    <hyperlink ref="AH142" r:id="rId369" xr:uid="{00000000-0004-0000-0000-000070010000}"/>
    <hyperlink ref="N144" r:id="rId370" xr:uid="{00000000-0004-0000-0000-000071010000}"/>
    <hyperlink ref="P144" r:id="rId371" xr:uid="{00000000-0004-0000-0000-000072010000}"/>
    <hyperlink ref="S144" r:id="rId372" xr:uid="{00000000-0004-0000-0000-000073010000}"/>
    <hyperlink ref="AD144" r:id="rId373" xr:uid="{00000000-0004-0000-0000-000074010000}"/>
    <hyperlink ref="AH144" r:id="rId374" xr:uid="{00000000-0004-0000-0000-000075010000}"/>
    <hyperlink ref="N145" r:id="rId375" location="submission-guidelines" xr:uid="{00000000-0004-0000-0000-000076010000}"/>
    <hyperlink ref="P145" r:id="rId376" xr:uid="{00000000-0004-0000-0000-000077010000}"/>
    <hyperlink ref="AH145" r:id="rId377" xr:uid="{00000000-0004-0000-0000-000078010000}"/>
    <hyperlink ref="N147" r:id="rId378" location="submission-guidelines" xr:uid="{00000000-0004-0000-0000-000079010000}"/>
    <hyperlink ref="P147" r:id="rId379" xr:uid="{00000000-0004-0000-0000-00007A010000}"/>
    <hyperlink ref="AH147" r:id="rId380" xr:uid="{00000000-0004-0000-0000-00007B010000}"/>
    <hyperlink ref="N148" r:id="rId381" xr:uid="{00000000-0004-0000-0000-00007C010000}"/>
    <hyperlink ref="P148" r:id="rId382" xr:uid="{00000000-0004-0000-0000-00007D010000}"/>
    <hyperlink ref="AD148" r:id="rId383" xr:uid="{00000000-0004-0000-0000-00007E010000}"/>
    <hyperlink ref="AH148" r:id="rId384" xr:uid="{00000000-0004-0000-0000-00007F010000}"/>
    <hyperlink ref="N150" r:id="rId385" xr:uid="{00000000-0004-0000-0000-000080010000}"/>
    <hyperlink ref="P150" r:id="rId386" xr:uid="{00000000-0004-0000-0000-000081010000}"/>
    <hyperlink ref="AD150" r:id="rId387" xr:uid="{00000000-0004-0000-0000-000082010000}"/>
    <hyperlink ref="AH150" r:id="rId388" xr:uid="{00000000-0004-0000-0000-000083010000}"/>
    <hyperlink ref="P151" r:id="rId389" location="recognizing" xr:uid="{00000000-0004-0000-0000-000084010000}"/>
    <hyperlink ref="S151" r:id="rId390" xr:uid="{00000000-0004-0000-0000-000085010000}"/>
    <hyperlink ref="AD151" r:id="rId391" xr:uid="{00000000-0004-0000-0000-000086010000}"/>
    <hyperlink ref="AH151" r:id="rId392" xr:uid="{00000000-0004-0000-0000-000087010000}"/>
    <hyperlink ref="P153" r:id="rId393" location="recognizing" xr:uid="{00000000-0004-0000-0000-000088010000}"/>
    <hyperlink ref="S153" r:id="rId394" xr:uid="{00000000-0004-0000-0000-000089010000}"/>
    <hyperlink ref="AD153" r:id="rId395" xr:uid="{00000000-0004-0000-0000-00008A010000}"/>
    <hyperlink ref="AH153" r:id="rId396" xr:uid="{00000000-0004-0000-0000-00008B010000}"/>
    <hyperlink ref="N154" r:id="rId397" location="16000" xr:uid="{00000000-0004-0000-0000-00008C010000}"/>
    <hyperlink ref="S154" r:id="rId398" xr:uid="{00000000-0004-0000-0000-00008D010000}"/>
    <hyperlink ref="AH154" r:id="rId399" xr:uid="{00000000-0004-0000-0000-00008E010000}"/>
    <hyperlink ref="N156" r:id="rId400" xr:uid="{00000000-0004-0000-0000-00008F010000}"/>
    <hyperlink ref="S156" r:id="rId401" xr:uid="{00000000-0004-0000-0000-000090010000}"/>
    <hyperlink ref="AD156" r:id="rId402" xr:uid="{00000000-0004-0000-0000-000091010000}"/>
    <hyperlink ref="AH156" r:id="rId403" xr:uid="{00000000-0004-0000-0000-000092010000}"/>
    <hyperlink ref="N157" r:id="rId404" xr:uid="{00000000-0004-0000-0000-000093010000}"/>
    <hyperlink ref="S157" r:id="rId405" location="manuscript_transfer" xr:uid="{00000000-0004-0000-0000-000094010000}"/>
    <hyperlink ref="AH157" r:id="rId406" xr:uid="{00000000-0004-0000-0000-000095010000}"/>
    <hyperlink ref="N159" r:id="rId407" xr:uid="{00000000-0004-0000-0000-000096010000}"/>
    <hyperlink ref="S159" r:id="rId408" location="manuscript_transfer" xr:uid="{00000000-0004-0000-0000-000097010000}"/>
    <hyperlink ref="AD159" r:id="rId409" xr:uid="{00000000-0004-0000-0000-000098010000}"/>
    <hyperlink ref="AH159" r:id="rId410" xr:uid="{00000000-0004-0000-0000-000099010000}"/>
    <hyperlink ref="N160" r:id="rId411" xr:uid="{00000000-0004-0000-0000-00009A010000}"/>
    <hyperlink ref="P160" r:id="rId412" xr:uid="{00000000-0004-0000-0000-00009B010000}"/>
    <hyperlink ref="S160" r:id="rId413" xr:uid="{00000000-0004-0000-0000-00009C010000}"/>
    <hyperlink ref="AD160" r:id="rId414" xr:uid="{00000000-0004-0000-0000-00009D010000}"/>
    <hyperlink ref="AH160" r:id="rId415" location="embargopolicy" xr:uid="{00000000-0004-0000-0000-00009E010000}"/>
    <hyperlink ref="N162" r:id="rId416" xr:uid="{00000000-0004-0000-0000-00009F010000}"/>
    <hyperlink ref="P162" r:id="rId417" xr:uid="{00000000-0004-0000-0000-0000A0010000}"/>
    <hyperlink ref="AD162" r:id="rId418" xr:uid="{00000000-0004-0000-0000-0000A1010000}"/>
    <hyperlink ref="AH162" r:id="rId419" xr:uid="{00000000-0004-0000-0000-0000A2010000}"/>
    <hyperlink ref="N163" r:id="rId420" xr:uid="{00000000-0004-0000-0000-0000A3010000}"/>
    <hyperlink ref="AH163" r:id="rId421" xr:uid="{00000000-0004-0000-0000-0000A4010000}"/>
    <hyperlink ref="N165" r:id="rId422" xr:uid="{00000000-0004-0000-0000-0000A5010000}"/>
    <hyperlink ref="AH165" r:id="rId423" xr:uid="{00000000-0004-0000-0000-0000A6010000}"/>
    <hyperlink ref="N166" r:id="rId424" xr:uid="{00000000-0004-0000-0000-0000A7010000}"/>
    <hyperlink ref="AH166" r:id="rId425" xr:uid="{00000000-0004-0000-0000-0000A8010000}"/>
    <hyperlink ref="AH167" r:id="rId426" xr:uid="{00000000-0004-0000-0000-0000A9010000}"/>
    <hyperlink ref="N168" r:id="rId427" xr:uid="{00000000-0004-0000-0000-0000AA010000}"/>
    <hyperlink ref="AH168" r:id="rId428" xr:uid="{00000000-0004-0000-0000-0000AB010000}"/>
    <hyperlink ref="N169" r:id="rId429" xr:uid="{00000000-0004-0000-0000-0000AC010000}"/>
    <hyperlink ref="AH169" r:id="rId430" xr:uid="{00000000-0004-0000-0000-0000AD010000}"/>
    <hyperlink ref="AH170" r:id="rId431" xr:uid="{00000000-0004-0000-0000-0000AE010000}"/>
    <hyperlink ref="N171" r:id="rId432" xr:uid="{00000000-0004-0000-0000-0000AF010000}"/>
    <hyperlink ref="AH171" r:id="rId433" xr:uid="{00000000-0004-0000-0000-0000B0010000}"/>
    <hyperlink ref="N173" r:id="rId434" xr:uid="{00000000-0004-0000-0000-0000B1010000}"/>
    <hyperlink ref="AH173" r:id="rId435" xr:uid="{00000000-0004-0000-0000-0000B2010000}"/>
    <hyperlink ref="N174" r:id="rId436" xr:uid="{00000000-0004-0000-0000-0000B3010000}"/>
    <hyperlink ref="AD174" r:id="rId437" xr:uid="{00000000-0004-0000-0000-0000B4010000}"/>
    <hyperlink ref="AH174" r:id="rId438" xr:uid="{00000000-0004-0000-0000-0000B5010000}"/>
    <hyperlink ref="N176" r:id="rId439" xr:uid="{00000000-0004-0000-0000-0000B6010000}"/>
    <hyperlink ref="AD176" r:id="rId440" xr:uid="{00000000-0004-0000-0000-0000B7010000}"/>
    <hyperlink ref="AH176" r:id="rId441" xr:uid="{00000000-0004-0000-0000-0000B8010000}"/>
    <hyperlink ref="N177" r:id="rId442" xr:uid="{00000000-0004-0000-0000-0000B9010000}"/>
    <hyperlink ref="AD177" r:id="rId443" xr:uid="{00000000-0004-0000-0000-0000BA010000}"/>
    <hyperlink ref="AH177" r:id="rId444" xr:uid="{00000000-0004-0000-0000-0000BB010000}"/>
    <hyperlink ref="N178" r:id="rId445" xr:uid="{00000000-0004-0000-0000-0000BC010000}"/>
    <hyperlink ref="AH178" r:id="rId446" xr:uid="{00000000-0004-0000-0000-0000BD010000}"/>
    <hyperlink ref="N180" r:id="rId447" xr:uid="{00000000-0004-0000-0000-0000BE010000}"/>
    <hyperlink ref="AH180" r:id="rId448" xr:uid="{00000000-0004-0000-0000-0000BF010000}"/>
    <hyperlink ref="N181" r:id="rId449" xr:uid="{00000000-0004-0000-0000-0000C0010000}"/>
    <hyperlink ref="AH181" r:id="rId450" xr:uid="{00000000-0004-0000-0000-0000C1010000}"/>
    <hyperlink ref="N183" r:id="rId451" xr:uid="{00000000-0004-0000-0000-0000C2010000}"/>
    <hyperlink ref="AH183" r:id="rId452" xr:uid="{00000000-0004-0000-0000-0000C3010000}"/>
    <hyperlink ref="N184" r:id="rId453" xr:uid="{00000000-0004-0000-0000-0000C4010000}"/>
    <hyperlink ref="AH184" r:id="rId454" xr:uid="{00000000-0004-0000-0000-0000C5010000}"/>
    <hyperlink ref="N186" r:id="rId455" xr:uid="{00000000-0004-0000-0000-0000C6010000}"/>
    <hyperlink ref="AH186" r:id="rId456" xr:uid="{00000000-0004-0000-0000-0000C7010000}"/>
    <hyperlink ref="N187" r:id="rId457" xr:uid="{00000000-0004-0000-0000-0000C8010000}"/>
    <hyperlink ref="AH187" r:id="rId458" xr:uid="{00000000-0004-0000-0000-0000C9010000}"/>
    <hyperlink ref="N188" r:id="rId459" xr:uid="{00000000-0004-0000-0000-0000CA010000}"/>
    <hyperlink ref="N189" r:id="rId460" xr:uid="{00000000-0004-0000-0000-0000CB010000}"/>
    <hyperlink ref="AH189" r:id="rId461" xr:uid="{00000000-0004-0000-0000-0000CC010000}"/>
    <hyperlink ref="N190" r:id="rId462" xr:uid="{00000000-0004-0000-0000-0000CD010000}"/>
    <hyperlink ref="AH190" r:id="rId463" xr:uid="{00000000-0004-0000-0000-0000CE010000}"/>
    <hyperlink ref="N191" r:id="rId464" xr:uid="{00000000-0004-0000-0000-0000CF010000}"/>
    <hyperlink ref="AD191" r:id="rId465" xr:uid="{00000000-0004-0000-0000-0000D0010000}"/>
    <hyperlink ref="N192" r:id="rId466" xr:uid="{00000000-0004-0000-0000-0000D1010000}"/>
    <hyperlink ref="AD192" r:id="rId467" xr:uid="{00000000-0004-0000-0000-0000D2010000}"/>
    <hyperlink ref="AH192" r:id="rId468" xr:uid="{00000000-0004-0000-0000-0000D3010000}"/>
    <hyperlink ref="N193" r:id="rId469" xr:uid="{00000000-0004-0000-0000-0000D4010000}"/>
    <hyperlink ref="R193" r:id="rId470" xr:uid="{00000000-0004-0000-0000-0000D5010000}"/>
    <hyperlink ref="S193" r:id="rId471" xr:uid="{00000000-0004-0000-0000-0000D6010000}"/>
    <hyperlink ref="AH193" r:id="rId472" xr:uid="{00000000-0004-0000-0000-0000D7010000}"/>
    <hyperlink ref="N194" r:id="rId473" xr:uid="{00000000-0004-0000-0000-0000D8010000}"/>
    <hyperlink ref="N195" r:id="rId474" xr:uid="{00000000-0004-0000-0000-0000D9010000}"/>
    <hyperlink ref="R195" r:id="rId475" xr:uid="{00000000-0004-0000-0000-0000DA010000}"/>
    <hyperlink ref="AH195" r:id="rId476" xr:uid="{00000000-0004-0000-0000-0000DB010000}"/>
    <hyperlink ref="N199" r:id="rId477" xr:uid="{00000000-0004-0000-0000-0000DC010000}"/>
    <hyperlink ref="P199" r:id="rId478" location="RRP" xr:uid="{00000000-0004-0000-0000-0000DD010000}"/>
    <hyperlink ref="S199" r:id="rId479" xr:uid="{00000000-0004-0000-0000-0000DE010000}"/>
    <hyperlink ref="AD199" r:id="rId480" xr:uid="{00000000-0004-0000-0000-0000DF010000}"/>
    <hyperlink ref="AH199" r:id="rId481" xr:uid="{00000000-0004-0000-0000-0000E0010000}"/>
    <hyperlink ref="AH200" r:id="rId482" xr:uid="{00000000-0004-0000-0000-0000E1010000}"/>
    <hyperlink ref="N201" r:id="rId483" xr:uid="{00000000-0004-0000-0000-0000E2010000}"/>
    <hyperlink ref="P201" r:id="rId484" location="RRP" xr:uid="{00000000-0004-0000-0000-0000E3010000}"/>
    <hyperlink ref="S201" r:id="rId485" xr:uid="{00000000-0004-0000-0000-0000E4010000}"/>
    <hyperlink ref="AD201" r:id="rId486" xr:uid="{00000000-0004-0000-0000-0000E5010000}"/>
    <hyperlink ref="AH201" r:id="rId487" xr:uid="{00000000-0004-0000-0000-0000E6010000}"/>
    <hyperlink ref="N202" r:id="rId488" xr:uid="{00000000-0004-0000-0000-0000E7010000}"/>
    <hyperlink ref="S202" r:id="rId489" xr:uid="{00000000-0004-0000-0000-0000E8010000}"/>
    <hyperlink ref="AH202" r:id="rId490" location="SecPreviousorPlannedPresentationorReleaseofInformation" xr:uid="{00000000-0004-0000-0000-0000E9010000}"/>
    <hyperlink ref="N204" r:id="rId491" xr:uid="{00000000-0004-0000-0000-0000EA010000}"/>
    <hyperlink ref="S204" r:id="rId492" xr:uid="{00000000-0004-0000-0000-0000EB010000}"/>
    <hyperlink ref="AH204" r:id="rId493" location="SecPreviousorPlannedPresentationorReleaseofInformation" xr:uid="{00000000-0004-0000-0000-0000EC010000}"/>
    <hyperlink ref="N205" r:id="rId494" xr:uid="{00000000-0004-0000-0000-0000ED010000}"/>
    <hyperlink ref="S205" r:id="rId495" xr:uid="{00000000-0004-0000-0000-0000EE010000}"/>
    <hyperlink ref="AH205" r:id="rId496" xr:uid="{00000000-0004-0000-0000-0000EF010000}"/>
    <hyperlink ref="AH206" r:id="rId497" xr:uid="{00000000-0004-0000-0000-0000F0010000}"/>
    <hyperlink ref="N207" r:id="rId498" xr:uid="{00000000-0004-0000-0000-0000F1010000}"/>
    <hyperlink ref="S207" r:id="rId499" xr:uid="{00000000-0004-0000-0000-0000F2010000}"/>
    <hyperlink ref="AH207" r:id="rId500" xr:uid="{00000000-0004-0000-0000-0000F3010000}"/>
    <hyperlink ref="N208" r:id="rId501" xr:uid="{00000000-0004-0000-0000-0000F4010000}"/>
    <hyperlink ref="P208" r:id="rId502" location="RRP" xr:uid="{00000000-0004-0000-0000-0000F5010000}"/>
    <hyperlink ref="S208" r:id="rId503" xr:uid="{00000000-0004-0000-0000-0000F6010000}"/>
    <hyperlink ref="AD208" r:id="rId504" xr:uid="{00000000-0004-0000-0000-0000F7010000}"/>
    <hyperlink ref="AH208" r:id="rId505" xr:uid="{00000000-0004-0000-0000-0000F8010000}"/>
    <hyperlink ref="AH209" r:id="rId506" xr:uid="{00000000-0004-0000-0000-0000F9010000}"/>
    <hyperlink ref="N210" r:id="rId507" xr:uid="{00000000-0004-0000-0000-0000FA010000}"/>
    <hyperlink ref="P210" r:id="rId508" location="RRP" xr:uid="{00000000-0004-0000-0000-0000FB010000}"/>
    <hyperlink ref="S210" r:id="rId509" xr:uid="{00000000-0004-0000-0000-0000FC010000}"/>
    <hyperlink ref="AD210" r:id="rId510" xr:uid="{00000000-0004-0000-0000-0000FD010000}"/>
    <hyperlink ref="AH210" r:id="rId511" xr:uid="{00000000-0004-0000-0000-0000FE010000}"/>
    <hyperlink ref="N211" r:id="rId512" xr:uid="{00000000-0004-0000-0000-0000FF010000}"/>
    <hyperlink ref="P211" r:id="rId513" xr:uid="{00000000-0004-0000-0000-000000020000}"/>
    <hyperlink ref="N213" r:id="rId514" xr:uid="{00000000-0004-0000-0000-000001020000}"/>
    <hyperlink ref="P213" r:id="rId515" xr:uid="{00000000-0004-0000-0000-000002020000}"/>
    <hyperlink ref="N214" r:id="rId516" xr:uid="{00000000-0004-0000-0000-000003020000}"/>
    <hyperlink ref="P214" r:id="rId517" location="recognizing" xr:uid="{00000000-0004-0000-0000-000004020000}"/>
    <hyperlink ref="S214" r:id="rId518" xr:uid="{00000000-0004-0000-0000-000005020000}"/>
    <hyperlink ref="AD214" r:id="rId519" xr:uid="{00000000-0004-0000-0000-000006020000}"/>
    <hyperlink ref="AH214" r:id="rId520" xr:uid="{00000000-0004-0000-0000-000007020000}"/>
    <hyperlink ref="AH215" r:id="rId521" xr:uid="{00000000-0004-0000-0000-000008020000}"/>
    <hyperlink ref="N216" r:id="rId522" xr:uid="{00000000-0004-0000-0000-000009020000}"/>
    <hyperlink ref="P216" r:id="rId523" location="recognizing" xr:uid="{00000000-0004-0000-0000-00000A020000}"/>
    <hyperlink ref="S216" r:id="rId524" xr:uid="{00000000-0004-0000-0000-00000B020000}"/>
    <hyperlink ref="AD216" r:id="rId525" xr:uid="{00000000-0004-0000-0000-00000C020000}"/>
    <hyperlink ref="AH216" r:id="rId526" xr:uid="{00000000-0004-0000-0000-00000D020000}"/>
    <hyperlink ref="N217" r:id="rId527" xr:uid="{00000000-0004-0000-0000-00000E020000}"/>
    <hyperlink ref="P217" r:id="rId528" location="RRP" xr:uid="{00000000-0004-0000-0000-00000F020000}"/>
    <hyperlink ref="S217" r:id="rId529" xr:uid="{00000000-0004-0000-0000-000010020000}"/>
    <hyperlink ref="AD217" r:id="rId530" xr:uid="{00000000-0004-0000-0000-000011020000}"/>
    <hyperlink ref="AH217" r:id="rId531" xr:uid="{00000000-0004-0000-0000-000012020000}"/>
    <hyperlink ref="AH218" r:id="rId532" xr:uid="{00000000-0004-0000-0000-000013020000}"/>
    <hyperlink ref="N219" r:id="rId533" xr:uid="{00000000-0004-0000-0000-000014020000}"/>
    <hyperlink ref="P219" r:id="rId534" location="RRP" xr:uid="{00000000-0004-0000-0000-000015020000}"/>
    <hyperlink ref="S219" r:id="rId535" xr:uid="{00000000-0004-0000-0000-000016020000}"/>
    <hyperlink ref="AD219" r:id="rId536" xr:uid="{00000000-0004-0000-0000-000017020000}"/>
    <hyperlink ref="AH219" r:id="rId537" xr:uid="{00000000-0004-0000-0000-000018020000}"/>
    <hyperlink ref="N220" r:id="rId538" xr:uid="{00000000-0004-0000-0000-000019020000}"/>
    <hyperlink ref="P220" r:id="rId539" xr:uid="{00000000-0004-0000-0000-00001A020000}"/>
    <hyperlink ref="AH220" r:id="rId540" xr:uid="{00000000-0004-0000-0000-00001B020000}"/>
    <hyperlink ref="N222" r:id="rId541" xr:uid="{00000000-0004-0000-0000-00001C020000}"/>
    <hyperlink ref="P222" r:id="rId542" xr:uid="{00000000-0004-0000-0000-00001D020000}"/>
    <hyperlink ref="AH222" r:id="rId543" xr:uid="{00000000-0004-0000-0000-00001E020000}"/>
    <hyperlink ref="N223" r:id="rId544" xr:uid="{00000000-0004-0000-0000-00001F020000}"/>
    <hyperlink ref="S223" r:id="rId545" xr:uid="{00000000-0004-0000-0000-000020020000}"/>
    <hyperlink ref="N224" r:id="rId546" location="Peer%20review" xr:uid="{00000000-0004-0000-0000-000021020000}"/>
    <hyperlink ref="AH224" r:id="rId547" xr:uid="{00000000-0004-0000-0000-000022020000}"/>
    <hyperlink ref="N225" r:id="rId548" location="Peer%20review" xr:uid="{00000000-0004-0000-0000-000023020000}"/>
    <hyperlink ref="AH225" r:id="rId549" xr:uid="{00000000-0004-0000-0000-000024020000}"/>
    <hyperlink ref="N226" r:id="rId550" xr:uid="{00000000-0004-0000-0000-000025020000}"/>
    <hyperlink ref="S226" r:id="rId551" xr:uid="{00000000-0004-0000-0000-000026020000}"/>
    <hyperlink ref="AH226" r:id="rId552" xr:uid="{00000000-0004-0000-0000-000027020000}"/>
    <hyperlink ref="P227" r:id="rId553" xr:uid="{00000000-0004-0000-0000-000028020000}"/>
    <hyperlink ref="N228" r:id="rId554" xr:uid="{00000000-0004-0000-0000-000029020000}"/>
    <hyperlink ref="P228" r:id="rId555" xr:uid="{00000000-0004-0000-0000-00002A020000}"/>
    <hyperlink ref="S228" r:id="rId556" xr:uid="{00000000-0004-0000-0000-00002B020000}"/>
    <hyperlink ref="AD228" r:id="rId557" xr:uid="{00000000-0004-0000-0000-00002C020000}"/>
    <hyperlink ref="AH228" r:id="rId558" xr:uid="{00000000-0004-0000-0000-00002D020000}"/>
    <hyperlink ref="N229" r:id="rId559" xr:uid="{00000000-0004-0000-0000-00002E020000}"/>
    <hyperlink ref="N231" r:id="rId560" xr:uid="{00000000-0004-0000-0000-00002F020000}"/>
    <hyperlink ref="P232" r:id="rId561" location="RRP" xr:uid="{00000000-0004-0000-0000-000030020000}"/>
    <hyperlink ref="AD232" r:id="rId562" xr:uid="{00000000-0004-0000-0000-000031020000}"/>
    <hyperlink ref="AH232" r:id="rId563" xr:uid="{00000000-0004-0000-0000-000032020000}"/>
    <hyperlink ref="AD234" r:id="rId564" xr:uid="{00000000-0004-0000-0000-000033020000}"/>
    <hyperlink ref="AH234" r:id="rId565" xr:uid="{00000000-0004-0000-0000-000034020000}"/>
    <hyperlink ref="S235" r:id="rId566" xr:uid="{00000000-0004-0000-0000-000035020000}"/>
    <hyperlink ref="S237" r:id="rId567" xr:uid="{00000000-0004-0000-0000-000036020000}"/>
    <hyperlink ref="N238" r:id="rId568" xr:uid="{00000000-0004-0000-0000-000037020000}"/>
    <hyperlink ref="O238" r:id="rId569" xr:uid="{00000000-0004-0000-0000-000038020000}"/>
    <hyperlink ref="P238" r:id="rId570" xr:uid="{00000000-0004-0000-0000-000039020000}"/>
    <hyperlink ref="N240" r:id="rId571" xr:uid="{00000000-0004-0000-0000-00003A020000}"/>
    <hyperlink ref="O240" r:id="rId572" xr:uid="{00000000-0004-0000-0000-00003B020000}"/>
    <hyperlink ref="P240" r:id="rId573" xr:uid="{00000000-0004-0000-0000-00003C020000}"/>
    <hyperlink ref="P241" r:id="rId574" location="recognizing" xr:uid="{00000000-0004-0000-0000-00003D020000}"/>
    <hyperlink ref="AH241" r:id="rId575" xr:uid="{00000000-0004-0000-0000-00003E020000}"/>
    <hyperlink ref="P243" r:id="rId576" location="recognizing" xr:uid="{00000000-0004-0000-0000-00003F020000}"/>
    <hyperlink ref="AH243" r:id="rId577" xr:uid="{00000000-0004-0000-0000-000040020000}"/>
    <hyperlink ref="N244" r:id="rId578" xr:uid="{00000000-0004-0000-0000-000041020000}"/>
    <hyperlink ref="S244" r:id="rId579" xr:uid="{00000000-0004-0000-0000-000042020000}"/>
    <hyperlink ref="N246" r:id="rId580" xr:uid="{00000000-0004-0000-0000-000043020000}"/>
    <hyperlink ref="S246" r:id="rId581" xr:uid="{00000000-0004-0000-0000-000044020000}"/>
    <hyperlink ref="AH246" r:id="rId582" location="arXiv" xr:uid="{00000000-0004-0000-0000-000045020000}"/>
    <hyperlink ref="N247" r:id="rId583" xr:uid="{00000000-0004-0000-0000-000046020000}"/>
    <hyperlink ref="P247" r:id="rId584" xr:uid="{00000000-0004-0000-0000-000047020000}"/>
    <hyperlink ref="AD247" r:id="rId585" xr:uid="{00000000-0004-0000-0000-000048020000}"/>
    <hyperlink ref="AH247" r:id="rId586" xr:uid="{00000000-0004-0000-0000-000049020000}"/>
    <hyperlink ref="N249" r:id="rId587" xr:uid="{00000000-0004-0000-0000-00004A020000}"/>
    <hyperlink ref="P249" r:id="rId588" xr:uid="{00000000-0004-0000-0000-00004B020000}"/>
    <hyperlink ref="AD249" r:id="rId589" xr:uid="{00000000-0004-0000-0000-00004C020000}"/>
    <hyperlink ref="AH249" r:id="rId590" xr:uid="{00000000-0004-0000-0000-00004D020000}"/>
    <hyperlink ref="N250" r:id="rId591" location="review-procedure" xr:uid="{00000000-0004-0000-0000-00004E020000}"/>
    <hyperlink ref="P250" r:id="rId592" location="review-procedure" xr:uid="{00000000-0004-0000-0000-00004F020000}"/>
    <hyperlink ref="S250" r:id="rId593" location="transfers" xr:uid="{00000000-0004-0000-0000-000050020000}"/>
    <hyperlink ref="AD250" r:id="rId594" location="review-procedure" xr:uid="{00000000-0004-0000-0000-000051020000}"/>
    <hyperlink ref="AH251" r:id="rId595" location="prior-publication" xr:uid="{00000000-0004-0000-0000-000052020000}"/>
    <hyperlink ref="N252" r:id="rId596" location="review-procedure" xr:uid="{00000000-0004-0000-0000-000053020000}"/>
    <hyperlink ref="P252" r:id="rId597" location="review-procedure" xr:uid="{00000000-0004-0000-0000-000054020000}"/>
    <hyperlink ref="S252" r:id="rId598" location="transfers" xr:uid="{00000000-0004-0000-0000-000055020000}"/>
    <hyperlink ref="AD252" r:id="rId599" location="review-procedure" xr:uid="{00000000-0004-0000-0000-000056020000}"/>
    <hyperlink ref="AH252" r:id="rId600" location="prior-publication" xr:uid="{00000000-0004-0000-0000-000057020000}"/>
    <hyperlink ref="N253" r:id="rId601" xr:uid="{00000000-0004-0000-0000-000058020000}"/>
    <hyperlink ref="S253" r:id="rId602" xr:uid="{00000000-0004-0000-0000-000059020000}"/>
    <hyperlink ref="N255" r:id="rId603" xr:uid="{00000000-0004-0000-0000-00005A020000}"/>
    <hyperlink ref="S255" r:id="rId604" xr:uid="{00000000-0004-0000-0000-00005B020000}"/>
    <hyperlink ref="N256" r:id="rId605" xr:uid="{00000000-0004-0000-0000-00005C020000}"/>
    <hyperlink ref="S256" r:id="rId606" xr:uid="{00000000-0004-0000-0000-00005D020000}"/>
    <hyperlink ref="AH256" r:id="rId607" xr:uid="{00000000-0004-0000-0000-00005E020000}"/>
    <hyperlink ref="AH257" r:id="rId608" xr:uid="{00000000-0004-0000-0000-00005F020000}"/>
    <hyperlink ref="N258" r:id="rId609" xr:uid="{00000000-0004-0000-0000-000060020000}"/>
    <hyperlink ref="S258" r:id="rId610" xr:uid="{00000000-0004-0000-0000-000061020000}"/>
    <hyperlink ref="AH258" r:id="rId611" xr:uid="{00000000-0004-0000-0000-000062020000}"/>
    <hyperlink ref="N259" r:id="rId612" xr:uid="{00000000-0004-0000-0000-000063020000}"/>
    <hyperlink ref="AH259" r:id="rId613" xr:uid="{00000000-0004-0000-0000-000064020000}"/>
    <hyperlink ref="N261" r:id="rId614" xr:uid="{00000000-0004-0000-0000-000065020000}"/>
    <hyperlink ref="AH261" r:id="rId615" xr:uid="{00000000-0004-0000-0000-000066020000}"/>
    <hyperlink ref="N262" r:id="rId616" xr:uid="{00000000-0004-0000-0000-000067020000}"/>
    <hyperlink ref="N264" r:id="rId617" xr:uid="{00000000-0004-0000-0000-000068020000}"/>
    <hyperlink ref="N265" r:id="rId618" location="PeerReviewPolicy" xr:uid="{00000000-0004-0000-0000-000069020000}"/>
    <hyperlink ref="P265" r:id="rId619" xr:uid="{00000000-0004-0000-0000-00006A020000}"/>
    <hyperlink ref="AD265" r:id="rId620" xr:uid="{00000000-0004-0000-0000-00006B020000}"/>
    <hyperlink ref="AH265" r:id="rId621" xr:uid="{00000000-0004-0000-0000-00006C020000}"/>
    <hyperlink ref="N267" r:id="rId622" location="PeerReviewPolicy" xr:uid="{00000000-0004-0000-0000-00006D020000}"/>
    <hyperlink ref="P267" r:id="rId623" xr:uid="{00000000-0004-0000-0000-00006E020000}"/>
    <hyperlink ref="AD267" r:id="rId624" xr:uid="{00000000-0004-0000-0000-00006F020000}"/>
    <hyperlink ref="AH267" r:id="rId625" xr:uid="{00000000-0004-0000-0000-000070020000}"/>
    <hyperlink ref="N268" r:id="rId626" location="Peer_review" xr:uid="{00000000-0004-0000-0000-000071020000}"/>
    <hyperlink ref="N270" r:id="rId627" location="Peer_review" xr:uid="{00000000-0004-0000-0000-000072020000}"/>
    <hyperlink ref="N271" r:id="rId628" location="Peer_review" xr:uid="{00000000-0004-0000-0000-000073020000}"/>
    <hyperlink ref="N273" r:id="rId629" location="Peer_review" xr:uid="{00000000-0004-0000-0000-000074020000}"/>
    <hyperlink ref="N274" r:id="rId630" xr:uid="{00000000-0004-0000-0000-000075020000}"/>
    <hyperlink ref="P274" r:id="rId631" location="recognizing" xr:uid="{00000000-0004-0000-0000-000076020000}"/>
    <hyperlink ref="S274" r:id="rId632" xr:uid="{00000000-0004-0000-0000-000077020000}"/>
    <hyperlink ref="AH274" r:id="rId633" xr:uid="{00000000-0004-0000-0000-000078020000}"/>
    <hyperlink ref="N276" r:id="rId634" xr:uid="{00000000-0004-0000-0000-000079020000}"/>
    <hyperlink ref="P276" r:id="rId635" location="recognizing" xr:uid="{00000000-0004-0000-0000-00007A020000}"/>
    <hyperlink ref="S276" r:id="rId636" xr:uid="{00000000-0004-0000-0000-00007B020000}"/>
    <hyperlink ref="AH276" r:id="rId637" xr:uid="{00000000-0004-0000-0000-00007C020000}"/>
    <hyperlink ref="N277" r:id="rId638" xr:uid="{00000000-0004-0000-0000-00007D020000}"/>
    <hyperlink ref="N279" r:id="rId639" xr:uid="{00000000-0004-0000-0000-00007E020000}"/>
    <hyperlink ref="N280" r:id="rId640" xr:uid="{00000000-0004-0000-0000-00007F020000}"/>
    <hyperlink ref="P280" r:id="rId641" location="RRP" xr:uid="{00000000-0004-0000-0000-000080020000}"/>
    <hyperlink ref="S280" r:id="rId642" xr:uid="{00000000-0004-0000-0000-000081020000}"/>
    <hyperlink ref="AD280" r:id="rId643" xr:uid="{00000000-0004-0000-0000-000082020000}"/>
    <hyperlink ref="AH280" r:id="rId644" xr:uid="{00000000-0004-0000-0000-000083020000}"/>
    <hyperlink ref="AH281" r:id="rId645" xr:uid="{00000000-0004-0000-0000-000084020000}"/>
    <hyperlink ref="N282" r:id="rId646" xr:uid="{00000000-0004-0000-0000-000085020000}"/>
    <hyperlink ref="P282" r:id="rId647" location="RRP" xr:uid="{00000000-0004-0000-0000-000086020000}"/>
    <hyperlink ref="S282" r:id="rId648" xr:uid="{00000000-0004-0000-0000-000087020000}"/>
    <hyperlink ref="AD282" r:id="rId649" xr:uid="{00000000-0004-0000-0000-000088020000}"/>
    <hyperlink ref="N284" r:id="rId650" xr:uid="{00000000-0004-0000-0000-000089020000}"/>
    <hyperlink ref="N285" r:id="rId651" xr:uid="{00000000-0004-0000-0000-00008A020000}"/>
    <hyperlink ref="N286" r:id="rId652" xr:uid="{00000000-0004-0000-0000-00008B020000}"/>
    <hyperlink ref="P286" r:id="rId653" location="review" xr:uid="{00000000-0004-0000-0000-00008C020000}"/>
    <hyperlink ref="N288" r:id="rId654" xr:uid="{00000000-0004-0000-0000-00008D020000}"/>
    <hyperlink ref="N289" r:id="rId655" location="submission-guidelines" xr:uid="{00000000-0004-0000-0000-00008E020000}"/>
    <hyperlink ref="AH289" r:id="rId656" xr:uid="{00000000-0004-0000-0000-00008F020000}"/>
    <hyperlink ref="N291" r:id="rId657" location="submission-guidelines" xr:uid="{00000000-0004-0000-0000-000090020000}"/>
    <hyperlink ref="AH291" r:id="rId658" xr:uid="{00000000-0004-0000-0000-000091020000}"/>
    <hyperlink ref="N292" r:id="rId659" xr:uid="{00000000-0004-0000-0000-000092020000}"/>
    <hyperlink ref="S292" r:id="rId660" xr:uid="{00000000-0004-0000-0000-000093020000}"/>
    <hyperlink ref="AH292" r:id="rId661" xr:uid="{00000000-0004-0000-0000-000094020000}"/>
    <hyperlink ref="N294" r:id="rId662" xr:uid="{00000000-0004-0000-0000-000095020000}"/>
    <hyperlink ref="S294" r:id="rId663" xr:uid="{00000000-0004-0000-0000-000096020000}"/>
    <hyperlink ref="AH294" r:id="rId664" xr:uid="{00000000-0004-0000-0000-000097020000}"/>
    <hyperlink ref="N295" r:id="rId665" location="4%20Editorial%20review" xr:uid="{00000000-0004-0000-0000-000098020000}"/>
    <hyperlink ref="P295" r:id="rId666" location="4%20Editorial%20review" xr:uid="{00000000-0004-0000-0000-000099020000}"/>
    <hyperlink ref="AH295" r:id="rId667" xr:uid="{00000000-0004-0000-0000-00009A020000}"/>
    <hyperlink ref="N297" r:id="rId668" location="4%20Editorial%20review" xr:uid="{00000000-0004-0000-0000-00009B020000}"/>
    <hyperlink ref="P297" r:id="rId669" location="4%20Editorial%20review" xr:uid="{00000000-0004-0000-0000-00009C020000}"/>
    <hyperlink ref="N298" r:id="rId670" xr:uid="{00000000-0004-0000-0000-00009D020000}"/>
    <hyperlink ref="S298" r:id="rId671" xr:uid="{00000000-0004-0000-0000-00009E020000}"/>
    <hyperlink ref="AH298" r:id="rId672" xr:uid="{00000000-0004-0000-0000-00009F020000}"/>
    <hyperlink ref="N300" r:id="rId673" xr:uid="{00000000-0004-0000-0000-0000A0020000}"/>
    <hyperlink ref="S300" r:id="rId674" xr:uid="{00000000-0004-0000-0000-0000A1020000}"/>
    <hyperlink ref="AD300" r:id="rId675" xr:uid="{00000000-0004-0000-0000-0000A2020000}"/>
    <hyperlink ref="AH300" r:id="rId676" xr:uid="{00000000-0004-0000-0000-0000A3020000}"/>
    <hyperlink ref="N301" r:id="rId677" location="peer-review-help" xr:uid="{00000000-0004-0000-0000-0000A4020000}"/>
    <hyperlink ref="P301" r:id="rId678" location="peer-review-help" xr:uid="{00000000-0004-0000-0000-0000A5020000}"/>
    <hyperlink ref="AH301" r:id="rId679" location="prior-publication" xr:uid="{00000000-0004-0000-0000-0000A6020000}"/>
    <hyperlink ref="N303" r:id="rId680" location="review-procedure" xr:uid="{00000000-0004-0000-0000-0000A7020000}"/>
    <hyperlink ref="P303" r:id="rId681" location="peer-review-help" xr:uid="{00000000-0004-0000-0000-0000A8020000}"/>
    <hyperlink ref="AD303" r:id="rId682" location="ethical-responsibilities" xr:uid="{00000000-0004-0000-0000-0000A9020000}"/>
    <hyperlink ref="AH303" r:id="rId683" location="prior-publication" xr:uid="{00000000-0004-0000-0000-0000AA020000}"/>
    <hyperlink ref="N304" r:id="rId684" xr:uid="{00000000-0004-0000-0000-0000AB020000}"/>
    <hyperlink ref="P304" r:id="rId685" xr:uid="{00000000-0004-0000-0000-0000AC020000}"/>
    <hyperlink ref="S304" r:id="rId686" xr:uid="{00000000-0004-0000-0000-0000AD020000}"/>
    <hyperlink ref="AH304" r:id="rId687" xr:uid="{00000000-0004-0000-0000-0000AE020000}"/>
    <hyperlink ref="N306" r:id="rId688" xr:uid="{00000000-0004-0000-0000-0000AF020000}"/>
    <hyperlink ref="S306" r:id="rId689" xr:uid="{00000000-0004-0000-0000-0000B0020000}"/>
    <hyperlink ref="AD306" r:id="rId690" xr:uid="{00000000-0004-0000-0000-0000B1020000}"/>
    <hyperlink ref="AH306" r:id="rId691" xr:uid="{00000000-0004-0000-0000-0000B2020000}"/>
    <hyperlink ref="N307" r:id="rId692" xr:uid="{00000000-0004-0000-0000-0000B3020000}"/>
    <hyperlink ref="P307" r:id="rId693" xr:uid="{00000000-0004-0000-0000-0000B4020000}"/>
    <hyperlink ref="S307" r:id="rId694" xr:uid="{00000000-0004-0000-0000-0000B5020000}"/>
    <hyperlink ref="AH307" r:id="rId695" xr:uid="{00000000-0004-0000-0000-0000B6020000}"/>
    <hyperlink ref="N309" r:id="rId696" xr:uid="{00000000-0004-0000-0000-0000B7020000}"/>
    <hyperlink ref="P309" r:id="rId697" xr:uid="{00000000-0004-0000-0000-0000B8020000}"/>
    <hyperlink ref="S309" r:id="rId698" xr:uid="{00000000-0004-0000-0000-0000B9020000}"/>
    <hyperlink ref="AD309" r:id="rId699" xr:uid="{00000000-0004-0000-0000-0000BA020000}"/>
    <hyperlink ref="AH309" r:id="rId700" xr:uid="{00000000-0004-0000-0000-0000BB020000}"/>
    <hyperlink ref="N310" r:id="rId701" xr:uid="{00000000-0004-0000-0000-0000BC020000}"/>
    <hyperlink ref="P310" r:id="rId702" xr:uid="{00000000-0004-0000-0000-0000BD020000}"/>
    <hyperlink ref="S310" r:id="rId703" xr:uid="{00000000-0004-0000-0000-0000BE020000}"/>
    <hyperlink ref="AH310" r:id="rId704" xr:uid="{00000000-0004-0000-0000-0000BF020000}"/>
    <hyperlink ref="N312" r:id="rId705" xr:uid="{00000000-0004-0000-0000-0000C0020000}"/>
    <hyperlink ref="P312" r:id="rId706" xr:uid="{00000000-0004-0000-0000-0000C1020000}"/>
    <hyperlink ref="S312" r:id="rId707" xr:uid="{00000000-0004-0000-0000-0000C2020000}"/>
    <hyperlink ref="AD312" r:id="rId708" xr:uid="{00000000-0004-0000-0000-0000C3020000}"/>
    <hyperlink ref="AH312" r:id="rId709" xr:uid="{00000000-0004-0000-0000-0000C4020000}"/>
    <hyperlink ref="N313" r:id="rId710" xr:uid="{00000000-0004-0000-0000-0000C5020000}"/>
    <hyperlink ref="P313" r:id="rId711" xr:uid="{00000000-0004-0000-0000-0000C6020000}"/>
    <hyperlink ref="S313" r:id="rId712" xr:uid="{00000000-0004-0000-0000-0000C7020000}"/>
    <hyperlink ref="AH313" r:id="rId713" xr:uid="{00000000-0004-0000-0000-0000C8020000}"/>
    <hyperlink ref="N315" r:id="rId714" xr:uid="{00000000-0004-0000-0000-0000C9020000}"/>
    <hyperlink ref="P315" r:id="rId715" xr:uid="{00000000-0004-0000-0000-0000CA020000}"/>
    <hyperlink ref="S315" r:id="rId716" xr:uid="{00000000-0004-0000-0000-0000CB020000}"/>
    <hyperlink ref="AD315" r:id="rId717" xr:uid="{00000000-0004-0000-0000-0000CC020000}"/>
    <hyperlink ref="AH315" r:id="rId718" xr:uid="{00000000-0004-0000-0000-0000CD020000}"/>
    <hyperlink ref="N316" r:id="rId719" xr:uid="{00000000-0004-0000-0000-0000CE020000}"/>
    <hyperlink ref="P316" r:id="rId720" xr:uid="{00000000-0004-0000-0000-0000CF020000}"/>
    <hyperlink ref="S316" r:id="rId721" xr:uid="{00000000-0004-0000-0000-0000D0020000}"/>
    <hyperlink ref="AH316" r:id="rId722" xr:uid="{00000000-0004-0000-0000-0000D1020000}"/>
    <hyperlink ref="N318" r:id="rId723" xr:uid="{00000000-0004-0000-0000-0000D2020000}"/>
    <hyperlink ref="P318" r:id="rId724" xr:uid="{00000000-0004-0000-0000-0000D3020000}"/>
    <hyperlink ref="S318" r:id="rId725" xr:uid="{00000000-0004-0000-0000-0000D4020000}"/>
    <hyperlink ref="AD318" r:id="rId726" xr:uid="{00000000-0004-0000-0000-0000D5020000}"/>
    <hyperlink ref="AH318" r:id="rId727" xr:uid="{00000000-0004-0000-0000-0000D6020000}"/>
    <hyperlink ref="N319" r:id="rId728" xr:uid="{00000000-0004-0000-0000-0000D7020000}"/>
    <hyperlink ref="P319" r:id="rId729" xr:uid="{00000000-0004-0000-0000-0000D8020000}"/>
    <hyperlink ref="S319" r:id="rId730" xr:uid="{00000000-0004-0000-0000-0000D9020000}"/>
    <hyperlink ref="AH319" r:id="rId731" xr:uid="{00000000-0004-0000-0000-0000DA020000}"/>
    <hyperlink ref="P320" r:id="rId732" xr:uid="{00000000-0004-0000-0000-0000DB020000}"/>
    <hyperlink ref="AD320" r:id="rId733" xr:uid="{00000000-0004-0000-0000-0000DC020000}"/>
    <hyperlink ref="N321" r:id="rId734" xr:uid="{00000000-0004-0000-0000-0000DD020000}"/>
    <hyperlink ref="P321" r:id="rId735" xr:uid="{00000000-0004-0000-0000-0000DE020000}"/>
    <hyperlink ref="S321" r:id="rId736" xr:uid="{00000000-0004-0000-0000-0000DF020000}"/>
    <hyperlink ref="AD321" r:id="rId737" xr:uid="{00000000-0004-0000-0000-0000E0020000}"/>
    <hyperlink ref="AH321" r:id="rId738" xr:uid="{00000000-0004-0000-0000-0000E1020000}"/>
    <hyperlink ref="N322" r:id="rId739" xr:uid="{00000000-0004-0000-0000-0000E2020000}"/>
    <hyperlink ref="P322" r:id="rId740" xr:uid="{00000000-0004-0000-0000-0000E3020000}"/>
    <hyperlink ref="S322" r:id="rId741" xr:uid="{00000000-0004-0000-0000-0000E4020000}"/>
    <hyperlink ref="AH322" r:id="rId742" xr:uid="{00000000-0004-0000-0000-0000E5020000}"/>
    <hyperlink ref="N324" r:id="rId743" xr:uid="{00000000-0004-0000-0000-0000E6020000}"/>
    <hyperlink ref="P324" r:id="rId744" xr:uid="{00000000-0004-0000-0000-0000E7020000}"/>
    <hyperlink ref="S324" r:id="rId745" xr:uid="{00000000-0004-0000-0000-0000E8020000}"/>
    <hyperlink ref="AD324" r:id="rId746" xr:uid="{00000000-0004-0000-0000-0000E9020000}"/>
    <hyperlink ref="AH324" r:id="rId747" xr:uid="{00000000-0004-0000-0000-0000EA020000}"/>
    <hyperlink ref="N325" r:id="rId748" xr:uid="{00000000-0004-0000-0000-0000EB020000}"/>
    <hyperlink ref="P325" r:id="rId749" xr:uid="{00000000-0004-0000-0000-0000EC020000}"/>
    <hyperlink ref="S325" r:id="rId750" xr:uid="{00000000-0004-0000-0000-0000ED020000}"/>
    <hyperlink ref="AH325" r:id="rId751" xr:uid="{00000000-0004-0000-0000-0000EE020000}"/>
    <hyperlink ref="N327" r:id="rId752" xr:uid="{00000000-0004-0000-0000-0000EF020000}"/>
    <hyperlink ref="P327" r:id="rId753" xr:uid="{00000000-0004-0000-0000-0000F0020000}"/>
    <hyperlink ref="S327" r:id="rId754" xr:uid="{00000000-0004-0000-0000-0000F1020000}"/>
    <hyperlink ref="AD327" r:id="rId755" xr:uid="{00000000-0004-0000-0000-0000F2020000}"/>
    <hyperlink ref="AH327" r:id="rId756" xr:uid="{00000000-0004-0000-0000-0000F3020000}"/>
    <hyperlink ref="N328" r:id="rId757" xr:uid="{00000000-0004-0000-0000-0000F4020000}"/>
    <hyperlink ref="P328" r:id="rId758" xr:uid="{00000000-0004-0000-0000-0000F5020000}"/>
    <hyperlink ref="S328" r:id="rId759" xr:uid="{00000000-0004-0000-0000-0000F6020000}"/>
    <hyperlink ref="AH328" r:id="rId760" xr:uid="{00000000-0004-0000-0000-0000F7020000}"/>
    <hyperlink ref="N330" r:id="rId761" xr:uid="{00000000-0004-0000-0000-0000F8020000}"/>
    <hyperlink ref="P330" r:id="rId762" xr:uid="{00000000-0004-0000-0000-0000F9020000}"/>
    <hyperlink ref="S330" r:id="rId763" xr:uid="{00000000-0004-0000-0000-0000FA020000}"/>
    <hyperlink ref="AD330" r:id="rId764" xr:uid="{00000000-0004-0000-0000-0000FB020000}"/>
    <hyperlink ref="AH330" r:id="rId765" xr:uid="{00000000-0004-0000-0000-0000FC020000}"/>
    <hyperlink ref="N331" r:id="rId766" xr:uid="{00000000-0004-0000-0000-0000FD020000}"/>
    <hyperlink ref="P331" r:id="rId767" xr:uid="{00000000-0004-0000-0000-0000FE020000}"/>
    <hyperlink ref="S331" r:id="rId768" xr:uid="{00000000-0004-0000-0000-0000FF020000}"/>
    <hyperlink ref="AH331" r:id="rId769" xr:uid="{00000000-0004-0000-0000-000000030000}"/>
    <hyperlink ref="P332" r:id="rId770" xr:uid="{00000000-0004-0000-0000-000001030000}"/>
    <hyperlink ref="N333" r:id="rId771" xr:uid="{00000000-0004-0000-0000-000002030000}"/>
    <hyperlink ref="P333" r:id="rId772" xr:uid="{00000000-0004-0000-0000-000003030000}"/>
    <hyperlink ref="S333" r:id="rId773" xr:uid="{00000000-0004-0000-0000-000004030000}"/>
    <hyperlink ref="AD333" r:id="rId774" xr:uid="{00000000-0004-0000-0000-000005030000}"/>
    <hyperlink ref="AH333" r:id="rId775" xr:uid="{00000000-0004-0000-0000-000006030000}"/>
    <hyperlink ref="N334" r:id="rId776" xr:uid="{00000000-0004-0000-0000-000007030000}"/>
    <hyperlink ref="P334" r:id="rId777" xr:uid="{00000000-0004-0000-0000-000008030000}"/>
    <hyperlink ref="S334" r:id="rId778" xr:uid="{00000000-0004-0000-0000-000009030000}"/>
    <hyperlink ref="AH334" r:id="rId779" xr:uid="{00000000-0004-0000-0000-00000A030000}"/>
    <hyperlink ref="P335" r:id="rId780" xr:uid="{00000000-0004-0000-0000-00000B030000}"/>
    <hyperlink ref="N336" r:id="rId781" xr:uid="{00000000-0004-0000-0000-00000C030000}"/>
    <hyperlink ref="P336" r:id="rId782" xr:uid="{00000000-0004-0000-0000-00000D030000}"/>
    <hyperlink ref="S336" r:id="rId783" xr:uid="{00000000-0004-0000-0000-00000E030000}"/>
    <hyperlink ref="AD336" r:id="rId784" xr:uid="{00000000-0004-0000-0000-00000F030000}"/>
    <hyperlink ref="AH336" r:id="rId785" xr:uid="{00000000-0004-0000-0000-000010030000}"/>
    <hyperlink ref="N337" r:id="rId786" xr:uid="{00000000-0004-0000-0000-000011030000}"/>
    <hyperlink ref="P337" r:id="rId787" xr:uid="{00000000-0004-0000-0000-000012030000}"/>
    <hyperlink ref="S337" r:id="rId788" xr:uid="{00000000-0004-0000-0000-000013030000}"/>
    <hyperlink ref="AH337" r:id="rId789" xr:uid="{00000000-0004-0000-0000-000014030000}"/>
    <hyperlink ref="P338" r:id="rId790" xr:uid="{00000000-0004-0000-0000-000015030000}"/>
    <hyperlink ref="N339" r:id="rId791" xr:uid="{00000000-0004-0000-0000-000016030000}"/>
    <hyperlink ref="P339" r:id="rId792" xr:uid="{00000000-0004-0000-0000-000017030000}"/>
    <hyperlink ref="S339" r:id="rId793" xr:uid="{00000000-0004-0000-0000-000018030000}"/>
    <hyperlink ref="AD339" r:id="rId794" xr:uid="{00000000-0004-0000-0000-000019030000}"/>
    <hyperlink ref="AH339" r:id="rId795" xr:uid="{00000000-0004-0000-0000-00001A030000}"/>
    <hyperlink ref="N340" r:id="rId796" xr:uid="{00000000-0004-0000-0000-00001B030000}"/>
    <hyperlink ref="P340" r:id="rId797" xr:uid="{00000000-0004-0000-0000-00001C030000}"/>
    <hyperlink ref="S340" r:id="rId798" xr:uid="{00000000-0004-0000-0000-00001D030000}"/>
    <hyperlink ref="AH340" r:id="rId799" xr:uid="{00000000-0004-0000-0000-00001E030000}"/>
    <hyperlink ref="P341" r:id="rId800" xr:uid="{00000000-0004-0000-0000-00001F030000}"/>
    <hyperlink ref="N342" r:id="rId801" xr:uid="{00000000-0004-0000-0000-000020030000}"/>
    <hyperlink ref="P342" r:id="rId802" xr:uid="{00000000-0004-0000-0000-000021030000}"/>
    <hyperlink ref="S342" r:id="rId803" xr:uid="{00000000-0004-0000-0000-000022030000}"/>
    <hyperlink ref="AD342" r:id="rId804" xr:uid="{00000000-0004-0000-0000-000023030000}"/>
    <hyperlink ref="AH342" r:id="rId805" xr:uid="{00000000-0004-0000-0000-000024030000}"/>
    <hyperlink ref="N343" r:id="rId806" xr:uid="{00000000-0004-0000-0000-000025030000}"/>
    <hyperlink ref="P343" r:id="rId807" xr:uid="{00000000-0004-0000-0000-000026030000}"/>
    <hyperlink ref="S343" r:id="rId808" xr:uid="{00000000-0004-0000-0000-000027030000}"/>
    <hyperlink ref="AH343" r:id="rId809" xr:uid="{00000000-0004-0000-0000-000028030000}"/>
    <hyperlink ref="P344" r:id="rId810" xr:uid="{00000000-0004-0000-0000-000029030000}"/>
    <hyperlink ref="AD344" r:id="rId811" xr:uid="{00000000-0004-0000-0000-00002A030000}"/>
    <hyperlink ref="N345" r:id="rId812" xr:uid="{00000000-0004-0000-0000-00002B030000}"/>
    <hyperlink ref="P345" r:id="rId813" xr:uid="{00000000-0004-0000-0000-00002C030000}"/>
    <hyperlink ref="S345" r:id="rId814" xr:uid="{00000000-0004-0000-0000-00002D030000}"/>
    <hyperlink ref="AD345" r:id="rId815" xr:uid="{00000000-0004-0000-0000-00002E030000}"/>
    <hyperlink ref="AH345" r:id="rId816" xr:uid="{00000000-0004-0000-0000-00002F030000}"/>
    <hyperlink ref="N346" r:id="rId817" xr:uid="{00000000-0004-0000-0000-000030030000}"/>
    <hyperlink ref="P346" r:id="rId818" xr:uid="{00000000-0004-0000-0000-000031030000}"/>
    <hyperlink ref="S346" r:id="rId819" xr:uid="{00000000-0004-0000-0000-000032030000}"/>
    <hyperlink ref="AD346" r:id="rId820" xr:uid="{00000000-0004-0000-0000-000033030000}"/>
    <hyperlink ref="AH346" r:id="rId821" xr:uid="{00000000-0004-0000-0000-000034030000}"/>
    <hyperlink ref="AD347" r:id="rId822" xr:uid="{00000000-0004-0000-0000-000035030000}"/>
    <hyperlink ref="N348" r:id="rId823" xr:uid="{00000000-0004-0000-0000-000036030000}"/>
    <hyperlink ref="P348" r:id="rId824" xr:uid="{00000000-0004-0000-0000-000037030000}"/>
    <hyperlink ref="S348" r:id="rId825" xr:uid="{00000000-0004-0000-0000-000038030000}"/>
    <hyperlink ref="AD348" r:id="rId826" xr:uid="{00000000-0004-0000-0000-000039030000}"/>
    <hyperlink ref="AH348" r:id="rId827" xr:uid="{00000000-0004-0000-0000-00003A030000}"/>
    <hyperlink ref="N349" r:id="rId828" xr:uid="{00000000-0004-0000-0000-00003B030000}"/>
    <hyperlink ref="S349" r:id="rId829" xr:uid="{00000000-0004-0000-0000-00003C030000}"/>
    <hyperlink ref="AD349" r:id="rId830" xr:uid="{00000000-0004-0000-0000-00003D030000}"/>
    <hyperlink ref="AH349" r:id="rId831" xr:uid="{00000000-0004-0000-0000-00003E030000}"/>
    <hyperlink ref="N350" r:id="rId832" xr:uid="{00000000-0004-0000-0000-00003F030000}"/>
    <hyperlink ref="AD350" r:id="rId833" xr:uid="{00000000-0004-0000-0000-000040030000}"/>
    <hyperlink ref="N351" r:id="rId834" xr:uid="{00000000-0004-0000-0000-000041030000}"/>
    <hyperlink ref="AD351" r:id="rId835" xr:uid="{00000000-0004-0000-0000-000042030000}"/>
    <hyperlink ref="N352" r:id="rId836" xr:uid="{00000000-0004-0000-0000-000043030000}"/>
    <hyperlink ref="S352" r:id="rId837" xr:uid="{00000000-0004-0000-0000-000044030000}"/>
    <hyperlink ref="AD352" r:id="rId838" xr:uid="{00000000-0004-0000-0000-000045030000}"/>
    <hyperlink ref="AH352" r:id="rId839" xr:uid="{00000000-0004-0000-0000-000046030000}"/>
    <hyperlink ref="N353" r:id="rId840" xr:uid="{00000000-0004-0000-0000-000047030000}"/>
    <hyperlink ref="AD353" r:id="rId841" xr:uid="{00000000-0004-0000-0000-000048030000}"/>
    <hyperlink ref="N354" r:id="rId842" xr:uid="{00000000-0004-0000-0000-000049030000}"/>
    <hyperlink ref="AD354" r:id="rId843" xr:uid="{00000000-0004-0000-0000-00004A030000}"/>
    <hyperlink ref="N355" r:id="rId844" xr:uid="{00000000-0004-0000-0000-00004B030000}"/>
    <hyperlink ref="S355" r:id="rId845" xr:uid="{00000000-0004-0000-0000-00004C030000}"/>
    <hyperlink ref="AD355" r:id="rId846" xr:uid="{00000000-0004-0000-0000-00004D030000}"/>
    <hyperlink ref="AH355" r:id="rId847" xr:uid="{00000000-0004-0000-0000-00004E030000}"/>
    <hyperlink ref="N357" r:id="rId848" xr:uid="{00000000-0004-0000-0000-00004F030000}"/>
    <hyperlink ref="AD357" r:id="rId849" xr:uid="{00000000-0004-0000-0000-000050030000}"/>
    <hyperlink ref="N358" r:id="rId850" xr:uid="{00000000-0004-0000-0000-000051030000}"/>
    <hyperlink ref="S358" r:id="rId851" xr:uid="{00000000-0004-0000-0000-000052030000}"/>
    <hyperlink ref="AD358" r:id="rId852" xr:uid="{00000000-0004-0000-0000-000053030000}"/>
    <hyperlink ref="AH358" r:id="rId853" xr:uid="{00000000-0004-0000-0000-000054030000}"/>
    <hyperlink ref="N360" r:id="rId854" xr:uid="{00000000-0004-0000-0000-000055030000}"/>
    <hyperlink ref="AD360" r:id="rId855" xr:uid="{00000000-0004-0000-0000-000056030000}"/>
    <hyperlink ref="N361" r:id="rId856" xr:uid="{00000000-0004-0000-0000-000057030000}"/>
    <hyperlink ref="S361" r:id="rId857" xr:uid="{00000000-0004-0000-0000-000058030000}"/>
    <hyperlink ref="AD361" r:id="rId858" xr:uid="{00000000-0004-0000-0000-000059030000}"/>
    <hyperlink ref="AH361" r:id="rId859" xr:uid="{00000000-0004-0000-0000-00005A030000}"/>
    <hyperlink ref="N363" r:id="rId860" xr:uid="{00000000-0004-0000-0000-00005B030000}"/>
    <hyperlink ref="AD363" r:id="rId861" xr:uid="{00000000-0004-0000-0000-00005C030000}"/>
    <hyperlink ref="N364" r:id="rId862" xr:uid="{00000000-0004-0000-0000-00005D030000}"/>
    <hyperlink ref="S364" r:id="rId863" xr:uid="{00000000-0004-0000-0000-00005E030000}"/>
    <hyperlink ref="AD364" r:id="rId864" xr:uid="{00000000-0004-0000-0000-00005F030000}"/>
    <hyperlink ref="AH364" r:id="rId865" xr:uid="{00000000-0004-0000-0000-000060030000}"/>
    <hyperlink ref="N366" r:id="rId866" xr:uid="{00000000-0004-0000-0000-000061030000}"/>
    <hyperlink ref="AD366" r:id="rId867" xr:uid="{00000000-0004-0000-0000-000062030000}"/>
    <hyperlink ref="N368" r:id="rId868" xr:uid="{00000000-0004-0000-0000-000063030000}"/>
    <hyperlink ref="AH368" r:id="rId869" xr:uid="{00000000-0004-0000-0000-000064030000}"/>
    <hyperlink ref="N369" r:id="rId870" xr:uid="{00000000-0004-0000-0000-000065030000}"/>
    <hyperlink ref="AH369" r:id="rId871" xr:uid="{00000000-0004-0000-0000-000066030000}"/>
    <hyperlink ref="N370" r:id="rId872" xr:uid="{00000000-0004-0000-0000-000067030000}"/>
    <hyperlink ref="P370" r:id="rId873" location="RRP" xr:uid="{00000000-0004-0000-0000-000068030000}"/>
    <hyperlink ref="S370" r:id="rId874" xr:uid="{00000000-0004-0000-0000-000069030000}"/>
    <hyperlink ref="AD370" r:id="rId875" xr:uid="{00000000-0004-0000-0000-00006A030000}"/>
    <hyperlink ref="AH370" r:id="rId876" xr:uid="{00000000-0004-0000-0000-00006B030000}"/>
    <hyperlink ref="AH371" r:id="rId877" xr:uid="{00000000-0004-0000-0000-00006C030000}"/>
    <hyperlink ref="N372" r:id="rId878" xr:uid="{00000000-0004-0000-0000-00006D030000}"/>
    <hyperlink ref="P372" r:id="rId879" location="RRP" xr:uid="{00000000-0004-0000-0000-00006E030000}"/>
    <hyperlink ref="S372" r:id="rId880" xr:uid="{00000000-0004-0000-0000-00006F030000}"/>
    <hyperlink ref="AD372" r:id="rId881" xr:uid="{00000000-0004-0000-0000-000070030000}"/>
    <hyperlink ref="AH372" r:id="rId882" xr:uid="{00000000-0004-0000-0000-000071030000}"/>
    <hyperlink ref="N373" r:id="rId883" xr:uid="{00000000-0004-0000-0000-000072030000}"/>
    <hyperlink ref="S373" r:id="rId884" xr:uid="{00000000-0004-0000-0000-000073030000}"/>
    <hyperlink ref="AD373" r:id="rId885" xr:uid="{00000000-0004-0000-0000-000074030000}"/>
    <hyperlink ref="AH373" r:id="rId886" xr:uid="{00000000-0004-0000-0000-000075030000}"/>
    <hyperlink ref="AM373" r:id="rId887" location="prepub" xr:uid="{00000000-0004-0000-0000-000076030000}"/>
    <hyperlink ref="N375" r:id="rId888" xr:uid="{00000000-0004-0000-0000-000077030000}"/>
    <hyperlink ref="S375" r:id="rId889" xr:uid="{00000000-0004-0000-0000-000078030000}"/>
    <hyperlink ref="AD375" r:id="rId890" xr:uid="{00000000-0004-0000-0000-000079030000}"/>
    <hyperlink ref="AH375" r:id="rId891" xr:uid="{00000000-0004-0000-0000-00007A030000}"/>
    <hyperlink ref="AM375" r:id="rId892" location="prepub" xr:uid="{00000000-0004-0000-0000-00007B030000}"/>
    <hyperlink ref="N376" r:id="rId893" location="PeerReviewPolicy" xr:uid="{00000000-0004-0000-0000-00007C030000}"/>
    <hyperlink ref="S376" r:id="rId894" xr:uid="{00000000-0004-0000-0000-00007D030000}"/>
    <hyperlink ref="N378" r:id="rId895" location="PeerReviewPolicy" xr:uid="{00000000-0004-0000-0000-00007E030000}"/>
    <hyperlink ref="N379" r:id="rId896" xr:uid="{00000000-0004-0000-0000-00007F030000}"/>
    <hyperlink ref="P379" r:id="rId897" xr:uid="{00000000-0004-0000-0000-000080030000}"/>
    <hyperlink ref="AD379" r:id="rId898" xr:uid="{00000000-0004-0000-0000-000081030000}"/>
    <hyperlink ref="N380" r:id="rId899" xr:uid="{00000000-0004-0000-0000-000082030000}"/>
    <hyperlink ref="AH380" r:id="rId900" xr:uid="{00000000-0004-0000-0000-000083030000}"/>
    <hyperlink ref="N381" r:id="rId901" xr:uid="{00000000-0004-0000-0000-000084030000}"/>
    <hyperlink ref="P381" r:id="rId902" xr:uid="{00000000-0004-0000-0000-000085030000}"/>
    <hyperlink ref="AD381" r:id="rId903" xr:uid="{00000000-0004-0000-0000-000086030000}"/>
    <hyperlink ref="AH381" r:id="rId904" xr:uid="{00000000-0004-0000-0000-000087030000}"/>
    <hyperlink ref="AH382" r:id="rId905" location="Prior%20Publication" xr:uid="{00000000-0004-0000-0000-000088030000}"/>
    <hyperlink ref="AJ382" r:id="rId906" xr:uid="{00000000-0004-0000-0000-000089030000}"/>
    <hyperlink ref="AK382" r:id="rId907" xr:uid="{00000000-0004-0000-0000-00008A030000}"/>
    <hyperlink ref="AH384" r:id="rId908" location="Prior%20Publication" xr:uid="{00000000-0004-0000-0000-00008B030000}"/>
    <hyperlink ref="AJ384" r:id="rId909" xr:uid="{00000000-0004-0000-0000-00008C030000}"/>
    <hyperlink ref="N388" r:id="rId910" location="overview" xr:uid="{00000000-0004-0000-0000-00008D030000}"/>
    <hyperlink ref="AD388" r:id="rId911" location="overview" xr:uid="{00000000-0004-0000-0000-00008E030000}"/>
    <hyperlink ref="P389" r:id="rId912" xr:uid="{00000000-0004-0000-0000-00008F030000}"/>
    <hyperlink ref="N390" r:id="rId913" location="overview" xr:uid="{00000000-0004-0000-0000-000090030000}"/>
    <hyperlink ref="P390" r:id="rId914" xr:uid="{00000000-0004-0000-0000-000091030000}"/>
    <hyperlink ref="AD390" r:id="rId915" location="overview" xr:uid="{00000000-0004-0000-0000-000092030000}"/>
    <hyperlink ref="N391" r:id="rId916" xr:uid="{00000000-0004-0000-0000-000093030000}"/>
    <hyperlink ref="S391" r:id="rId917" xr:uid="{00000000-0004-0000-0000-000094030000}"/>
    <hyperlink ref="AD391" r:id="rId918" xr:uid="{00000000-0004-0000-0000-000095030000}"/>
    <hyperlink ref="N393" r:id="rId919" xr:uid="{00000000-0004-0000-0000-000096030000}"/>
    <hyperlink ref="S393" r:id="rId920" xr:uid="{00000000-0004-0000-0000-000097030000}"/>
    <hyperlink ref="AD393" r:id="rId921" xr:uid="{00000000-0004-0000-0000-000098030000}"/>
    <hyperlink ref="N394" r:id="rId922" xr:uid="{00000000-0004-0000-0000-000099030000}"/>
    <hyperlink ref="N396" r:id="rId923" xr:uid="{00000000-0004-0000-0000-00009A030000}"/>
    <hyperlink ref="AQ396" r:id="rId924" xr:uid="{00000000-0004-0000-0000-00009B030000}"/>
    <hyperlink ref="N397" r:id="rId925" location="anonymity" xr:uid="{00000000-0004-0000-0000-00009C030000}"/>
    <hyperlink ref="S397" r:id="rId926" location="guide" xr:uid="{00000000-0004-0000-0000-00009D030000}"/>
    <hyperlink ref="AD397" r:id="rId927" location="anonymity" xr:uid="{00000000-0004-0000-0000-00009E030000}"/>
    <hyperlink ref="N398" r:id="rId928" xr:uid="{00000000-0004-0000-0000-00009F030000}"/>
    <hyperlink ref="O398" r:id="rId929" xr:uid="{00000000-0004-0000-0000-0000A0030000}"/>
    <hyperlink ref="N399" r:id="rId930" xr:uid="{00000000-0004-0000-0000-0000A1030000}"/>
    <hyperlink ref="S399" r:id="rId931" location="guide" xr:uid="{00000000-0004-0000-0000-0000A2030000}"/>
    <hyperlink ref="AD399" r:id="rId932" location="anonymity" xr:uid="{00000000-0004-0000-0000-0000A3030000}"/>
    <hyperlink ref="N400" r:id="rId933" location="anonymity" xr:uid="{00000000-0004-0000-0000-0000A4030000}"/>
    <hyperlink ref="S400" r:id="rId934" location="sub" xr:uid="{00000000-0004-0000-0000-0000A5030000}"/>
    <hyperlink ref="AD400" r:id="rId935" location="anonymity" xr:uid="{00000000-0004-0000-0000-0000A6030000}"/>
    <hyperlink ref="N402" r:id="rId936" location="anonymity" xr:uid="{00000000-0004-0000-0000-0000A7030000}"/>
    <hyperlink ref="S402" r:id="rId937" location="sub" xr:uid="{00000000-0004-0000-0000-0000A8030000}"/>
    <hyperlink ref="AD402" r:id="rId938" location="anonymity" xr:uid="{00000000-0004-0000-0000-0000A9030000}"/>
    <hyperlink ref="N403" r:id="rId939" location="anonymity" xr:uid="{00000000-0004-0000-0000-0000AA030000}"/>
    <hyperlink ref="AD403" r:id="rId940" location="anonymity" xr:uid="{00000000-0004-0000-0000-0000AB030000}"/>
    <hyperlink ref="O404" r:id="rId941" xr:uid="{00000000-0004-0000-0000-0000AC030000}"/>
    <hyperlink ref="N405" r:id="rId942" location="anonymity" xr:uid="{00000000-0004-0000-0000-0000AD030000}"/>
    <hyperlink ref="O405" r:id="rId943" xr:uid="{00000000-0004-0000-0000-0000AE030000}"/>
    <hyperlink ref="AD405" r:id="rId944" location="anonymity" xr:uid="{00000000-0004-0000-0000-0000AF030000}"/>
    <hyperlink ref="N406" r:id="rId945" xr:uid="{00000000-0004-0000-0000-0000B0030000}"/>
    <hyperlink ref="S406" r:id="rId946" xr:uid="{00000000-0004-0000-0000-0000B1030000}"/>
    <hyperlink ref="AD406" r:id="rId947" xr:uid="{00000000-0004-0000-0000-0000B2030000}"/>
    <hyperlink ref="N407" r:id="rId948" xr:uid="{00000000-0004-0000-0000-0000B3030000}"/>
    <hyperlink ref="O407" r:id="rId949" xr:uid="{00000000-0004-0000-0000-0000B4030000}"/>
    <hyperlink ref="N408" r:id="rId950" xr:uid="{00000000-0004-0000-0000-0000B5030000}"/>
    <hyperlink ref="O408" r:id="rId951" xr:uid="{00000000-0004-0000-0000-0000B6030000}"/>
    <hyperlink ref="S408" r:id="rId952" xr:uid="{00000000-0004-0000-0000-0000B7030000}"/>
    <hyperlink ref="AD408" r:id="rId953" xr:uid="{00000000-0004-0000-0000-0000B8030000}"/>
    <hyperlink ref="N409" r:id="rId954" xr:uid="{00000000-0004-0000-0000-0000B9030000}"/>
    <hyperlink ref="S409" r:id="rId955" xr:uid="{00000000-0004-0000-0000-0000BA030000}"/>
    <hyperlink ref="AH409" r:id="rId956" xr:uid="{00000000-0004-0000-0000-0000BB030000}"/>
    <hyperlink ref="N411" r:id="rId957" xr:uid="{00000000-0004-0000-0000-0000BC030000}"/>
    <hyperlink ref="S411" r:id="rId958" xr:uid="{00000000-0004-0000-0000-0000BD030000}"/>
    <hyperlink ref="AH411" r:id="rId959" xr:uid="{00000000-0004-0000-0000-0000BE030000}"/>
    <hyperlink ref="N412" r:id="rId960" xr:uid="{00000000-0004-0000-0000-0000BF030000}"/>
    <hyperlink ref="S412" r:id="rId961" xr:uid="{00000000-0004-0000-0000-0000C0030000}"/>
    <hyperlink ref="AD412" r:id="rId962" xr:uid="{00000000-0004-0000-0000-0000C1030000}"/>
    <hyperlink ref="AH412" r:id="rId963" xr:uid="{00000000-0004-0000-0000-0000C2030000}"/>
    <hyperlink ref="N414" r:id="rId964" xr:uid="{00000000-0004-0000-0000-0000C3030000}"/>
    <hyperlink ref="S414" r:id="rId965" xr:uid="{00000000-0004-0000-0000-0000C4030000}"/>
    <hyperlink ref="AD414" r:id="rId966" xr:uid="{00000000-0004-0000-0000-0000C5030000}"/>
    <hyperlink ref="AH414" r:id="rId967" xr:uid="{00000000-0004-0000-0000-0000C6030000}"/>
    <hyperlink ref="N415" r:id="rId968" xr:uid="{00000000-0004-0000-0000-0000C7030000}"/>
    <hyperlink ref="AD416" r:id="rId969" xr:uid="{00000000-0004-0000-0000-0000C8030000}"/>
    <hyperlink ref="N417" r:id="rId970" xr:uid="{00000000-0004-0000-0000-0000C9030000}"/>
    <hyperlink ref="P417" r:id="rId971" xr:uid="{00000000-0004-0000-0000-0000CA030000}"/>
    <hyperlink ref="AD417" r:id="rId972" xr:uid="{00000000-0004-0000-0000-0000CB030000}"/>
    <hyperlink ref="N418" r:id="rId973" xr:uid="{00000000-0004-0000-0000-0000CC030000}"/>
    <hyperlink ref="N419" r:id="rId974" location="EditorialPolicies" xr:uid="{00000000-0004-0000-0000-0000CD030000}"/>
    <hyperlink ref="P419" r:id="rId975" xr:uid="{00000000-0004-0000-0000-0000CE030000}"/>
    <hyperlink ref="AD419" r:id="rId976" xr:uid="{00000000-0004-0000-0000-0000CF030000}"/>
    <hyperlink ref="N420" r:id="rId977" location="EditorialPolicies" xr:uid="{00000000-0004-0000-0000-0000D0030000}"/>
    <hyperlink ref="P420" r:id="rId978" xr:uid="{00000000-0004-0000-0000-0000D1030000}"/>
    <hyperlink ref="AD420" r:id="rId979" xr:uid="{00000000-0004-0000-0000-0000D2030000}"/>
    <hyperlink ref="N421" r:id="rId980" xr:uid="{00000000-0004-0000-0000-0000D3030000}"/>
    <hyperlink ref="AH421" r:id="rId981" xr:uid="{00000000-0004-0000-0000-0000D4030000}"/>
    <hyperlink ref="N423" r:id="rId982" xr:uid="{00000000-0004-0000-0000-0000D5030000}"/>
    <hyperlink ref="AH423" r:id="rId983" xr:uid="{00000000-0004-0000-0000-0000D6030000}"/>
    <hyperlink ref="N424" r:id="rId984" xr:uid="{00000000-0004-0000-0000-0000D7030000}"/>
    <hyperlink ref="N425" r:id="rId985" xr:uid="{00000000-0004-0000-0000-0000D8030000}"/>
    <hyperlink ref="N426" r:id="rId986" xr:uid="{00000000-0004-0000-0000-0000D9030000}"/>
    <hyperlink ref="N427" r:id="rId987" xr:uid="{00000000-0004-0000-0000-0000DA030000}"/>
    <hyperlink ref="P427" r:id="rId988" location="RRP" xr:uid="{00000000-0004-0000-0000-0000DB030000}"/>
    <hyperlink ref="S427" r:id="rId989" xr:uid="{00000000-0004-0000-0000-0000DC030000}"/>
    <hyperlink ref="N429" r:id="rId990" xr:uid="{00000000-0004-0000-0000-0000DD030000}"/>
    <hyperlink ref="P429" r:id="rId991" location="RRP" xr:uid="{00000000-0004-0000-0000-0000DE030000}"/>
    <hyperlink ref="S429" r:id="rId992" xr:uid="{00000000-0004-0000-0000-0000DF030000}"/>
    <hyperlink ref="AD429" r:id="rId993" xr:uid="{00000000-0004-0000-0000-0000E0030000}"/>
    <hyperlink ref="N430" r:id="rId994" xr:uid="{00000000-0004-0000-0000-0000E1030000}"/>
    <hyperlink ref="P430" r:id="rId995" location="RRP" xr:uid="{00000000-0004-0000-0000-0000E2030000}"/>
    <hyperlink ref="S430" r:id="rId996" xr:uid="{00000000-0004-0000-0000-0000E3030000}"/>
    <hyperlink ref="AD430" r:id="rId997" xr:uid="{00000000-0004-0000-0000-0000E4030000}"/>
    <hyperlink ref="AH430" r:id="rId998" xr:uid="{00000000-0004-0000-0000-0000E5030000}"/>
    <hyperlink ref="N432" r:id="rId999" xr:uid="{00000000-0004-0000-0000-0000E6030000}"/>
    <hyperlink ref="P432" r:id="rId1000" location="RRP" xr:uid="{00000000-0004-0000-0000-0000E7030000}"/>
    <hyperlink ref="S432" r:id="rId1001" xr:uid="{00000000-0004-0000-0000-0000E8030000}"/>
    <hyperlink ref="AD432" r:id="rId1002" xr:uid="{00000000-0004-0000-0000-0000E9030000}"/>
    <hyperlink ref="AH433" r:id="rId1003" location="authorreprints" xr:uid="{00000000-0004-0000-0000-0000EA030000}"/>
    <hyperlink ref="AH435" r:id="rId1004" location="authorposting" xr:uid="{00000000-0004-0000-0000-0000EB030000}"/>
    <hyperlink ref="N436" r:id="rId1005" xr:uid="{00000000-0004-0000-0000-0000EC030000}"/>
    <hyperlink ref="AD436" r:id="rId1006" xr:uid="{00000000-0004-0000-0000-0000ED030000}"/>
    <hyperlink ref="AH436" r:id="rId1007" xr:uid="{00000000-0004-0000-0000-0000EE030000}"/>
    <hyperlink ref="AD437" r:id="rId1008" xr:uid="{00000000-0004-0000-0000-0000EF030000}"/>
    <hyperlink ref="AD438" r:id="rId1009" xr:uid="{00000000-0004-0000-0000-0000F0030000}"/>
    <hyperlink ref="AH438" r:id="rId1010" xr:uid="{00000000-0004-0000-0000-0000F1030000}"/>
    <hyperlink ref="N439" r:id="rId1011" xr:uid="{00000000-0004-0000-0000-0000F2030000}"/>
    <hyperlink ref="S439" r:id="rId1012" xr:uid="{00000000-0004-0000-0000-0000F3030000}"/>
    <hyperlink ref="AD439" r:id="rId1013" xr:uid="{00000000-0004-0000-0000-0000F4030000}"/>
    <hyperlink ref="AH439" r:id="rId1014" xr:uid="{00000000-0004-0000-0000-0000F5030000}"/>
    <hyperlink ref="S440" r:id="rId1015" xr:uid="{00000000-0004-0000-0000-0000F6030000}"/>
    <hyperlink ref="AD440" r:id="rId1016" xr:uid="{00000000-0004-0000-0000-0000F7030000}"/>
    <hyperlink ref="N441" r:id="rId1017" xr:uid="{00000000-0004-0000-0000-0000F8030000}"/>
    <hyperlink ref="S441" r:id="rId1018" xr:uid="{00000000-0004-0000-0000-0000F9030000}"/>
    <hyperlink ref="AD441" r:id="rId1019" xr:uid="{00000000-0004-0000-0000-0000FA030000}"/>
    <hyperlink ref="AH441" r:id="rId1020" xr:uid="{00000000-0004-0000-0000-0000FB030000}"/>
    <hyperlink ref="N442" r:id="rId1021" xr:uid="{00000000-0004-0000-0000-0000FC030000}"/>
    <hyperlink ref="S442" r:id="rId1022" xr:uid="{00000000-0004-0000-0000-0000FD030000}"/>
    <hyperlink ref="AD442" r:id="rId1023" xr:uid="{00000000-0004-0000-0000-0000FE030000}"/>
    <hyperlink ref="AH442" r:id="rId1024" xr:uid="{00000000-0004-0000-0000-0000FF030000}"/>
    <hyperlink ref="N443" r:id="rId1025" xr:uid="{00000000-0004-0000-0000-000000040000}"/>
    <hyperlink ref="P443" r:id="rId1026" xr:uid="{00000000-0004-0000-0000-000001040000}"/>
    <hyperlink ref="AD443" r:id="rId1027" xr:uid="{00000000-0004-0000-0000-000002040000}"/>
    <hyperlink ref="AH443" r:id="rId1028" xr:uid="{00000000-0004-0000-0000-000003040000}"/>
    <hyperlink ref="N444" r:id="rId1029" xr:uid="{00000000-0004-0000-0000-000004040000}"/>
    <hyperlink ref="AD444" r:id="rId1030" xr:uid="{00000000-0004-0000-0000-000005040000}"/>
    <hyperlink ref="AH444" r:id="rId1031" xr:uid="{00000000-0004-0000-0000-000006040000}"/>
    <hyperlink ref="N445" r:id="rId1032" xr:uid="{00000000-0004-0000-0000-000007040000}"/>
    <hyperlink ref="S445" r:id="rId1033" xr:uid="{00000000-0004-0000-0000-000008040000}"/>
    <hyperlink ref="AD445" r:id="rId1034" xr:uid="{00000000-0004-0000-0000-000009040000}"/>
    <hyperlink ref="AH445" r:id="rId1035" xr:uid="{00000000-0004-0000-0000-00000A040000}"/>
    <hyperlink ref="N446" r:id="rId1036" xr:uid="{00000000-0004-0000-0000-00000B040000}"/>
    <hyperlink ref="AD446" r:id="rId1037" location="confidentiality" xr:uid="{00000000-0004-0000-0000-00000C040000}"/>
    <hyperlink ref="AH446" r:id="rId1038" location="confidentiality" xr:uid="{00000000-0004-0000-0000-00000D040000}"/>
    <hyperlink ref="N447" r:id="rId1039" xr:uid="{00000000-0004-0000-0000-00000E040000}"/>
    <hyperlink ref="S447" r:id="rId1040" xr:uid="{00000000-0004-0000-0000-00000F040000}"/>
    <hyperlink ref="AD447" r:id="rId1041" location="confidentiality" xr:uid="{00000000-0004-0000-0000-000010040000}"/>
    <hyperlink ref="AH447" r:id="rId1042" location="confidentiality" xr:uid="{00000000-0004-0000-0000-000011040000}"/>
    <hyperlink ref="N448" r:id="rId1043" xr:uid="{00000000-0004-0000-0000-000012040000}"/>
    <hyperlink ref="S448" r:id="rId1044" xr:uid="{00000000-0004-0000-0000-000013040000}"/>
    <hyperlink ref="N450" r:id="rId1045" xr:uid="{00000000-0004-0000-0000-000014040000}"/>
    <hyperlink ref="S450" r:id="rId1046" xr:uid="{00000000-0004-0000-0000-000015040000}"/>
    <hyperlink ref="AD453" r:id="rId1047" xr:uid="{00000000-0004-0000-0000-000016040000}"/>
    <hyperlink ref="N454" r:id="rId1048" xr:uid="{00000000-0004-0000-0000-000017040000}"/>
    <hyperlink ref="AH454" r:id="rId1049" xr:uid="{00000000-0004-0000-0000-000018040000}"/>
    <hyperlink ref="N456" r:id="rId1050" xr:uid="{00000000-0004-0000-0000-000019040000}"/>
    <hyperlink ref="AH456" r:id="rId1051" xr:uid="{00000000-0004-0000-0000-00001A040000}"/>
    <hyperlink ref="N459" r:id="rId1052" xr:uid="{00000000-0004-0000-0000-00001B040000}"/>
    <hyperlink ref="P459" r:id="rId1053" location="recognizing" xr:uid="{00000000-0004-0000-0000-00001C040000}"/>
    <hyperlink ref="N460" r:id="rId1054" xr:uid="{00000000-0004-0000-0000-00001D040000}"/>
    <hyperlink ref="S461" r:id="rId1055" xr:uid="{00000000-0004-0000-0000-00001E040000}"/>
    <hyperlink ref="N462" r:id="rId1056" xr:uid="{00000000-0004-0000-0000-00001F040000}"/>
    <hyperlink ref="S462" r:id="rId1057" xr:uid="{00000000-0004-0000-0000-000020040000}"/>
    <hyperlink ref="N463" r:id="rId1058" xr:uid="{00000000-0004-0000-0000-000021040000}"/>
    <hyperlink ref="AH463" r:id="rId1059" xr:uid="{00000000-0004-0000-0000-000022040000}"/>
    <hyperlink ref="P464" r:id="rId1060" xr:uid="{00000000-0004-0000-0000-000023040000}"/>
    <hyperlink ref="N465" r:id="rId1061" xr:uid="{00000000-0004-0000-0000-000024040000}"/>
    <hyperlink ref="P465" r:id="rId1062" xr:uid="{00000000-0004-0000-0000-000025040000}"/>
    <hyperlink ref="AH465" r:id="rId1063" xr:uid="{00000000-0004-0000-0000-000026040000}"/>
    <hyperlink ref="N472" r:id="rId1064" xr:uid="{00000000-0004-0000-0000-000027040000}"/>
    <hyperlink ref="AH472" r:id="rId1065" xr:uid="{00000000-0004-0000-0000-000028040000}"/>
    <hyperlink ref="N474" r:id="rId1066" xr:uid="{00000000-0004-0000-0000-000029040000}"/>
    <hyperlink ref="AH474" r:id="rId1067" xr:uid="{00000000-0004-0000-0000-00002A040000}"/>
    <hyperlink ref="N475" r:id="rId1068" xr:uid="{00000000-0004-0000-0000-00002B040000}"/>
    <hyperlink ref="AH475" r:id="rId1069" location="preprintservers" xr:uid="{00000000-0004-0000-0000-00002C040000}"/>
    <hyperlink ref="N477" r:id="rId1070" xr:uid="{00000000-0004-0000-0000-00002D040000}"/>
    <hyperlink ref="AH477" r:id="rId1071" location="preprintservers" xr:uid="{00000000-0004-0000-0000-00002E040000}"/>
    <hyperlink ref="N478" r:id="rId1072" location="Editorial_Policies" xr:uid="{00000000-0004-0000-0000-00002F040000}"/>
    <hyperlink ref="AD478" r:id="rId1073" location="Editorial_Policies" xr:uid="{00000000-0004-0000-0000-000030040000}"/>
    <hyperlink ref="AH478" r:id="rId1074" location="Editorial_Policies" xr:uid="{00000000-0004-0000-0000-000031040000}"/>
    <hyperlink ref="N480" r:id="rId1075" location="Editorial_Policies" xr:uid="{00000000-0004-0000-0000-000032040000}"/>
    <hyperlink ref="AD480" r:id="rId1076" location="Editorial_Policies" xr:uid="{00000000-0004-0000-0000-000033040000}"/>
    <hyperlink ref="AH480" r:id="rId1077" location="Editorial_Policies" xr:uid="{00000000-0004-0000-0000-000034040000}"/>
    <hyperlink ref="AH481" r:id="rId1078" xr:uid="{00000000-0004-0000-0000-000035040000}"/>
    <hyperlink ref="P482" r:id="rId1079" xr:uid="{00000000-0004-0000-0000-000036040000}"/>
    <hyperlink ref="AD482" r:id="rId1080" xr:uid="{00000000-0004-0000-0000-000037040000}"/>
    <hyperlink ref="P483" r:id="rId1081" xr:uid="{00000000-0004-0000-0000-000038040000}"/>
    <hyperlink ref="AD483" r:id="rId1082" xr:uid="{00000000-0004-0000-0000-000039040000}"/>
    <hyperlink ref="AH483" r:id="rId1083" xr:uid="{00000000-0004-0000-0000-00003A040000}"/>
    <hyperlink ref="N484" r:id="rId1084" xr:uid="{00000000-0004-0000-0000-00003B040000}"/>
    <hyperlink ref="S484" r:id="rId1085" xr:uid="{00000000-0004-0000-0000-00003C040000}"/>
    <hyperlink ref="AH484" r:id="rId1086" xr:uid="{00000000-0004-0000-0000-00003D040000}"/>
    <hyperlink ref="S486" r:id="rId1087" xr:uid="{00000000-0004-0000-0000-00003E040000}"/>
    <hyperlink ref="AH486" r:id="rId1088" xr:uid="{00000000-0004-0000-0000-00003F040000}"/>
    <hyperlink ref="N487" r:id="rId1089" xr:uid="{00000000-0004-0000-0000-000040040000}"/>
    <hyperlink ref="AM487" r:id="rId1090" xr:uid="{00000000-0004-0000-0000-000041040000}"/>
    <hyperlink ref="N488" r:id="rId1091" xr:uid="{00000000-0004-0000-0000-000042040000}"/>
    <hyperlink ref="S488" r:id="rId1092" xr:uid="{00000000-0004-0000-0000-000043040000}"/>
    <hyperlink ref="N489" r:id="rId1093" xr:uid="{00000000-0004-0000-0000-000044040000}"/>
    <hyperlink ref="S489" r:id="rId1094" xr:uid="{00000000-0004-0000-0000-000045040000}"/>
    <hyperlink ref="N490" r:id="rId1095" xr:uid="{00000000-0004-0000-0000-000046040000}"/>
    <hyperlink ref="AH490" r:id="rId1096" xr:uid="{00000000-0004-0000-0000-000047040000}"/>
    <hyperlink ref="AH491" r:id="rId1097" xr:uid="{00000000-0004-0000-0000-000048040000}"/>
    <hyperlink ref="N492" r:id="rId1098" xr:uid="{00000000-0004-0000-0000-000049040000}"/>
    <hyperlink ref="S492" r:id="rId1099" xr:uid="{00000000-0004-0000-0000-00004A040000}"/>
    <hyperlink ref="AH492" r:id="rId1100" xr:uid="{00000000-0004-0000-0000-00004B040000}"/>
    <hyperlink ref="N493" r:id="rId1101" xr:uid="{00000000-0004-0000-0000-00004C040000}"/>
    <hyperlink ref="S493" r:id="rId1102" xr:uid="{00000000-0004-0000-0000-00004D040000}"/>
    <hyperlink ref="AH493" r:id="rId1103" xr:uid="{00000000-0004-0000-0000-00004E040000}"/>
    <hyperlink ref="AH494" r:id="rId1104" xr:uid="{00000000-0004-0000-0000-00004F040000}"/>
    <hyperlink ref="N495" r:id="rId1105" xr:uid="{00000000-0004-0000-0000-000050040000}"/>
    <hyperlink ref="S495" r:id="rId1106" xr:uid="{00000000-0004-0000-0000-000051040000}"/>
    <hyperlink ref="N496" r:id="rId1107" location="Manuscript" xr:uid="{00000000-0004-0000-0000-000052040000}"/>
    <hyperlink ref="O497" r:id="rId1108" xr:uid="{00000000-0004-0000-0000-000053040000}"/>
    <hyperlink ref="P497" r:id="rId1109" xr:uid="{00000000-0004-0000-0000-000054040000}"/>
    <hyperlink ref="N498" r:id="rId1110" location="Manuscript" xr:uid="{00000000-0004-0000-0000-000055040000}"/>
    <hyperlink ref="P498" r:id="rId1111" xr:uid="{00000000-0004-0000-0000-000056040000}"/>
    <hyperlink ref="N499" r:id="rId1112" xr:uid="{00000000-0004-0000-0000-000057040000}"/>
    <hyperlink ref="AH499" r:id="rId1113" xr:uid="{00000000-0004-0000-0000-000058040000}"/>
    <hyperlink ref="AH501" r:id="rId1114" xr:uid="{00000000-0004-0000-0000-000059040000}"/>
    <hyperlink ref="N502" r:id="rId1115" xr:uid="{00000000-0004-0000-0000-00005A040000}"/>
    <hyperlink ref="S502" r:id="rId1116" xr:uid="{00000000-0004-0000-0000-00005B040000}"/>
    <hyperlink ref="AH502" r:id="rId1117" xr:uid="{00000000-0004-0000-0000-00005C040000}"/>
    <hyperlink ref="N504" r:id="rId1118" xr:uid="{00000000-0004-0000-0000-00005D040000}"/>
    <hyperlink ref="AH504" r:id="rId1119" xr:uid="{00000000-0004-0000-0000-00005E040000}"/>
    <hyperlink ref="AH505" r:id="rId1120" xr:uid="{00000000-0004-0000-0000-00005F040000}"/>
    <hyperlink ref="AH507" r:id="rId1121" xr:uid="{00000000-0004-0000-0000-000060040000}"/>
    <hyperlink ref="AH508" r:id="rId1122" xr:uid="{00000000-0004-0000-0000-000061040000}"/>
    <hyperlink ref="N511" r:id="rId1123" xr:uid="{00000000-0004-0000-0000-000062040000}"/>
    <hyperlink ref="P511" r:id="rId1124" location="RRP" xr:uid="{00000000-0004-0000-0000-000063040000}"/>
    <hyperlink ref="S511" r:id="rId1125" xr:uid="{00000000-0004-0000-0000-000064040000}"/>
    <hyperlink ref="AD511" r:id="rId1126" xr:uid="{00000000-0004-0000-0000-000065040000}"/>
    <hyperlink ref="AH511" r:id="rId1127" xr:uid="{00000000-0004-0000-0000-000066040000}"/>
    <hyperlink ref="AH512" r:id="rId1128" xr:uid="{00000000-0004-0000-0000-000067040000}"/>
    <hyperlink ref="N513" r:id="rId1129" xr:uid="{00000000-0004-0000-0000-000068040000}"/>
    <hyperlink ref="P513" r:id="rId1130" location="RRP" xr:uid="{00000000-0004-0000-0000-000069040000}"/>
    <hyperlink ref="S513" r:id="rId1131" xr:uid="{00000000-0004-0000-0000-00006A040000}"/>
    <hyperlink ref="AD513" r:id="rId1132" xr:uid="{00000000-0004-0000-0000-00006B040000}"/>
    <hyperlink ref="AH513" r:id="rId1133" xr:uid="{00000000-0004-0000-0000-00006C040000}"/>
    <hyperlink ref="N514" r:id="rId1134" xr:uid="{00000000-0004-0000-0000-00006D040000}"/>
    <hyperlink ref="P514" r:id="rId1135" location="RRP" xr:uid="{00000000-0004-0000-0000-00006E040000}"/>
    <hyperlink ref="S514" r:id="rId1136" xr:uid="{00000000-0004-0000-0000-00006F040000}"/>
    <hyperlink ref="AD514" r:id="rId1137" xr:uid="{00000000-0004-0000-0000-000070040000}"/>
    <hyperlink ref="AH514" r:id="rId1138" xr:uid="{00000000-0004-0000-0000-000071040000}"/>
    <hyperlink ref="N516" r:id="rId1139" xr:uid="{00000000-0004-0000-0000-000072040000}"/>
    <hyperlink ref="P516" r:id="rId1140" location="recognizing" xr:uid="{00000000-0004-0000-0000-000073040000}"/>
    <hyperlink ref="S516" r:id="rId1141" xr:uid="{00000000-0004-0000-0000-000074040000}"/>
    <hyperlink ref="AD516" r:id="rId1142" xr:uid="{00000000-0004-0000-0000-000075040000}"/>
    <hyperlink ref="AH516" r:id="rId1143" xr:uid="{00000000-0004-0000-0000-000076040000}"/>
  </hyperlinks>
  <pageMargins left="0.7" right="0.7" top="0.75" bottom="0.75" header="0.3" footer="0.3"/>
  <legacyDrawing r:id="rId11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R172"/>
  <sheetViews>
    <sheetView workbookViewId="0">
      <pane ySplit="1" topLeftCell="A75" activePane="bottomLeft" state="frozen"/>
      <selection pane="bottomLeft" activeCell="P123" sqref="P123"/>
    </sheetView>
  </sheetViews>
  <sheetFormatPr baseColWidth="10" defaultColWidth="14.5" defaultRowHeight="15.75" customHeight="1"/>
  <cols>
    <col min="1" max="1" width="6.1640625" customWidth="1"/>
    <col min="2" max="2" width="10.5" customWidth="1"/>
    <col min="3" max="3" width="7.6640625" customWidth="1"/>
    <col min="4" max="4" width="9.6640625" customWidth="1"/>
    <col min="5" max="5" width="7.33203125" customWidth="1"/>
    <col min="6" max="6" width="11.1640625" customWidth="1"/>
  </cols>
  <sheetData>
    <row r="1" spans="1:44" ht="53.25" customHeight="1">
      <c r="A1" s="2" t="s">
        <v>2</v>
      </c>
      <c r="B1" s="4" t="s">
        <v>3</v>
      </c>
      <c r="C1" s="6" t="s">
        <v>8</v>
      </c>
      <c r="D1" s="8" t="s">
        <v>3</v>
      </c>
      <c r="E1" s="8" t="s">
        <v>11</v>
      </c>
      <c r="F1" s="8" t="s">
        <v>12</v>
      </c>
      <c r="G1" s="8" t="s">
        <v>13</v>
      </c>
      <c r="H1" s="10" t="s">
        <v>14</v>
      </c>
      <c r="I1" s="12" t="s">
        <v>17</v>
      </c>
      <c r="J1" s="14" t="s">
        <v>19</v>
      </c>
      <c r="K1" s="16" t="s">
        <v>22</v>
      </c>
      <c r="L1" s="18" t="s">
        <v>23</v>
      </c>
      <c r="M1" s="18" t="s">
        <v>25</v>
      </c>
      <c r="N1" s="18" t="s">
        <v>26</v>
      </c>
      <c r="O1" s="18" t="s">
        <v>27</v>
      </c>
      <c r="P1" s="18" t="s">
        <v>28</v>
      </c>
      <c r="Q1" s="18" t="s">
        <v>29</v>
      </c>
      <c r="R1" s="18" t="s">
        <v>30</v>
      </c>
      <c r="S1" s="20" t="s">
        <v>31</v>
      </c>
      <c r="T1" s="20" t="s">
        <v>33</v>
      </c>
      <c r="U1" s="20" t="s">
        <v>34</v>
      </c>
      <c r="V1" s="22" t="s">
        <v>35</v>
      </c>
      <c r="W1" s="20" t="s">
        <v>37</v>
      </c>
      <c r="X1" s="22" t="s">
        <v>38</v>
      </c>
      <c r="Y1" s="22" t="s">
        <v>39</v>
      </c>
      <c r="Z1" s="22" t="s">
        <v>40</v>
      </c>
      <c r="AA1" s="22" t="s">
        <v>41</v>
      </c>
      <c r="AB1" s="24" t="s">
        <v>42</v>
      </c>
      <c r="AC1" s="24" t="s">
        <v>43</v>
      </c>
      <c r="AD1" s="24" t="s">
        <v>44</v>
      </c>
      <c r="AE1" s="24" t="s">
        <v>45</v>
      </c>
      <c r="AF1" s="24" t="s">
        <v>46</v>
      </c>
      <c r="AG1" s="25" t="s">
        <v>47</v>
      </c>
      <c r="AH1" s="25" t="s">
        <v>48</v>
      </c>
      <c r="AI1" s="25" t="s">
        <v>49</v>
      </c>
      <c r="AJ1" s="25" t="s">
        <v>50</v>
      </c>
      <c r="AK1" s="25" t="s">
        <v>51</v>
      </c>
      <c r="AL1" s="25" t="s">
        <v>52</v>
      </c>
      <c r="AM1" s="25" t="s">
        <v>53</v>
      </c>
      <c r="AN1" s="25" t="s">
        <v>54</v>
      </c>
      <c r="AO1" s="25" t="s">
        <v>55</v>
      </c>
      <c r="AP1" s="26" t="s">
        <v>56</v>
      </c>
      <c r="AQ1" s="27" t="s">
        <v>57</v>
      </c>
      <c r="AR1" s="29" t="s">
        <v>58</v>
      </c>
    </row>
    <row r="2" spans="1:44" ht="13">
      <c r="A2" s="34" t="str">
        <f ca="1">IFERROR(__xludf.DUMMYFUNCTION("filter(Raw!B4:B516,mod(row(Raw!B4:B516)+2,3)=0)"),"SR")</f>
        <v>SR</v>
      </c>
      <c r="B2" s="41">
        <f ca="1">IFERROR(__xludf.DUMMYFUNCTION("filter(Raw!C4:C516,mod(row(Raw!C4:C516)+2,3)=0)"),43425)</f>
        <v>43425</v>
      </c>
      <c r="C2" s="34" t="str">
        <f ca="1">IFERROR(__xludf.DUMMYFUNCTION("filter(Raw!D4:D516,mod(row(Raw!D4:D516)+2,3)=0)"),"TRH")</f>
        <v>TRH</v>
      </c>
      <c r="D2" s="28">
        <f ca="1">IFERROR(__xludf.DUMMYFUNCTION("filter(Raw!E4:E516,mod(row(Raw!E4:E516)+2,3)=0)"),43575)</f>
        <v>43575</v>
      </c>
      <c r="E2" s="34" t="str">
        <f ca="1">IFERROR(__xludf.DUMMYFUNCTION("filter(Raw!F4:F516,mod(row(Raw!F4:F516)+2,3)=0)"),"JP")</f>
        <v>JP</v>
      </c>
      <c r="F2" s="28">
        <f ca="1">IFERROR(__xludf.DUMMYFUNCTION("filter(Raw!G4:G516,mod(row(Raw!G4:G516)+2,3)=0)"),43581)</f>
        <v>43581</v>
      </c>
      <c r="G2" s="34" t="str">
        <f ca="1">IFERROR(__xludf.DUMMYFUNCTION("filter(Raw!H4:H516,mod(row(Raw!H4:H516),3)=0)"),"Where do ""No""s come from in peer review &amp; responses published? [TRH - changed to not specified]. Changed coreviewer policy according to link [see note - i still think unsure is the better interpretation]")</f>
        <v>Where do "No"s come from in peer review &amp; responses published? [TRH - changed to not specified]. Changed coreviewer policy according to link [see note - i still think unsure is the better interpretation]</v>
      </c>
      <c r="H2" s="34" t="str">
        <f ca="1">IFERROR(__xludf.DUMMYFUNCTION("filter(Raw!I4:I516,mod(row(Raw!I4:I516)+2,3)=0)"),"1040-2446")</f>
        <v>1040-2446</v>
      </c>
      <c r="I2" s="34" t="str">
        <f ca="1">IFERROR(__xludf.DUMMYFUNCTION("filter(Raw!J4:J516,mod(row(Raw!J4:J516)+2,3)=0)"),"Academic Medicine")</f>
        <v>Academic Medicine</v>
      </c>
      <c r="J2" s="34" t="str">
        <f ca="1">IFERROR(__xludf.DUMMYFUNCTION("filter(Raw!K4:K516,mod(row(Raw!K4:K516)+2,3)=0)"),"Social Sciences")</f>
        <v>Social Sciences</v>
      </c>
      <c r="K2" s="34" t="str">
        <f ca="1">IFERROR(__xludf.DUMMYFUNCTION("filter(Raw!L4:L516,mod(row(Raw!L4:L516),3)=0)"),"Wolters Kluwer")</f>
        <v>Wolters Kluwer</v>
      </c>
      <c r="L2" s="34" t="str">
        <f ca="1">IFERROR(__xludf.DUMMYFUNCTION("filter(Raw!M4:M516,mod(row(Raw!M4:M516),3)=0)"),"Single blind")</f>
        <v>Single blind</v>
      </c>
      <c r="M2" s="56" t="str">
        <f ca="1">IFERROR(__xludf.DUMMYFUNCTION("filter(Raw!N4:N516,mod(row(Raw!N4:N516),3)=0)"),"https://journals.lww.com/academicmedicine/Pages/InstructionsforAuthors.aspx#peerreview")</f>
        <v>https://journals.lww.com/academicmedicine/Pages/InstructionsforAuthors.aspx#peerreview</v>
      </c>
      <c r="N2" s="56" t="str">
        <f ca="1">IFERROR(__xludf.DUMMYFUNCTION("filter(Raw!O4:O516,mod(row(Raw!O4:O516),3)=0)"),"https://journals.lww.com/academicmedicine/Documents/ReviewerFAQs_Sept2012_v1.pdf")</f>
        <v>https://journals.lww.com/academicmedicine/Documents/ReviewerFAQs_Sept2012_v1.pdf</v>
      </c>
      <c r="O2" s="34" t="str">
        <f ca="1">IFERROR(__xludf.DUMMYFUNCTION("filter(Raw!P4:P516,mod(row(Raw!P4:P516),3)=0)"),"")</f>
        <v/>
      </c>
      <c r="P2" s="34" t="str">
        <f ca="1">IFERROR(__xludf.DUMMYFUNCTION("filter(Raw!Q4:Q516,mod(row(Raw!Q4:Q516),3)=0)"),"Unsure")</f>
        <v>Unsure</v>
      </c>
      <c r="Q2" s="34" t="str">
        <f ca="1">IFERROR(__xludf.DUMMYFUNCTION("filter(Raw!R4:R516,mod(row(Raw!R4:R516),3)=0)"),"Not specified")</f>
        <v>Not specified</v>
      </c>
      <c r="R2" s="34" t="str">
        <f ca="1">IFERROR(__xludf.DUMMYFUNCTION("filter(Raw!S4:S516,mod(row(Raw!S4:S516),3)=0)"),"Not specified")</f>
        <v>Not specified</v>
      </c>
      <c r="S2" s="34" t="str">
        <f ca="1">IFERROR(__xludf.DUMMYFUNCTION("filter(Raw!T4:T516,mod(row(Raw!T4:T516),3)=0)"),"Not specified")</f>
        <v>Not specified</v>
      </c>
      <c r="T2" s="34" t="str">
        <f ca="1">IFERROR(__xludf.DUMMYFUNCTION("filter(Raw!U4:U516,mod(row(Raw!U4:U516),3)=0)"),"Not specified")</f>
        <v>Not specified</v>
      </c>
      <c r="U2" s="34" t="str">
        <f ca="1">IFERROR(__xludf.DUMMYFUNCTION("filter(Raw!V4:V516,mod(row(Raw!V4:V516),3)=0)"),"Not specified")</f>
        <v>Not specified</v>
      </c>
      <c r="V2" s="34" t="str">
        <f ca="1">IFERROR(__xludf.DUMMYFUNCTION("filter(Raw!W4:W516,mod(row(Raw!W4:W516),3)=0)"),"Not specified")</f>
        <v>Not specified</v>
      </c>
      <c r="W2" s="34" t="str">
        <f ca="1">IFERROR(__xludf.DUMMYFUNCTION("filter(Raw!X4:X516,mod(row(Raw!X4:X516),3)=0)"),"Not specified")</f>
        <v>Not specified</v>
      </c>
      <c r="X2" s="34" t="str">
        <f ca="1">IFERROR(__xludf.DUMMYFUNCTION("filter(Raw!Y4:Y516,mod(row(Raw!Y4:Y516),3)=0)"),"Not specified")</f>
        <v>Not specified</v>
      </c>
      <c r="Y2" s="34" t="str">
        <f ca="1">IFERROR(__xludf.DUMMYFUNCTION("filter(Raw!Z4:Z516,mod(row(Raw!Z4:Z516),3)=0)"),"Not specified")</f>
        <v>Not specified</v>
      </c>
      <c r="Z2" s="34" t="str">
        <f ca="1">IFERROR(__xludf.DUMMYFUNCTION("filter(Raw!AA4:AA516,mod(row(Raw!AA4:AA516),3)=0)"),"Not specified")</f>
        <v>Not specified</v>
      </c>
      <c r="AA2" s="34" t="str">
        <f ca="1">IFERROR(__xludf.DUMMYFUNCTION("filter(Raw!AB4:AB516,mod(row(Raw!AB4:AB516),3)=0)"),"")</f>
        <v/>
      </c>
      <c r="AB2" s="34" t="str">
        <f ca="1">IFERROR(__xludf.DUMMYFUNCTION("filter(Raw!AC4:AC516,mod(row(Raw!AC4:AC516),3)=0)"),"""If you wish to involve a
specially qualified colleague in the review (or perhaps want to guide a junior colleague in learning
how to review), you must contact the editorial office and ask for permission ahead of time.""")</f>
        <v>"If you wish to involve a
specially qualified colleague in the review (or perhaps want to guide a junior colleague in learning
how to review), you must contact the editorial office and ask for permission ahead of time."</v>
      </c>
      <c r="AC2" s="56" t="str">
        <f ca="1">IFERROR(__xludf.DUMMYFUNCTION("filter(Raw!AD4:AD516,mod(row(Raw!AD4:AD516),3)=0)"),"https://journals.lww.com/academicmedicine/Documents/ReviewerFAQs_Sept2012_v1.pdf")</f>
        <v>https://journals.lww.com/academicmedicine/Documents/ReviewerFAQs_Sept2012_v1.pdf</v>
      </c>
      <c r="AD2" s="34" t="str">
        <f ca="1">IFERROR(__xludf.DUMMYFUNCTION("filter(Raw!AE4:AE516,mod(row(Raw!AE4:AE516),3)=0)"),"Yes")</f>
        <v>Yes</v>
      </c>
      <c r="AE2" s="34" t="str">
        <f ca="1">IFERROR(__xludf.DUMMYFUNCTION("filter(Raw!AF4:AF516,mod(row(Raw!AF4:AF516),3)=0)"),"Unsure")</f>
        <v>Unsure</v>
      </c>
      <c r="AF2" s="34" t="str">
        <f ca="1">IFERROR(__xludf.DUMMYFUNCTION("filter(Raw!AG4:AG516,mod(row(Raw!AG4:AG516),3)=0)"),"Unsure")</f>
        <v>Unsure</v>
      </c>
      <c r="AG2" s="56" t="str">
        <f ca="1">IFERROR(__xludf.DUMMYFUNCTION("filter(Raw!AH4:AH516,mod(row(Raw!AH4:AH516),3)=0)"),"https://journals.lww.com/academicmedicine/Pages/InstructionsforAuthors.aspx#publicationaheadofprint")</f>
        <v>https://journals.lww.com/academicmedicine/Pages/InstructionsforAuthors.aspx#publicationaheadofprint</v>
      </c>
      <c r="AH2" s="34" t="str">
        <f ca="1">IFERROR(__xludf.DUMMYFUNCTION("filter(Raw!AI4:AI516,mod(row(Raw!AI4:AI516),3)=0)"),"Unsure (prerints allowed, but unclear which version")</f>
        <v>Unsure (prerints allowed, but unclear which version</v>
      </c>
      <c r="AI2" s="34" t="str">
        <f ca="1">IFERROR(__xludf.DUMMYFUNCTION("filter(Raw!AJ4:AJ516,mod(row(Raw!AJ4:AJ516),3)=0)"),"Not specified")</f>
        <v>Not specified</v>
      </c>
      <c r="AJ2" s="34" t="str">
        <f ca="1">IFERROR(__xludf.DUMMYFUNCTION("filter(Raw!AK4:AK516,mod(row(Raw!AK4:AK516),3)=0)"),"Yes, in the reference list")</f>
        <v>Yes, in the reference list</v>
      </c>
      <c r="AK2" s="34" t="str">
        <f ca="1">IFERROR(__xludf.DUMMYFUNCTION("filter(Raw!AL4:AL516,mod(row(Raw!AL4:AL516),3)=0)"),"Yes")</f>
        <v>Yes</v>
      </c>
      <c r="AL2" s="34" t="str">
        <f ca="1">IFERROR(__xludf.DUMMYFUNCTION("filter(Raw!AM4:AM516,mod(row(Raw!AM4:AM516),3)=0)"),"At submission, authors must explain any prior publication (including any electronic publication, such as a blog post) of the same or a substantially similar manuscript, or partial disclosure of data, as well as circumstances that might lead the editor-in-"&amp;"chief, deputy or associate editors, reviewers, or editorial staff to believe (1) that the manuscript may have been published elsewhere (e.g., when the title of a submitted manuscript is the same as or similar to the title of a previously published article"&amp;"), or (2) that the manuscript or one very similar to it may have been published in or submitted to Academic Medicine previously.")</f>
        <v>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v>
      </c>
      <c r="AM2" s="34" t="str">
        <f ca="1">IFERROR(__xludf.DUMMYFUNCTION("filter(Raw!AN4:AN516,mod(row(Raw!AN4:AN516),3)=0)"),"Not specified")</f>
        <v>Not specified</v>
      </c>
      <c r="AN2" s="34" t="str">
        <f ca="1">IFERROR(__xludf.DUMMYFUNCTION("filter(Raw!AO4:AO516,mod(row(Raw!AO4:AO516),3)=0)"),"In general, all findings from a single study should be reported in a single manuscript rather than dividing a project into a series of “minimum publishable units.” We do recognize, however, that in some cases, it is appropriate to develop multiple submiss"&amp;"ions based on a single project, and we would encourage authors, in such cases, to submit all manuscripts to the same journal so they can be evaluated together. Occasions when it might be appropriate to submit multiple manuscripts from a single project inc"&amp;"lude but are not limited to distinctly different research questions being posed about the same data set, reanalysis (new questions) of a data set suggested by subsequent experience, and large segments of complex analyses that do not easily fit within norm"&amp;"al length limitations and can be seen as freestanding components.
 Always clearly disclose at the time of submission any previous or planned submissions from the same study, project, or data set by noting this in the submission form. Also, related publi"&amp;"cations should be referenced in the manuscript.
 Circumstances that suggest inappropriate prior or duplicate publication include but are not limited to (1) cases where the results of the same study are divided into different manuscripts (e.g., findings "&amp;"for faculty are reported in one and findings for residents are reported in another), one of which is submitted to Academic Medicine and another of which is submitted either to Academic Medicine or elsewhere, and/or (2) cases in which data from the same st"&amp;"udy are analyzed in different ways to produce apparently different manuscripts.")</f>
        <v>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v>
      </c>
      <c r="AO2" s="34" t="str">
        <f ca="1">IFERROR(__xludf.DUMMYFUNCTION("filter(Raw!AP4:AP516,mod(row(Raw!AP4:AP516),3)=0)"),"")</f>
        <v/>
      </c>
      <c r="AP2" s="34" t="str">
        <f ca="1">IFERROR(__xludf.DUMMYFUNCTION("filter(Raw!AQ4:AQ516,mod(row(Raw!AQ4:AQ516),3)=0)"),"")</f>
        <v/>
      </c>
      <c r="AQ2" s="34" t="str">
        <f ca="1">IFERROR(__xludf.DUMMYFUNCTION("filter(Raw!AR4:AR516,mod(row(Raw!AR4:AR516),3)=0)"),"")</f>
        <v/>
      </c>
      <c r="AR2" s="34" t="str">
        <f ca="1">IFERROR(__xludf.DUMMYFUNCTION("filter(Raw!AS4:AS516,mod(row(Raw!AS4:AS516),3)=0)"),"")</f>
        <v/>
      </c>
    </row>
    <row r="3" spans="1:44" ht="13">
      <c r="A3" t="str">
        <f ca="1">IFERROR(__xludf.DUMMYFUNCTION("""COMPUTED_VALUE"""),"SR")</f>
        <v>SR</v>
      </c>
      <c r="B3" s="41">
        <f ca="1">IFERROR(__xludf.DUMMYFUNCTION("""COMPUTED_VALUE"""),43426)</f>
        <v>43426</v>
      </c>
      <c r="C3" t="str">
        <f ca="1">IFERROR(__xludf.DUMMYFUNCTION("""COMPUTED_VALUE"""),"TRH")</f>
        <v>TRH</v>
      </c>
      <c r="D3" s="28">
        <f ca="1">IFERROR(__xludf.DUMMYFUNCTION("""COMPUTED_VALUE"""),43575)</f>
        <v>43575</v>
      </c>
      <c r="E3" t="str">
        <f ca="1">IFERROR(__xludf.DUMMYFUNCTION("""COMPUTED_VALUE"""),"JP")</f>
        <v>JP</v>
      </c>
      <c r="F3" s="28">
        <f ca="1">IFERROR(__xludf.DUMMYFUNCTION("""COMPUTED_VALUE"""),43581)</f>
        <v>43581</v>
      </c>
      <c r="G3" t="str">
        <f ca="1">IFERROR(__xludf.DUMMYFUNCTION("""COMPUTED_VALUE"""),"Single blind inferred from reviewer COI, but anonymity of peer review. Where do Nos come from in OPR section?; Reviewer identities revealed to author set as conditional based on: https://pubs.acs.org/userimages/ContentEditor/1218054468605/ethics.pdf")</f>
        <v>Single blind inferred from reviewer COI, but anonymity of peer review. Where do Nos come from in OPR section?; Reviewer identities revealed to author set as conditional based on: https://pubs.acs.org/userimages/ContentEditor/1218054468605/ethics.pdf</v>
      </c>
      <c r="H3" t="str">
        <f ca="1">IFERROR(__xludf.DUMMYFUNCTION("""COMPUTED_VALUE"""),"1944-8252")</f>
        <v>1944-8252</v>
      </c>
      <c r="I3" t="str">
        <f ca="1">IFERROR(__xludf.DUMMYFUNCTION("""COMPUTED_VALUE"""),"ACS Applied Materials &amp; Interfaces")</f>
        <v>ACS Applied Materials &amp; Interfaces</v>
      </c>
      <c r="J3" t="str">
        <f ca="1">IFERROR(__xludf.DUMMYFUNCTION("""COMPUTED_VALUE"""),"Chemical &amp; Materials Sciences, Engineering &amp; Computer Science")</f>
        <v>Chemical &amp; Materials Sciences, Engineering &amp; Computer Science</v>
      </c>
      <c r="K3" t="str">
        <f ca="1">IFERROR(__xludf.DUMMYFUNCTION("""COMPUTED_VALUE"""),"American Chemical Society")</f>
        <v>American Chemical Society</v>
      </c>
      <c r="L3" t="str">
        <f ca="1">IFERROR(__xludf.DUMMYFUNCTION("""COMPUTED_VALUE"""),"Single Blind")</f>
        <v>Single Blind</v>
      </c>
      <c r="M3" t="str">
        <f ca="1">IFERROR(__xludf.DUMMYFUNCTION("""COMPUTED_VALUE"""),"https://pubs.acs.org/paragonplus/submission/aamick/aamick_authguide.pdf
https://pubs.acs.org/publish/peer_reviews")</f>
        <v>https://pubs.acs.org/paragonplus/submission/aamick/aamick_authguide.pdf
https://pubs.acs.org/publish/peer_reviews</v>
      </c>
      <c r="N3" t="str">
        <f ca="1">IFERROR(__xludf.DUMMYFUNCTION("""COMPUTED_VALUE"""),"")</f>
        <v/>
      </c>
      <c r="O3" t="str">
        <f ca="1">IFERROR(__xludf.DUMMYFUNCTION("""COMPUTED_VALUE"""),"")</f>
        <v/>
      </c>
      <c r="P3" t="str">
        <f ca="1">IFERROR(__xludf.DUMMYFUNCTION("""COMPUTED_VALUE"""),"Unsure")</f>
        <v>Unsure</v>
      </c>
      <c r="Q3" t="str">
        <f ca="1">IFERROR(__xludf.DUMMYFUNCTION("""COMPUTED_VALUE"""),"Authors select a new journal; manuscript Transfer
 simplifies and shortens manuscript submission to another ACS journal, as all the coauthors,
 suggested reviewers, manuscript files, and responses to submission questions are copied to the
 new submission.")</f>
        <v>Authors select a new journal; manuscript Transfer
 simplifies and shortens manuscript submission to another ACS journal, as all the coauthors,
 suggested reviewers, manuscript files, and responses to submission questions are copied to the
 new submission.</v>
      </c>
      <c r="R3" s="93" t="str">
        <f ca="1">IFERROR(__xludf.DUMMYFUNCTION("""COMPUTED_VALUE"""),"https://pubs.acs.org/paragonplus/submission/aamick/aamick_authguide.pdf")</f>
        <v>https://pubs.acs.org/paragonplus/submission/aamick/aamick_authguide.pdf</v>
      </c>
      <c r="S3" t="str">
        <f ca="1">IFERROR(__xludf.DUMMYFUNCTION("""COMPUTED_VALUE"""),"Not specified")</f>
        <v>Not specified</v>
      </c>
      <c r="T3" t="str">
        <f ca="1">IFERROR(__xludf.DUMMYFUNCTION("""COMPUTED_VALUE"""),"Not specified")</f>
        <v>Not specified</v>
      </c>
      <c r="U3" t="str">
        <f ca="1">IFERROR(__xludf.DUMMYFUNCTION("""COMPUTED_VALUE"""),"Not specified")</f>
        <v>Not specified</v>
      </c>
      <c r="V3" t="str">
        <f ca="1">IFERROR(__xludf.DUMMYFUNCTION("""COMPUTED_VALUE"""),"Not specified")</f>
        <v>Not specified</v>
      </c>
      <c r="W3" t="str">
        <f ca="1">IFERROR(__xludf.DUMMYFUNCTION("""COMPUTED_VALUE"""),"No")</f>
        <v>No</v>
      </c>
      <c r="X3" t="str">
        <f ca="1">IFERROR(__xludf.DUMMYFUNCTION("""COMPUTED_VALUE"""),"Conditional")</f>
        <v>Conditional</v>
      </c>
      <c r="Y3" t="str">
        <f ca="1">IFERROR(__xludf.DUMMYFUNCTION("""COMPUTED_VALUE"""),"Not specified")</f>
        <v>Not specified</v>
      </c>
      <c r="Z3" t="str">
        <f ca="1">IFERROR(__xludf.DUMMYFUNCTION("""COMPUTED_VALUE"""),"Not specified")</f>
        <v>Not specified</v>
      </c>
      <c r="AA3" t="str">
        <f ca="1">IFERROR(__xludf.DUMMYFUNCTION("""COMPUTED_VALUE"""),"Single blind inferred from reviewer COI, but anonymity of peer review. // ""Reviewer and Review Confidentiality: If the reviewer wishes to disclose his/her identity to the manuscript authors, the editor should be consulted, and the decision to disclose su"&amp;"ch information to authors is the sole discretion of the editor"" - https://pubs.acs.org/userimages/ContentEditor/1218054468605/ethics.pdf")</f>
        <v>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3" t="str">
        <f ca="1">IFERROR(__xludf.DUMMYFUNCTION("""COMPUTED_VALUE"""),"")</f>
        <v/>
      </c>
      <c r="AC3" t="str">
        <f ca="1">IFERROR(__xludf.DUMMYFUNCTION("""COMPUTED_VALUE"""),"")</f>
        <v/>
      </c>
      <c r="AD3" t="str">
        <f ca="1">IFERROR(__xludf.DUMMYFUNCTION("""COMPUTED_VALUE"""),"Unsure")</f>
        <v>Unsure</v>
      </c>
      <c r="AE3" t="str">
        <f ca="1">IFERROR(__xludf.DUMMYFUNCTION("""COMPUTED_VALUE"""),"Unsure")</f>
        <v>Unsure</v>
      </c>
      <c r="AF3" t="str">
        <f ca="1">IFERROR(__xludf.DUMMYFUNCTION("""COMPUTED_VALUE"""),"Unsure")</f>
        <v>Unsure</v>
      </c>
      <c r="AG3" t="str">
        <f ca="1">IFERROR(__xludf.DUMMYFUNCTION("""COMPUTED_VALUE"""),"https://pubs.acs.org/page/aamick/submission/prior.html, https://pubs.acs.org/paragonplus/submission/aamick/aamick_authguide.pdf")</f>
        <v>https://pubs.acs.org/page/aamick/submission/prior.html, https://pubs.acs.org/paragonplus/submission/aamick/aamick_authguide.pdf</v>
      </c>
      <c r="AH3" t="str">
        <f ca="1">IFERROR(__xludf.DUMMYFUNCTION("""COMPUTED_VALUE"""),"First submission only (before peer review)")</f>
        <v>First submission only (before peer review)</v>
      </c>
      <c r="AI3" t="str">
        <f ca="1">IFERROR(__xludf.DUMMYFUNCTION("""COMPUTED_VALUE"""),"")</f>
        <v/>
      </c>
      <c r="AJ3" t="str">
        <f ca="1">IFERROR(__xludf.DUMMYFUNCTION("""COMPUTED_VALUE"""),"Unsure")</f>
        <v>Unsure</v>
      </c>
      <c r="AK3" t="str">
        <f ca="1">IFERROR(__xludf.DUMMYFUNCTION("""COMPUTED_VALUE"""),"No")</f>
        <v>No</v>
      </c>
      <c r="AL3" t="str">
        <f ca="1">IFERROR(__xludf.DUMMYFUNCTION("""COMPUTED_VALUE"""),"")</f>
        <v/>
      </c>
      <c r="AM3" t="str">
        <f ca="1">IFERROR(__xludf.DUMMYFUNCTION("""COMPUTED_VALUE"""),"")</f>
        <v/>
      </c>
      <c r="AN3" t="str">
        <f ca="1">IFERROR(__xludf.DUMMYFUNCTION("""COMPUTED_VALUE"""),"")</f>
        <v/>
      </c>
      <c r="AO3" t="str">
        <f ca="1">IFERROR(__xludf.DUMMYFUNCTION("""COMPUTED_VALUE"""),"")</f>
        <v/>
      </c>
      <c r="AP3" t="str">
        <f ca="1">IFERROR(__xludf.DUMMYFUNCTION("""COMPUTED_VALUE"""),"")</f>
        <v/>
      </c>
      <c r="AQ3" t="str">
        <f ca="1">IFERROR(__xludf.DUMMYFUNCTION("""COMPUTED_VALUE"""),"")</f>
        <v/>
      </c>
      <c r="AR3" t="str">
        <f ca="1">IFERROR(__xludf.DUMMYFUNCTION("""COMPUTED_VALUE"""),"")</f>
        <v/>
      </c>
    </row>
    <row r="4" spans="1:44" ht="13">
      <c r="A4" t="str">
        <f ca="1">IFERROR(__xludf.DUMMYFUNCTION("""COMPUTED_VALUE"""),"SR")</f>
        <v>SR</v>
      </c>
      <c r="B4" s="41">
        <f ca="1">IFERROR(__xludf.DUMMYFUNCTION("""COMPUTED_VALUE"""),43426)</f>
        <v>43426</v>
      </c>
      <c r="C4" t="str">
        <f ca="1">IFERROR(__xludf.DUMMYFUNCTION("""COMPUTED_VALUE"""),"TRH")</f>
        <v>TRH</v>
      </c>
      <c r="D4" s="28">
        <f ca="1">IFERROR(__xludf.DUMMYFUNCTION("""COMPUTED_VALUE"""),43575)</f>
        <v>43575</v>
      </c>
      <c r="E4" t="str">
        <f ca="1">IFERROR(__xludf.DUMMYFUNCTION("""COMPUTED_VALUE"""),"JP")</f>
        <v>JP</v>
      </c>
      <c r="F4" s="28">
        <f ca="1">IFERROR(__xludf.DUMMYFUNCTION("""COMPUTED_VALUE"""),43581)</f>
        <v>43581</v>
      </c>
      <c r="G4" t="str">
        <f ca="1">IFERROR(__xludf.DUMMYFUNCTION("""COMPUTED_VALUE"""),"Where do Nos come from in OPR section?; Reviewer identities revealed to author set as conditional based on: https://pubs.acs.org/userimages/ContentEditor/1218054468605/ethics.pdf")</f>
        <v>Where do Nos come from in OPR section?; Reviewer identities revealed to author set as conditional based on: https://pubs.acs.org/userimages/ContentEditor/1218054468605/ethics.pdf</v>
      </c>
      <c r="H4" t="str">
        <f ca="1">IFERROR(__xludf.DUMMYFUNCTION("""COMPUTED_VALUE"""),"1520-4898")</f>
        <v>1520-4898</v>
      </c>
      <c r="I4" t="str">
        <f ca="1">IFERROR(__xludf.DUMMYFUNCTION("""COMPUTED_VALUE"""),"Accounts of Chemical Research")</f>
        <v>Accounts of Chemical Research</v>
      </c>
      <c r="J4" t="str">
        <f ca="1">IFERROR(__xludf.DUMMYFUNCTION("""COMPUTED_VALUE"""),"Chemical &amp; Materials Sciences")</f>
        <v>Chemical &amp; Materials Sciences</v>
      </c>
      <c r="K4" t="str">
        <f ca="1">IFERROR(__xludf.DUMMYFUNCTION("""COMPUTED_VALUE"""),"American Chemical Society")</f>
        <v>American Chemical Society</v>
      </c>
      <c r="L4" t="str">
        <f ca="1">IFERROR(__xludf.DUMMYFUNCTION("""COMPUTED_VALUE"""),"Single Blind")</f>
        <v>Single Blind</v>
      </c>
      <c r="M4" s="93" t="str">
        <f ca="1">IFERROR(__xludf.DUMMYFUNCTION("""COMPUTED_VALUE"""),"https://pubs.acs.org/paragonplus/submission/achre4/achre4_authguide.pdf")</f>
        <v>https://pubs.acs.org/paragonplus/submission/achre4/achre4_authguide.pdf</v>
      </c>
      <c r="N4" t="str">
        <f ca="1">IFERROR(__xludf.DUMMYFUNCTION("""COMPUTED_VALUE"""),"")</f>
        <v/>
      </c>
      <c r="O4" t="str">
        <f ca="1">IFERROR(__xludf.DUMMYFUNCTION("""COMPUTED_VALUE"""),"")</f>
        <v/>
      </c>
      <c r="P4" t="str">
        <f ca="1">IFERROR(__xludf.DUMMYFUNCTION("""COMPUTED_VALUE"""),"Unsure")</f>
        <v>Unsure</v>
      </c>
      <c r="Q4" t="str">
        <f ca="1">IFERROR(__xludf.DUMMYFUNCTION("""COMPUTED_VALUE"""),"If your submission is declined for publication by this journal, the editors might deem your work to be
better suited for another ACS Publications journal and suggest that the authors consider transferring the
submission. Manuscript Transfer simplifies and"&amp;" shortens the process of submitting to another ACS
journal, as all the coauthors, suggested reviewers, manuscript files, and responses to submission
questions are copied by ACS Paragon Plus to the new draft submission. Authors are free to accept or
declin"&amp;"e the transfer offer.
Note that each journal is editorially independent. Transferring a manuscript is not a guarantee that the
manuscript will be accepted, as the final publication decision will belong to the editor of the next
journal.")</f>
        <v>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R4" t="str">
        <f ca="1">IFERROR(__xludf.DUMMYFUNCTION("""COMPUTED_VALUE"""),"https://pubs.acs.org/paragonplus/submission/achre4/achre4_authguide.pdf, https://pubs.acs.org/page/policy/manuscript_transfer/index.html")</f>
        <v>https://pubs.acs.org/paragonplus/submission/achre4/achre4_authguide.pdf, https://pubs.acs.org/page/policy/manuscript_transfer/index.html</v>
      </c>
      <c r="S4" t="str">
        <f ca="1">IFERROR(__xludf.DUMMYFUNCTION("""COMPUTED_VALUE"""),"Not specified")</f>
        <v>Not specified</v>
      </c>
      <c r="T4" t="str">
        <f ca="1">IFERROR(__xludf.DUMMYFUNCTION("""COMPUTED_VALUE"""),"Not specified")</f>
        <v>Not specified</v>
      </c>
      <c r="U4" t="str">
        <f ca="1">IFERROR(__xludf.DUMMYFUNCTION("""COMPUTED_VALUE"""),"Not specified")</f>
        <v>Not specified</v>
      </c>
      <c r="V4" t="str">
        <f ca="1">IFERROR(__xludf.DUMMYFUNCTION("""COMPUTED_VALUE"""),"Not specified")</f>
        <v>Not specified</v>
      </c>
      <c r="W4" t="str">
        <f ca="1">IFERROR(__xludf.DUMMYFUNCTION("""COMPUTED_VALUE"""),"No")</f>
        <v>No</v>
      </c>
      <c r="X4" t="str">
        <f ca="1">IFERROR(__xludf.DUMMYFUNCTION("""COMPUTED_VALUE"""),"Conditional")</f>
        <v>Conditional</v>
      </c>
      <c r="Y4" t="str">
        <f ca="1">IFERROR(__xludf.DUMMYFUNCTION("""COMPUTED_VALUE"""),"Not specified")</f>
        <v>Not specified</v>
      </c>
      <c r="Z4" t="str">
        <f ca="1">IFERROR(__xludf.DUMMYFUNCTION("""COMPUTED_VALUE"""),"Not specified")</f>
        <v>Not specified</v>
      </c>
      <c r="AA4" t="str">
        <f ca="1">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4" t="str">
        <f ca="1">IFERROR(__xludf.DUMMYFUNCTION("""COMPUTED_VALUE"""),"")</f>
        <v/>
      </c>
      <c r="AC4" t="str">
        <f ca="1">IFERROR(__xludf.DUMMYFUNCTION("""COMPUTED_VALUE"""),"")</f>
        <v/>
      </c>
      <c r="AD4" t="str">
        <f ca="1">IFERROR(__xludf.DUMMYFUNCTION("""COMPUTED_VALUE"""),"Unsure")</f>
        <v>Unsure</v>
      </c>
      <c r="AE4" t="str">
        <f ca="1">IFERROR(__xludf.DUMMYFUNCTION("""COMPUTED_VALUE"""),"Unsure")</f>
        <v>Unsure</v>
      </c>
      <c r="AF4" t="str">
        <f ca="1">IFERROR(__xludf.DUMMYFUNCTION("""COMPUTED_VALUE"""),"Unsure")</f>
        <v>Unsure</v>
      </c>
      <c r="AG4" s="93" t="str">
        <f ca="1">IFERROR(__xludf.DUMMYFUNCTION("""COMPUTED_VALUE"""),"https://pubs.acs.org/paragonplus/submission/achre4/achre4_authguide.pdf")</f>
        <v>https://pubs.acs.org/paragonplus/submission/achre4/achre4_authguide.pdf</v>
      </c>
      <c r="AH4" t="str">
        <f ca="1">IFERROR(__xludf.DUMMYFUNCTION("""COMPUTED_VALUE"""),"None (preprints not allowed)")</f>
        <v>None (preprints not allowed)</v>
      </c>
      <c r="AI4" t="str">
        <f ca="1">IFERROR(__xludf.DUMMYFUNCTION("""COMPUTED_VALUE"""),"Because Accounts of Chemical Research publishes review-like content, the posting of manuscripts on a preprint server such as ArXiv, BioRxiv or ChemRxiv is not appropriate. Manuscripts that have been publicly posted will not be accepted.")</f>
        <v>Because Accounts of Chemical Research publishes review-like content, the posting of manuscripts on a preprint server such as ArXiv, BioRxiv or ChemRxiv is not appropriate. Manuscripts that have been publicly posted will not be accepted.</v>
      </c>
      <c r="AJ4" t="str">
        <f ca="1">IFERROR(__xludf.DUMMYFUNCTION("""COMPUTED_VALUE"""),"Unsure")</f>
        <v>Unsure</v>
      </c>
      <c r="AK4" t="str">
        <f ca="1">IFERROR(__xludf.DUMMYFUNCTION("""COMPUTED_VALUE"""),"No")</f>
        <v>No</v>
      </c>
      <c r="AL4" t="str">
        <f ca="1">IFERROR(__xludf.DUMMYFUNCTION("""COMPUTED_VALUE"""),"")</f>
        <v/>
      </c>
      <c r="AM4" t="str">
        <f ca="1">IFERROR(__xludf.DUMMYFUNCTION("""COMPUTED_VALUE"""),"")</f>
        <v/>
      </c>
      <c r="AN4" t="str">
        <f ca="1">IFERROR(__xludf.DUMMYFUNCTION("""COMPUTED_VALUE"""),"")</f>
        <v/>
      </c>
      <c r="AO4" t="str">
        <f ca="1">IFERROR(__xludf.DUMMYFUNCTION("""COMPUTED_VALUE"""),"")</f>
        <v/>
      </c>
      <c r="AP4" t="str">
        <f ca="1">IFERROR(__xludf.DUMMYFUNCTION("""COMPUTED_VALUE"""),"")</f>
        <v/>
      </c>
      <c r="AQ4" t="str">
        <f ca="1">IFERROR(__xludf.DUMMYFUNCTION("""COMPUTED_VALUE"""),"")</f>
        <v/>
      </c>
      <c r="AR4" t="str">
        <f ca="1">IFERROR(__xludf.DUMMYFUNCTION("""COMPUTED_VALUE"""),"")</f>
        <v/>
      </c>
    </row>
    <row r="5" spans="1:44" ht="13">
      <c r="A5" t="str">
        <f ca="1">IFERROR(__xludf.DUMMYFUNCTION("""COMPUTED_VALUE"""),"SR")</f>
        <v>SR</v>
      </c>
      <c r="B5" s="41">
        <f ca="1">IFERROR(__xludf.DUMMYFUNCTION("""COMPUTED_VALUE"""),43426)</f>
        <v>43426</v>
      </c>
      <c r="C5" t="str">
        <f ca="1">IFERROR(__xludf.DUMMYFUNCTION("""COMPUTED_VALUE"""),"NP")</f>
        <v>NP</v>
      </c>
      <c r="D5" s="28">
        <f ca="1">IFERROR(__xludf.DUMMYFUNCTION("""COMPUTED_VALUE"""),43574)</f>
        <v>43574</v>
      </c>
      <c r="E5" t="str">
        <f ca="1">IFERROR(__xludf.DUMMYFUNCTION("""COMPUTED_VALUE"""),"JP")</f>
        <v>JP</v>
      </c>
      <c r="F5" s="28">
        <f ca="1">IFERROR(__xludf.DUMMYFUNCTION("""COMPUTED_VALUE"""),43581)</f>
        <v>43581</v>
      </c>
      <c r="G5" t="str">
        <f ca="1">IFERROR(__xludf.DUMMYFUNCTION("""COMPUTED_VALUE"""),"Reviewer identities revealed to author set as conditional based on: https://pubs.acs.org/userimages/ContentEditor/1218054468605/ethics.pdf ; modified acceptable characteristics of servers to remove not specified")</f>
        <v>Reviewer identities revealed to author set as conditional based on: https://pubs.acs.org/userimages/ContentEditor/1218054468605/ethics.pdf ; modified acceptable characteristics of servers to remove not specified</v>
      </c>
      <c r="H5" t="str">
        <f ca="1">IFERROR(__xludf.DUMMYFUNCTION("""COMPUTED_VALUE"""),"2155-5435")</f>
        <v>2155-5435</v>
      </c>
      <c r="I5" t="str">
        <f ca="1">IFERROR(__xludf.DUMMYFUNCTION("""COMPUTED_VALUE"""),"ACS Catalysis")</f>
        <v>ACS Catalysis</v>
      </c>
      <c r="J5" t="str">
        <f ca="1">IFERROR(__xludf.DUMMYFUNCTION("""COMPUTED_VALUE"""),"")</f>
        <v/>
      </c>
      <c r="K5" t="str">
        <f ca="1">IFERROR(__xludf.DUMMYFUNCTION("""COMPUTED_VALUE"""),"American Chemical Society")</f>
        <v>American Chemical Society</v>
      </c>
      <c r="L5" t="str">
        <f ca="1">IFERROR(__xludf.DUMMYFUNCTION("""COMPUTED_VALUE"""),"Single blind")</f>
        <v>Single blind</v>
      </c>
      <c r="M5" t="str">
        <f ca="1">IFERROR(__xludf.DUMMYFUNCTION("""COMPUTED_VALUE"""),"https://pubs.acs.org/page/accacs/submission/reviewers.html and https://pubs.acs.org/userimages/ContentEditor/1218054468605/ethics.pdf")</f>
        <v>https://pubs.acs.org/page/accacs/submission/reviewers.html and https://pubs.acs.org/userimages/ContentEditor/1218054468605/ethics.pdf</v>
      </c>
      <c r="N5" t="str">
        <f ca="1">IFERROR(__xludf.DUMMYFUNCTION("""COMPUTED_VALUE"""),"")</f>
        <v/>
      </c>
      <c r="O5" t="str">
        <f ca="1">IFERROR(__xludf.DUMMYFUNCTION("""COMPUTED_VALUE"""),"Not specified")</f>
        <v>Not specified</v>
      </c>
      <c r="P5" t="str">
        <f ca="1">IFERROR(__xludf.DUMMYFUNCTION("""COMPUTED_VALUE"""),"Unsure")</f>
        <v>Unsure</v>
      </c>
      <c r="Q5" t="str">
        <f ca="1">IFERROR(__xludf.DUMMYFUNCTION("""COMPUTED_VALUE"""),"If the manuscript has been peer reviewed, the reviews and the reviewer identities will be transferred to the next journal. If authors do not wish to share the reviews, they should decline the offer to transfer the submission. Sharing the editor’s decision"&amp;" letter and manuscript reviews, if available, may shorten the decision time in the next journal. However, the editor of the next journal may still elect to send the manuscript out for additional peer review. The ACS editor’s decision letter is always shar"&amp;"ed with the next journal. If authors do not wish to share the editor’s decision letter, they should decline the offer to transfer the submission.")</f>
        <v>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v>
      </c>
      <c r="R5" s="93" t="str">
        <f ca="1">IFERROR(__xludf.DUMMYFUNCTION("""COMPUTED_VALUE"""),"https://pubs.acs.org/page/policy/manuscript_transfer/index.html")</f>
        <v>https://pubs.acs.org/page/policy/manuscript_transfer/index.html</v>
      </c>
      <c r="S5" t="str">
        <f ca="1">IFERROR(__xludf.DUMMYFUNCTION("""COMPUTED_VALUE"""),"Not specified")</f>
        <v>Not specified</v>
      </c>
      <c r="T5" t="str">
        <f ca="1">IFERROR(__xludf.DUMMYFUNCTION("""COMPUTED_VALUE"""),"Not specified")</f>
        <v>Not specified</v>
      </c>
      <c r="U5" t="str">
        <f ca="1">IFERROR(__xludf.DUMMYFUNCTION("""COMPUTED_VALUE"""),"Not specified")</f>
        <v>Not specified</v>
      </c>
      <c r="V5" t="str">
        <f ca="1">IFERROR(__xludf.DUMMYFUNCTION("""COMPUTED_VALUE"""),"Not specified")</f>
        <v>Not specified</v>
      </c>
      <c r="W5" t="str">
        <f ca="1">IFERROR(__xludf.DUMMYFUNCTION("""COMPUTED_VALUE"""),"No")</f>
        <v>No</v>
      </c>
      <c r="X5" t="str">
        <f ca="1">IFERROR(__xludf.DUMMYFUNCTION("""COMPUTED_VALUE"""),"Conditional")</f>
        <v>Conditional</v>
      </c>
      <c r="Y5" t="str">
        <f ca="1">IFERROR(__xludf.DUMMYFUNCTION("""COMPUTED_VALUE"""),"Not specified")</f>
        <v>Not specified</v>
      </c>
      <c r="Z5" t="str">
        <f ca="1">IFERROR(__xludf.DUMMYFUNCTION("""COMPUTED_VALUE"""),"Not specified")</f>
        <v>Not specified</v>
      </c>
      <c r="AA5" t="str">
        <f ca="1">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5" t="str">
        <f ca="1">IFERROR(__xludf.DUMMYFUNCTION("""COMPUTED_VALUE"""),"Not specified")</f>
        <v>Not specified</v>
      </c>
      <c r="AC5" t="str">
        <f ca="1">IFERROR(__xludf.DUMMYFUNCTION("""COMPUTED_VALUE"""),"")</f>
        <v/>
      </c>
      <c r="AD5" t="str">
        <f ca="1">IFERROR(__xludf.DUMMYFUNCTION("""COMPUTED_VALUE"""),"Unsure")</f>
        <v>Unsure</v>
      </c>
      <c r="AE5" t="str">
        <f ca="1">IFERROR(__xludf.DUMMYFUNCTION("""COMPUTED_VALUE"""),"Unsure")</f>
        <v>Unsure</v>
      </c>
      <c r="AF5" t="str">
        <f ca="1">IFERROR(__xludf.DUMMYFUNCTION("""COMPUTED_VALUE"""),"Unsure")</f>
        <v>Unsure</v>
      </c>
      <c r="AG5" s="93" t="str">
        <f ca="1">IFERROR(__xludf.DUMMYFUNCTION("""COMPUTED_VALUE"""),"https://pubs.acs.org/page/accacs/submission/prior.html https://pubs.acs.org/page/policy/authorchoice/index.html")</f>
        <v>https://pubs.acs.org/page/accacs/submission/prior.html https://pubs.acs.org/page/policy/authorchoice/index.html</v>
      </c>
      <c r="AH5" t="str">
        <f ca="1">IFERROR(__xludf.DUMMYFUNCTION("""COMPUTED_VALUE""")," First submission only (before peer review)")</f>
        <v xml:space="preserve"> First submission only (before peer review)</v>
      </c>
      <c r="AI5" t="str">
        <f ca="1">IFERROR(__xludf.DUMMYFUNCTION("""COMPUTED_VALUE"""),"""Posting of the original submitted manuscript to a pre-print server is acceptable. Please note the use of a pre-print server explicitly in the cover letter, and as appropriate, state how the manuscript has been adjusted/updated between the pre-print vers"&amp;"ion and the version submitted to ACS Catalysis. Authors may not revise these preprints. Upon publication in ACS Catalysis authors are advised to add a link from the preprint to the published paper via the Digital Object Identifier (DOI). Some services,suc"&amp;"h as ChemRxiv and bioRxiv, add this link for authors automatically after publication"".")</f>
        <v>"Posting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v>
      </c>
      <c r="AJ5" t="str">
        <f ca="1">IFERROR(__xludf.DUMMYFUNCTION("""COMPUTED_VALUE"""),"Unsure")</f>
        <v>Unsure</v>
      </c>
      <c r="AK5" t="str">
        <f ca="1">IFERROR(__xludf.DUMMYFUNCTION("""COMPUTED_VALUE"""),"Unsure")</f>
        <v>Unsure</v>
      </c>
      <c r="AL5" t="str">
        <f ca="1">IFERROR(__xludf.DUMMYFUNCTION("""COMPUTED_VALUE"""),"Ethics statement: ""A scientist should not proclaim a discovery to the public unless the experimental, statistical, or theoretical support for it is of strength sufficient to warrant publication in the scientific literature. An account of the experimental"&amp;" work and results that support a public pronouncement should be submitted as quickly as possible for publication in a scientific journal. Scientists should, however, be aware that disclosure of research results in the public press or in an electronic data"&amp;"base or bulletin board might be considered by a journal editor as equivalent to a preliminary communication in the scientific literature.""")</f>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AM5" t="str">
        <f ca="1">IFERROR(__xludf.DUMMYFUNCTION("""COMPUTED_VALUE"""),"")</f>
        <v/>
      </c>
      <c r="AN5" t="str">
        <f ca="1">IFERROR(__xludf.DUMMYFUNCTION("""COMPUTED_VALUE"""),"")</f>
        <v/>
      </c>
      <c r="AO5" t="str">
        <f ca="1">IFERROR(__xludf.DUMMYFUNCTION("""COMPUTED_VALUE"""),"")</f>
        <v/>
      </c>
      <c r="AP5" t="str">
        <f ca="1">IFERROR(__xludf.DUMMYFUNCTION("""COMPUTED_VALUE"""),"")</f>
        <v/>
      </c>
      <c r="AQ5" t="str">
        <f ca="1">IFERROR(__xludf.DUMMYFUNCTION("""COMPUTED_VALUE"""),"")</f>
        <v/>
      </c>
      <c r="AR5" t="str">
        <f ca="1">IFERROR(__xludf.DUMMYFUNCTION("""COMPUTED_VALUE"""),"")</f>
        <v/>
      </c>
    </row>
    <row r="6" spans="1:44" ht="13">
      <c r="A6" t="str">
        <f ca="1">IFERROR(__xludf.DUMMYFUNCTION("""COMPUTED_VALUE"""),"SR")</f>
        <v>SR</v>
      </c>
      <c r="B6" s="41">
        <f ca="1">IFERROR(__xludf.DUMMYFUNCTION("""COMPUTED_VALUE"""),43425)</f>
        <v>43425</v>
      </c>
      <c r="C6" t="str">
        <f ca="1">IFERROR(__xludf.DUMMYFUNCTION("""COMPUTED_VALUE"""),"TRH")</f>
        <v>TRH</v>
      </c>
      <c r="D6" s="28">
        <f ca="1">IFERROR(__xludf.DUMMYFUNCTION("""COMPUTED_VALUE"""),43575)</f>
        <v>43575</v>
      </c>
      <c r="E6" t="str">
        <f ca="1">IFERROR(__xludf.DUMMYFUNCTION("""COMPUTED_VALUE"""),"JP")</f>
        <v>JP</v>
      </c>
      <c r="F6" s="28">
        <f ca="1">IFERROR(__xludf.DUMMYFUNCTION("""COMPUTED_VALUE"""),43581)</f>
        <v>43581</v>
      </c>
      <c r="G6" t="str">
        <f ca="1">IFERROR(__xludf.DUMMYFUNCTION("""COMPUTED_VALUE"""),"Where do Nos come from in OPR section?; TRH - Changed to not specified")</f>
        <v>Where do Nos come from in OPR section?; TRH - Changed to not specified</v>
      </c>
      <c r="H6" t="str">
        <f ca="1">IFERROR(__xludf.DUMMYFUNCTION("""COMPUTED_VALUE"""),"0001-4273")</f>
        <v>0001-4273</v>
      </c>
      <c r="I6" t="str">
        <f ca="1">IFERROR(__xludf.DUMMYFUNCTION("""COMPUTED_VALUE"""),"Academy of Management Journal")</f>
        <v>Academy of Management Journal</v>
      </c>
      <c r="J6" t="str">
        <f ca="1">IFERROR(__xludf.DUMMYFUNCTION("""COMPUTED_VALUE"""),"Business, Economics &amp; Management")</f>
        <v>Business, Economics &amp; Management</v>
      </c>
      <c r="K6" t="str">
        <f ca="1">IFERROR(__xludf.DUMMYFUNCTION("""COMPUTED_VALUE"""),"Academy of Management")</f>
        <v>Academy of Management</v>
      </c>
      <c r="L6" s="41" t="str">
        <f ca="1">IFERROR(__xludf.DUMMYFUNCTION("""COMPUTED_VALUE"""),"Double blind")</f>
        <v>Double blind</v>
      </c>
      <c r="M6" t="str">
        <f ca="1">IFERROR(__xludf.DUMMYFUNCTION("""COMPUTED_VALUE"""),"http://aom.org/Publications/AMJ/Information-for-Contributors.aspx, https://aom.org/Publications/AMR/Frequently-Asked-Questions.aspx#amrR7")</f>
        <v>http://aom.org/Publications/AMJ/Information-for-Contributors.aspx, https://aom.org/Publications/AMR/Frequently-Asked-Questions.aspx#amrR7</v>
      </c>
      <c r="N6" s="118" t="str">
        <f ca="1">IFERROR(__xludf.DUMMYFUNCTION("""COMPUTED_VALUE"""),"http://aom.org/uploadedFiles/Publications/AMJ/07_Colquitt_IrelandApr09FTE.pdf")</f>
        <v>http://aom.org/uploadedFiles/Publications/AMJ/07_Colquitt_IrelandApr09FTE.pdf</v>
      </c>
      <c r="O6" t="str">
        <f ca="1">IFERROR(__xludf.DUMMYFUNCTION("""COMPUTED_VALUE"""),"")</f>
        <v/>
      </c>
      <c r="P6" s="28" t="str">
        <f ca="1">IFERROR(__xludf.DUMMYFUNCTION("""COMPUTED_VALUE"""),"Unsure")</f>
        <v>Unsure</v>
      </c>
      <c r="Q6" t="str">
        <f ca="1">IFERROR(__xludf.DUMMYFUNCTION("""COMPUTED_VALUE"""),"")</f>
        <v/>
      </c>
      <c r="R6" t="str">
        <f ca="1">IFERROR(__xludf.DUMMYFUNCTION("""COMPUTED_VALUE"""),"")</f>
        <v/>
      </c>
      <c r="S6" t="str">
        <f ca="1">IFERROR(__xludf.DUMMYFUNCTION("""COMPUTED_VALUE"""),"Not specified")</f>
        <v>Not specified</v>
      </c>
      <c r="T6" t="str">
        <f ca="1">IFERROR(__xludf.DUMMYFUNCTION("""COMPUTED_VALUE"""),"Not specified")</f>
        <v>Not specified</v>
      </c>
      <c r="U6" t="str">
        <f ca="1">IFERROR(__xludf.DUMMYFUNCTION("""COMPUTED_VALUE"""),"Not specified")</f>
        <v>Not specified</v>
      </c>
      <c r="V6" t="str">
        <f ca="1">IFERROR(__xludf.DUMMYFUNCTION("""COMPUTED_VALUE"""),"Not specified")</f>
        <v>Not specified</v>
      </c>
      <c r="W6" t="str">
        <f ca="1">IFERROR(__xludf.DUMMYFUNCTION("""COMPUTED_VALUE"""),"Not specified")</f>
        <v>Not specified</v>
      </c>
      <c r="X6" t="str">
        <f ca="1">IFERROR(__xludf.DUMMYFUNCTION("""COMPUTED_VALUE"""),"Not specified")</f>
        <v>Not specified</v>
      </c>
      <c r="Y6" t="str">
        <f ca="1">IFERROR(__xludf.DUMMYFUNCTION("""COMPUTED_VALUE"""),"Not specified")</f>
        <v>Not specified</v>
      </c>
      <c r="Z6" t="str">
        <f ca="1">IFERROR(__xludf.DUMMYFUNCTION("""COMPUTED_VALUE"""),"Not specified")</f>
        <v>Not specified</v>
      </c>
      <c r="AA6" t="str">
        <f ca="1">IFERROR(__xludf.DUMMYFUNCTION("""COMPUTED_VALUE"""),"")</f>
        <v/>
      </c>
      <c r="AB6" t="str">
        <f ca="1">IFERROR(__xludf.DUMMYFUNCTION("""COMPUTED_VALUE"""),"Can I have my student write my review? No, your review should be written by you. Do not have your students write your reviews for AMR. Our authors expect, and deserve, high quality reviews from the leading scholars in the field. We understand that doctora"&amp;"l students need to learn how to write reviews, but there are other methods that can be used. For example, you could share your own manuscripts and the reviews you received as an author with your students to facilitate their learning. ")</f>
        <v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v>
      </c>
      <c r="AC6" s="93" t="str">
        <f ca="1">IFERROR(__xludf.DUMMYFUNCTION("""COMPUTED_VALUE"""),"https://aom.org/Publications/AMR/Frequently-Asked-Questions.aspx#amrR7")</f>
        <v>https://aom.org/Publications/AMR/Frequently-Asked-Questions.aspx#amrR7</v>
      </c>
      <c r="AD6" t="str">
        <f ca="1">IFERROR(__xludf.DUMMYFUNCTION("""COMPUTED_VALUE"""),"No")</f>
        <v>No</v>
      </c>
      <c r="AE6" t="str">
        <f ca="1">IFERROR(__xludf.DUMMYFUNCTION("""COMPUTED_VALUE"""),"No")</f>
        <v>No</v>
      </c>
      <c r="AF6" t="str">
        <f ca="1">IFERROR(__xludf.DUMMYFUNCTION("""COMPUTED_VALUE"""),"No")</f>
        <v>No</v>
      </c>
      <c r="AG6" s="93" t="str">
        <f ca="1">IFERROR(__xludf.DUMMYFUNCTION("""COMPUTED_VALUE"""),"http://aom.org/Publications/AMJ/Information-for-Contributors.aspx")</f>
        <v>http://aom.org/Publications/AMJ/Information-for-Contributors.aspx</v>
      </c>
      <c r="AH6" t="str">
        <f ca="1">IFERROR(__xludf.DUMMYFUNCTION("""COMPUTED_VALUE"""),"None")</f>
        <v>None</v>
      </c>
      <c r="AI6" t="str">
        <f ca="1">IFERROR(__xludf.DUMMYFUNCTION("""COMPUTED_VALUE"""),"Submission Requirements: When authors submit their manuscripts to AMJ for publication consideration, they agree to abide by AMJ’s publication requirements. Specifically, an author must ... Agree that working papers, prior drafts, and/or final versions of "&amp;"submitted manuscripts that are posted on a Web site (e.g., personal, departmental, university, or working series sites) will be taken down during the review process.")</f>
        <v>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v>
      </c>
      <c r="AJ6" t="str">
        <f ca="1">IFERROR(__xludf.DUMMYFUNCTION("""COMPUTED_VALUE"""),"")</f>
        <v/>
      </c>
      <c r="AK6" t="str">
        <f ca="1">IFERROR(__xludf.DUMMYFUNCTION("""COMPUTED_VALUE"""),"No")</f>
        <v>No</v>
      </c>
      <c r="AL6" t="str">
        <f ca="1">IFERROR(__xludf.DUMMYFUNCTION("""COMPUTED_VALUE"""),"")</f>
        <v/>
      </c>
      <c r="AM6" t="str">
        <f ca="1">IFERROR(__xludf.DUMMYFUNCTION("""COMPUTED_VALUE"""),"")</f>
        <v/>
      </c>
      <c r="AN6" t="str">
        <f ca="1">IFERROR(__xludf.DUMMYFUNCTION("""COMPUTED_VALUE"""),"")</f>
        <v/>
      </c>
      <c r="AO6" t="str">
        <f ca="1">IFERROR(__xludf.DUMMYFUNCTION("""COMPUTED_VALUE"""),"")</f>
        <v/>
      </c>
      <c r="AP6" t="str">
        <f ca="1">IFERROR(__xludf.DUMMYFUNCTION("""COMPUTED_VALUE"""),"")</f>
        <v/>
      </c>
      <c r="AQ6" t="str">
        <f ca="1">IFERROR(__xludf.DUMMYFUNCTION("""COMPUTED_VALUE"""),"")</f>
        <v/>
      </c>
      <c r="AR6" t="str">
        <f ca="1">IFERROR(__xludf.DUMMYFUNCTION("""COMPUTED_VALUE"""),"")</f>
        <v/>
      </c>
    </row>
    <row r="7" spans="1:44" ht="13">
      <c r="A7" t="str">
        <f ca="1">IFERROR(__xludf.DUMMYFUNCTION("""COMPUTED_VALUE"""),"SR")</f>
        <v>SR</v>
      </c>
      <c r="B7" s="41">
        <f ca="1">IFERROR(__xludf.DUMMYFUNCTION("""COMPUTED_VALUE"""),43433)</f>
        <v>43433</v>
      </c>
      <c r="C7" t="str">
        <f ca="1">IFERROR(__xludf.DUMMYFUNCTION("""COMPUTED_VALUE"""),"NP")</f>
        <v>NP</v>
      </c>
      <c r="D7" s="28">
        <f ca="1">IFERROR(__xludf.DUMMYFUNCTION("""COMPUTED_VALUE"""),43574)</f>
        <v>43574</v>
      </c>
      <c r="E7" t="str">
        <f ca="1">IFERROR(__xludf.DUMMYFUNCTION("""COMPUTED_VALUE"""),"JP")</f>
        <v>JP</v>
      </c>
      <c r="F7" s="28">
        <f ca="1">IFERROR(__xludf.DUMMYFUNCTION("""COMPUTED_VALUE"""),43581)</f>
        <v>43581</v>
      </c>
      <c r="G7" t="str">
        <f ca="1">IFERROR(__xludf.DUMMYFUNCTION("""COMPUTED_VALUE"""),"Where do Nos come from in OPR section?; [TRH - changed to not spec.d] Reviewer identities revealed to author set as conditional based on: https://pubs.acs.org/userimages/ContentEditor/1218054468605/ethics.pdf")</f>
        <v>Where do Nos come from in OPR section?; [TRH - changed to not spec.d] Reviewer identities revealed to author set as conditional based on: https://pubs.acs.org/userimages/ContentEditor/1218054468605/ethics.pdf</v>
      </c>
      <c r="H7" t="str">
        <f ca="1">IFERROR(__xludf.DUMMYFUNCTION("""COMPUTED_VALUE"""),"1936-086X")</f>
        <v>1936-086X</v>
      </c>
      <c r="I7" t="str">
        <f ca="1">IFERROR(__xludf.DUMMYFUNCTION("""COMPUTED_VALUE"""),"ACS Nano")</f>
        <v>ACS Nano</v>
      </c>
      <c r="J7" t="str">
        <f ca="1">IFERROR(__xludf.DUMMYFUNCTION("""COMPUTED_VALUE"""),"Chemical &amp; Materials Sciences, Engineering &amp; Computer Science")</f>
        <v>Chemical &amp; Materials Sciences, Engineering &amp; Computer Science</v>
      </c>
      <c r="K7" t="str">
        <f ca="1">IFERROR(__xludf.DUMMYFUNCTION("""COMPUTED_VALUE"""),"American Chemical Society")</f>
        <v>American Chemical Society</v>
      </c>
      <c r="L7" s="41" t="str">
        <f ca="1">IFERROR(__xludf.DUMMYFUNCTION("""COMPUTED_VALUE"""),"Single blind")</f>
        <v>Single blind</v>
      </c>
      <c r="M7" s="93" t="str">
        <f ca="1">IFERROR(__xludf.DUMMYFUNCTION("""COMPUTED_VALUE"""),"https://pubs.acs.org/userimages/ContentEditor/1218054468605/ethics.pdf")</f>
        <v>https://pubs.acs.org/userimages/ContentEditor/1218054468605/ethics.pdf</v>
      </c>
      <c r="N7" s="118" t="str">
        <f ca="1">IFERROR(__xludf.DUMMYFUNCTION("""COMPUTED_VALUE"""),"https://pubs.acs.org/pb-assets/acspubs/Migrated/ancac3_revguide.pdf")</f>
        <v>https://pubs.acs.org/pb-assets/acspubs/Migrated/ancac3_revguide.pdf</v>
      </c>
      <c r="O7" t="str">
        <f ca="1">IFERROR(__xludf.DUMMYFUNCTION("""COMPUTED_VALUE"""),"Not specified")</f>
        <v>Not specified</v>
      </c>
      <c r="P7" s="28" t="str">
        <f ca="1">IFERROR(__xludf.DUMMYFUNCTION("""COMPUTED_VALUE"""),"Unsure")</f>
        <v>Unsure</v>
      </c>
      <c r="Q7" t="str">
        <f ca="1">IFERROR(__xludf.DUMMYFUNCTION("""COMPUTED_VALUE"""),"[To other ACS journals] If the manuscript has been peer reviewed, the reviews and the reviewer identities will be transferred to the next journal. If authors do not wish to share the reviews, they should decline the offer to transfer the submission.")</f>
        <v>[To other ACS journals] If the manuscript has been peer reviewed, the reviews and the reviewer identities will be transferred to the next journal. If authors do not wish to share the reviews, they should decline the offer to transfer the submission.</v>
      </c>
      <c r="R7" s="93" t="str">
        <f ca="1">IFERROR(__xludf.DUMMYFUNCTION("""COMPUTED_VALUE"""),"https://pubs.acs.org/page/policy/manuscript_transfer/index.html")</f>
        <v>https://pubs.acs.org/page/policy/manuscript_transfer/index.html</v>
      </c>
      <c r="S7" t="str">
        <f ca="1">IFERROR(__xludf.DUMMYFUNCTION("""COMPUTED_VALUE"""),"Not specified")</f>
        <v>Not specified</v>
      </c>
      <c r="T7" t="str">
        <f ca="1">IFERROR(__xludf.DUMMYFUNCTION("""COMPUTED_VALUE"""),"Not specified")</f>
        <v>Not specified</v>
      </c>
      <c r="U7" t="str">
        <f ca="1">IFERROR(__xludf.DUMMYFUNCTION("""COMPUTED_VALUE"""),"Not specified")</f>
        <v>Not specified</v>
      </c>
      <c r="V7" t="str">
        <f ca="1">IFERROR(__xludf.DUMMYFUNCTION("""COMPUTED_VALUE"""),"Not specified")</f>
        <v>Not specified</v>
      </c>
      <c r="W7" t="str">
        <f ca="1">IFERROR(__xludf.DUMMYFUNCTION("""COMPUTED_VALUE"""),"Not specified")</f>
        <v>Not specified</v>
      </c>
      <c r="X7" t="str">
        <f ca="1">IFERROR(__xludf.DUMMYFUNCTION("""COMPUTED_VALUE"""),"Conditional")</f>
        <v>Conditional</v>
      </c>
      <c r="Y7" t="str">
        <f ca="1">IFERROR(__xludf.DUMMYFUNCTION("""COMPUTED_VALUE"""),"Not specified")</f>
        <v>Not specified</v>
      </c>
      <c r="Z7" t="str">
        <f ca="1">IFERROR(__xludf.DUMMYFUNCTION("""COMPUTED_VALUE"""),"Not specified")</f>
        <v>Not specified</v>
      </c>
      <c r="AA7" t="str">
        <f ca="1">IFERROR(__xludf.DUMMYFUNCTION("""COMPUTED_VALUE"""),"""Reviewer and Review Confidentiality: If the reviewer wishes to disclose his/her identity to
the manuscript authors, the editor should be consulted, and the decision to disclose such
information to authors is the sole discretion of the editor"" - https:/"&amp;"/pubs.acs.org/userimages/ContentEditor/1218054468605/ethics.pdf")</f>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AB7" t="str">
        <f ca="1">IFERROR(__xludf.DUMMYFUNCTION("""COMPUTED_VALUE"""),"")</f>
        <v/>
      </c>
      <c r="AC7" t="str">
        <f ca="1">IFERROR(__xludf.DUMMYFUNCTION("""COMPUTED_VALUE"""),"")</f>
        <v/>
      </c>
      <c r="AD7" t="str">
        <f ca="1">IFERROR(__xludf.DUMMYFUNCTION("""COMPUTED_VALUE"""),"Unsure")</f>
        <v>Unsure</v>
      </c>
      <c r="AE7" t="str">
        <f ca="1">IFERROR(__xludf.DUMMYFUNCTION("""COMPUTED_VALUE"""),"Unsure")</f>
        <v>Unsure</v>
      </c>
      <c r="AF7" t="str">
        <f ca="1">IFERROR(__xludf.DUMMYFUNCTION("""COMPUTED_VALUE"""),"Unsure")</f>
        <v>Unsure</v>
      </c>
      <c r="AG7" s="93" t="str">
        <f ca="1">IFERROR(__xludf.DUMMYFUNCTION("""COMPUTED_VALUE"""),"https://pubs.acs.org/page/ancac3/submission/prior.html")</f>
        <v>https://pubs.acs.org/page/ancac3/submission/prior.html</v>
      </c>
      <c r="AH7" t="str">
        <f ca="1">IFERROR(__xludf.DUMMYFUNCTION("""COMPUTED_VALUE"""),"First submission only (before peer review)")</f>
        <v>First submission only (before peer review)</v>
      </c>
      <c r="AI7" t="str">
        <f ca="1">IFERROR(__xludf.DUMMYFUNCTION("""COMPUTED_VALUE"""),"")</f>
        <v/>
      </c>
      <c r="AJ7" t="str">
        <f ca="1">IFERROR(__xludf.DUMMYFUNCTION("""COMPUTED_VALUE"""),"Not specified")</f>
        <v>Not specified</v>
      </c>
      <c r="AK7" t="str">
        <f ca="1">IFERROR(__xludf.DUMMYFUNCTION("""COMPUTED_VALUE"""),"Unsure")</f>
        <v>Unsure</v>
      </c>
      <c r="AL7" t="str">
        <f ca="1">IFERROR(__xludf.DUMMYFUNCTION("""COMPUTED_VALUE"""),"Ethics statement: ""A scientist should not proclaim a discovery to the public unless the experimental, statistical, or theoretical support for it is of strength sufficient to warrant publication in the scientific literature. An account of the experimental"&amp;" work and results that support a public pronouncement should be submitted as quickly as possible for publication in a scientific journal. Scientists should, however, be aware that disclosure of research results in the public press or in an electronic data"&amp;"base or bulletin board might be considered by a journal editor as equivalent to a preliminary communication in the scientific literature.""")</f>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AM7" t="str">
        <f ca="1">IFERROR(__xludf.DUMMYFUNCTION("""COMPUTED_VALUE"""),"Not specified")</f>
        <v>Not specified</v>
      </c>
      <c r="AN7" t="str">
        <f ca="1">IFERROR(__xludf.DUMMYFUNCTION("""COMPUTED_VALUE"""),"Not specified")</f>
        <v>Not specified</v>
      </c>
      <c r="AO7" t="str">
        <f ca="1">IFERROR(__xludf.DUMMYFUNCTION("""COMPUTED_VALUE"""),"Not specified")</f>
        <v>Not specified</v>
      </c>
      <c r="AP7" t="str">
        <f ca="1">IFERROR(__xludf.DUMMYFUNCTION("""COMPUTED_VALUE"""),"")</f>
        <v/>
      </c>
      <c r="AQ7" t="str">
        <f ca="1">IFERROR(__xludf.DUMMYFUNCTION("""COMPUTED_VALUE"""),"")</f>
        <v/>
      </c>
      <c r="AR7" t="str">
        <f ca="1">IFERROR(__xludf.DUMMYFUNCTION("""COMPUTED_VALUE"""),"")</f>
        <v/>
      </c>
    </row>
    <row r="8" spans="1:44" ht="13">
      <c r="A8" t="str">
        <f ca="1">IFERROR(__xludf.DUMMYFUNCTION("""COMPUTED_VALUE"""),"SR")</f>
        <v>SR</v>
      </c>
      <c r="B8" s="41">
        <f ca="1">IFERROR(__xludf.DUMMYFUNCTION("""COMPUTED_VALUE"""),43433)</f>
        <v>43433</v>
      </c>
      <c r="C8" t="str">
        <f ca="1">IFERROR(__xludf.DUMMYFUNCTION("""COMPUTED_VALUE"""),"NP")</f>
        <v>NP</v>
      </c>
      <c r="D8" s="28">
        <f ca="1">IFERROR(__xludf.DUMMYFUNCTION("""COMPUTED_VALUE"""),43574)</f>
        <v>43574</v>
      </c>
      <c r="E8" t="str">
        <f ca="1">IFERROR(__xludf.DUMMYFUNCTION("""COMPUTED_VALUE"""),"JP")</f>
        <v>JP</v>
      </c>
      <c r="F8" s="28">
        <f ca="1">IFERROR(__xludf.DUMMYFUNCTION("""COMPUTED_VALUE"""),43581)</f>
        <v>43581</v>
      </c>
      <c r="G8" t="str">
        <f ca="1">IFERROR(__xludf.DUMMYFUNCTION("""COMPUTED_VALUE"""),"I don't think the link Naomi found reveals any actual info about the form; added caveat of single blind inferred")</f>
        <v>I don't think the link Naomi found reveals any actual info about the form; added caveat of single blind inferred</v>
      </c>
      <c r="H8" t="str">
        <f ca="1">IFERROR(__xludf.DUMMYFUNCTION("""COMPUTED_VALUE"""),"1614-6840")</f>
        <v>1614-6840</v>
      </c>
      <c r="I8" t="str">
        <f ca="1">IFERROR(__xludf.DUMMYFUNCTION("""COMPUTED_VALUE"""),"Advanced Energy Materials")</f>
        <v>Advanced Energy Materials</v>
      </c>
      <c r="J8" t="str">
        <f ca="1">IFERROR(__xludf.DUMMYFUNCTION("""COMPUTED_VALUE"""),"Chemical &amp; Materials Sciences, Engineering &amp; Computer Science")</f>
        <v>Chemical &amp; Materials Sciences, Engineering &amp; Computer Science</v>
      </c>
      <c r="K8" t="str">
        <f ca="1">IFERROR(__xludf.DUMMYFUNCTION("""COMPUTED_VALUE"""),"Wiley-VCH")</f>
        <v>Wiley-VCH</v>
      </c>
      <c r="L8" t="str">
        <f ca="1">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M8" s="93" t="str">
        <f ca="1">IFERROR(__xludf.DUMMYFUNCTION("""COMPUTED_VALUE"""),"https://application.wiley-vch.de/util/cta/euchems_ethicalguidelines.pdf")</f>
        <v>https://application.wiley-vch.de/util/cta/euchems_ethicalguidelines.pdf</v>
      </c>
      <c r="N8" t="str">
        <f ca="1">IFERROR(__xludf.DUMMYFUNCTION("""COMPUTED_VALUE"""),"")</f>
        <v/>
      </c>
      <c r="O8" t="str">
        <f ca="1">IFERROR(__xludf.DUMMYFUNCTION("""COMPUTED_VALUE"""),"")</f>
        <v/>
      </c>
      <c r="P8" t="str">
        <f ca="1">IFERROR(__xludf.DUMMYFUNCTION("""COMPUTED_VALUE"""),"Unsure")</f>
        <v>Unsure</v>
      </c>
      <c r="Q8" t="str">
        <f ca="1">IFERROR(__xludf.DUMMYFUNCTION("""COMPUTED_VALUE"""),"")</f>
        <v/>
      </c>
      <c r="R8" t="str">
        <f ca="1">IFERROR(__xludf.DUMMYFUNCTION("""COMPUTED_VALUE"""),"")</f>
        <v/>
      </c>
      <c r="S8" t="str">
        <f ca="1">IFERROR(__xludf.DUMMYFUNCTION("""COMPUTED_VALUE"""),"Not specified")</f>
        <v>Not specified</v>
      </c>
      <c r="T8" t="str">
        <f ca="1">IFERROR(__xludf.DUMMYFUNCTION("""COMPUTED_VALUE"""),"Not specified")</f>
        <v>Not specified</v>
      </c>
      <c r="U8" t="str">
        <f ca="1">IFERROR(__xludf.DUMMYFUNCTION("""COMPUTED_VALUE"""),"Not specified")</f>
        <v>Not specified</v>
      </c>
      <c r="V8" t="str">
        <f ca="1">IFERROR(__xludf.DUMMYFUNCTION("""COMPUTED_VALUE"""),"Not specified")</f>
        <v>Not specified</v>
      </c>
      <c r="W8" t="str">
        <f ca="1">IFERROR(__xludf.DUMMYFUNCTION("""COMPUTED_VALUE"""),"No")</f>
        <v>No</v>
      </c>
      <c r="X8" t="str">
        <f ca="1">IFERROR(__xludf.DUMMYFUNCTION("""COMPUTED_VALUE"""),"Not specified")</f>
        <v>Not specified</v>
      </c>
      <c r="Y8" t="str">
        <f ca="1">IFERROR(__xludf.DUMMYFUNCTION("""COMPUTED_VALUE"""),"Not specified")</f>
        <v>Not specified</v>
      </c>
      <c r="Z8" t="str">
        <f ca="1">IFERROR(__xludf.DUMMYFUNCTION("""COMPUTED_VALUE"""),"Not specified")</f>
        <v>Not specified</v>
      </c>
      <c r="AA8" t="str">
        <f ca="1">IFERROR(__xludf.DUMMYFUNCTION("""COMPUTED_VALUE"""),"")</f>
        <v/>
      </c>
      <c r="AB8" t="str">
        <f ca="1">IFERROR(__xludf.DUMMYFUNCTION("""COMPUTED_VALUE"""),"")</f>
        <v/>
      </c>
      <c r="AC8" t="str">
        <f ca="1">IFERROR(__xludf.DUMMYFUNCTION("""COMPUTED_VALUE"""),"")</f>
        <v/>
      </c>
      <c r="AD8" t="str">
        <f ca="1">IFERROR(__xludf.DUMMYFUNCTION("""COMPUTED_VALUE"""),"Unsure")</f>
        <v>Unsure</v>
      </c>
      <c r="AE8" t="str">
        <f ca="1">IFERROR(__xludf.DUMMYFUNCTION("""COMPUTED_VALUE"""),"Unsure")</f>
        <v>Unsure</v>
      </c>
      <c r="AF8" t="str">
        <f ca="1">IFERROR(__xludf.DUMMYFUNCTION("""COMPUTED_VALUE"""),"Unsure")</f>
        <v>Unsure</v>
      </c>
      <c r="AG8" t="str">
        <f ca="1">IFERROR(__xludf.DUMMYFUNCTION("""COMPUTED_VALUE"""),"https://onlinelibrary.wiley.com/pb-assets/assets/16146840/2528_Guide_for_Authors.pdf and https://wol-prod-cdn.literatumonline.com/pb-assets/assets/16146840/2528_Guide_for_Authors-1510012860000.pdf")</f>
        <v>https://onlinelibrary.wiley.com/pb-assets/assets/16146840/2528_Guide_for_Authors.pdf and https://wol-prod-cdn.literatumonline.com/pb-assets/assets/16146840/2528_Guide_for_Authors-1510012860000.pdf</v>
      </c>
      <c r="AH8" t="str">
        <f ca="1">IFERROR(__xludf.DUMMYFUNCTION("""COMPUTED_VALUE"""),"None (preprints not allowed)")</f>
        <v>None (preprints not allowed)</v>
      </c>
      <c r="AI8" t="str">
        <f ca="1">IFERROR(__xludf.DUMMYFUNCTION("""COMPUTED_VALUE"""),"")</f>
        <v/>
      </c>
      <c r="AJ8" t="str">
        <f ca="1">IFERROR(__xludf.DUMMYFUNCTION("""COMPUTED_VALUE"""),"Not specified")</f>
        <v>Not specified</v>
      </c>
      <c r="AK8" t="str">
        <f ca="1">IFERROR(__xludf.DUMMYFUNCTION("""COMPUTED_VALUE"""),"")</f>
        <v/>
      </c>
      <c r="AL8" t="str">
        <f ca="1">IFERROR(__xludf.DUMMYFUNCTION("""COMPUTED_VALUE"""),"")</f>
        <v/>
      </c>
      <c r="AM8" t="str">
        <f ca="1">IFERROR(__xludf.DUMMYFUNCTION("""COMPUTED_VALUE"""),"")</f>
        <v/>
      </c>
      <c r="AN8" t="str">
        <f ca="1">IFERROR(__xludf.DUMMYFUNCTION("""COMPUTED_VALUE"""),"")</f>
        <v/>
      </c>
      <c r="AO8" t="str">
        <f ca="1">IFERROR(__xludf.DUMMYFUNCTION("""COMPUTED_VALUE"""),"")</f>
        <v/>
      </c>
      <c r="AP8" t="str">
        <f ca="1">IFERROR(__xludf.DUMMYFUNCTION("""COMPUTED_VALUE"""),"Ethical guidelines link to URL with 404 (https://www.euchems.eu/fileadmin/user_upload/binaries/EthicalGuidelines_tcm23-54570.pdf), found elsewhere (EUChemS)")</f>
        <v>Ethical guidelines link to URL with 404 (https://www.euchems.eu/fileadmin/user_upload/binaries/EthicalGuidelines_tcm23-54570.pdf), found elsewhere (EUChemS)</v>
      </c>
      <c r="AQ8" t="str">
        <f ca="1">IFERROR(__xludf.DUMMYFUNCTION("""COMPUTED_VALUE"""),"")</f>
        <v/>
      </c>
      <c r="AR8" t="str">
        <f ca="1">IFERROR(__xludf.DUMMYFUNCTION("""COMPUTED_VALUE"""),"")</f>
        <v/>
      </c>
    </row>
    <row r="9" spans="1:44" ht="13">
      <c r="A9" t="str">
        <f ca="1">IFERROR(__xludf.DUMMYFUNCTION("""COMPUTED_VALUE"""),"SR")</f>
        <v>SR</v>
      </c>
      <c r="B9" s="41">
        <f ca="1">IFERROR(__xludf.DUMMYFUNCTION("""COMPUTED_VALUE"""),43433)</f>
        <v>43433</v>
      </c>
      <c r="C9" t="str">
        <f ca="1">IFERROR(__xludf.DUMMYFUNCTION("""COMPUTED_VALUE"""),"NP")</f>
        <v>NP</v>
      </c>
      <c r="D9" s="28">
        <f ca="1">IFERROR(__xludf.DUMMYFUNCTION("""COMPUTED_VALUE"""),43574)</f>
        <v>43574</v>
      </c>
      <c r="E9" t="str">
        <f ca="1">IFERROR(__xludf.DUMMYFUNCTION("""COMPUTED_VALUE"""),"JP")</f>
        <v>JP</v>
      </c>
      <c r="F9" s="28">
        <f ca="1">IFERROR(__xludf.DUMMYFUNCTION("""COMPUTED_VALUE"""),43581)</f>
        <v>43581</v>
      </c>
      <c r="G9" t="str">
        <f ca="1">IFERROR(__xludf.DUMMYFUNCTION("""COMPUTED_VALUE"""),"I don't think the link Naomi found reveals any actual info about the form; added caveat of single blind inferred")</f>
        <v>I don't think the link Naomi found reveals any actual info about the form; added caveat of single blind inferred</v>
      </c>
      <c r="H9" t="str">
        <f ca="1">IFERROR(__xludf.DUMMYFUNCTION("""COMPUTED_VALUE"""),"1616-3028")</f>
        <v>1616-3028</v>
      </c>
      <c r="I9" t="str">
        <f ca="1">IFERROR(__xludf.DUMMYFUNCTION("""COMPUTED_VALUE"""),"Advanced Functional Materials")</f>
        <v>Advanced Functional Materials</v>
      </c>
      <c r="J9" t="str">
        <f ca="1">IFERROR(__xludf.DUMMYFUNCTION("""COMPUTED_VALUE"""),"Chemical &amp; Materials Sciences, Engineering &amp; Computer Science")</f>
        <v>Chemical &amp; Materials Sciences, Engineering &amp; Computer Science</v>
      </c>
      <c r="K9" t="str">
        <f ca="1">IFERROR(__xludf.DUMMYFUNCTION("""COMPUTED_VALUE"""),"Wiley-VCH")</f>
        <v>Wiley-VCH</v>
      </c>
      <c r="L9" t="str">
        <f ca="1">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M9" s="93" t="str">
        <f ca="1">IFERROR(__xludf.DUMMYFUNCTION("""COMPUTED_VALUE"""),"https://application.wiley-vch.de/util/cta/euchems_ethicalguidelines.pdf")</f>
        <v>https://application.wiley-vch.de/util/cta/euchems_ethicalguidelines.pdf</v>
      </c>
      <c r="N9" t="str">
        <f ca="1">IFERROR(__xludf.DUMMYFUNCTION("""COMPUTED_VALUE"""),"")</f>
        <v/>
      </c>
      <c r="O9" t="str">
        <f ca="1">IFERROR(__xludf.DUMMYFUNCTION("""COMPUTED_VALUE"""),"")</f>
        <v/>
      </c>
      <c r="P9" t="str">
        <f ca="1">IFERROR(__xludf.DUMMYFUNCTION("""COMPUTED_VALUE"""),"Unsure")</f>
        <v>Unsure</v>
      </c>
      <c r="Q9" t="str">
        <f ca="1">IFERROR(__xludf.DUMMYFUNCTION("""COMPUTED_VALUE"""),"")</f>
        <v/>
      </c>
      <c r="R9" t="str">
        <f ca="1">IFERROR(__xludf.DUMMYFUNCTION("""COMPUTED_VALUE"""),"")</f>
        <v/>
      </c>
      <c r="S9" t="str">
        <f ca="1">IFERROR(__xludf.DUMMYFUNCTION("""COMPUTED_VALUE"""),"Not specified")</f>
        <v>Not specified</v>
      </c>
      <c r="T9" t="str">
        <f ca="1">IFERROR(__xludf.DUMMYFUNCTION("""COMPUTED_VALUE"""),"Not specified")</f>
        <v>Not specified</v>
      </c>
      <c r="U9" t="str">
        <f ca="1">IFERROR(__xludf.DUMMYFUNCTION("""COMPUTED_VALUE"""),"Not specified")</f>
        <v>Not specified</v>
      </c>
      <c r="V9" t="str">
        <f ca="1">IFERROR(__xludf.DUMMYFUNCTION("""COMPUTED_VALUE"""),"Not specified")</f>
        <v>Not specified</v>
      </c>
      <c r="W9" t="str">
        <f ca="1">IFERROR(__xludf.DUMMYFUNCTION("""COMPUTED_VALUE"""),"No")</f>
        <v>No</v>
      </c>
      <c r="X9" t="str">
        <f ca="1">IFERROR(__xludf.DUMMYFUNCTION("""COMPUTED_VALUE"""),"Not specified")</f>
        <v>Not specified</v>
      </c>
      <c r="Y9" t="str">
        <f ca="1">IFERROR(__xludf.DUMMYFUNCTION("""COMPUTED_VALUE"""),"Not specified")</f>
        <v>Not specified</v>
      </c>
      <c r="Z9" t="str">
        <f ca="1">IFERROR(__xludf.DUMMYFUNCTION("""COMPUTED_VALUE"""),"Not specified")</f>
        <v>Not specified</v>
      </c>
      <c r="AA9" t="str">
        <f ca="1">IFERROR(__xludf.DUMMYFUNCTION("""COMPUTED_VALUE"""),"")</f>
        <v/>
      </c>
      <c r="AB9" t="str">
        <f ca="1">IFERROR(__xludf.DUMMYFUNCTION("""COMPUTED_VALUE"""),"")</f>
        <v/>
      </c>
      <c r="AC9" t="str">
        <f ca="1">IFERROR(__xludf.DUMMYFUNCTION("""COMPUTED_VALUE"""),"")</f>
        <v/>
      </c>
      <c r="AD9" t="str">
        <f ca="1">IFERROR(__xludf.DUMMYFUNCTION("""COMPUTED_VALUE"""),"Unsure")</f>
        <v>Unsure</v>
      </c>
      <c r="AE9" t="str">
        <f ca="1">IFERROR(__xludf.DUMMYFUNCTION("""COMPUTED_VALUE"""),"Unsure")</f>
        <v>Unsure</v>
      </c>
      <c r="AF9" t="str">
        <f ca="1">IFERROR(__xludf.DUMMYFUNCTION("""COMPUTED_VALUE"""),"Unsure")</f>
        <v>Unsure</v>
      </c>
      <c r="AG9" s="93" t="str">
        <f ca="1">IFERROR(__xludf.DUMMYFUNCTION("""COMPUTED_VALUE"""),"https://wol-prod-cdn.literatumonline.com/pb-assets/assets/16163028/AFM-guide-for-authors-may-2018-1526994585463.pdf")</f>
        <v>https://wol-prod-cdn.literatumonline.com/pb-assets/assets/16163028/AFM-guide-for-authors-may-2018-1526994585463.pdf</v>
      </c>
      <c r="AH9" t="str">
        <f ca="1">IFERROR(__xludf.DUMMYFUNCTION("""COMPUTED_VALUE"""),"None (preprints not allowed)")</f>
        <v>None (preprints not allowed)</v>
      </c>
      <c r="AI9" t="str">
        <f ca="1">IFERROR(__xludf.DUMMYFUNCTION("""COMPUTED_VALUE"""),"")</f>
        <v/>
      </c>
      <c r="AJ9" t="str">
        <f ca="1">IFERROR(__xludf.DUMMYFUNCTION("""COMPUTED_VALUE"""),"Not specified")</f>
        <v>Not specified</v>
      </c>
      <c r="AK9" t="str">
        <f ca="1">IFERROR(__xludf.DUMMYFUNCTION("""COMPUTED_VALUE"""),"")</f>
        <v/>
      </c>
      <c r="AL9" t="str">
        <f ca="1">IFERROR(__xludf.DUMMYFUNCTION("""COMPUTED_VALUE"""),"")</f>
        <v/>
      </c>
      <c r="AM9" t="str">
        <f ca="1">IFERROR(__xludf.DUMMYFUNCTION("""COMPUTED_VALUE"""),"")</f>
        <v/>
      </c>
      <c r="AN9" t="str">
        <f ca="1">IFERROR(__xludf.DUMMYFUNCTION("""COMPUTED_VALUE"""),"")</f>
        <v/>
      </c>
      <c r="AO9" t="str">
        <f ca="1">IFERROR(__xludf.DUMMYFUNCTION("""COMPUTED_VALUE"""),"")</f>
        <v/>
      </c>
      <c r="AP9" t="str">
        <f ca="1">IFERROR(__xludf.DUMMYFUNCTION("""COMPUTED_VALUE"""),"")</f>
        <v/>
      </c>
      <c r="AQ9" t="str">
        <f ca="1">IFERROR(__xludf.DUMMYFUNCTION("""COMPUTED_VALUE"""),"")</f>
        <v/>
      </c>
      <c r="AR9" t="str">
        <f ca="1">IFERROR(__xludf.DUMMYFUNCTION("""COMPUTED_VALUE"""),"")</f>
        <v/>
      </c>
    </row>
    <row r="10" spans="1:44" ht="13">
      <c r="A10" t="str">
        <f ca="1">IFERROR(__xludf.DUMMYFUNCTION("""COMPUTED_VALUE"""),"SR")</f>
        <v>SR</v>
      </c>
      <c r="B10" s="41">
        <f ca="1">IFERROR(__xludf.DUMMYFUNCTION("""COMPUTED_VALUE"""),43433)</f>
        <v>43433</v>
      </c>
      <c r="C10" t="str">
        <f ca="1">IFERROR(__xludf.DUMMYFUNCTION("""COMPUTED_VALUE"""),"JP")</f>
        <v>JP</v>
      </c>
      <c r="D10" s="28">
        <f ca="1">IFERROR(__xludf.DUMMYFUNCTION("""COMPUTED_VALUE"""),43572)</f>
        <v>43572</v>
      </c>
      <c r="E10" t="str">
        <f ca="1">IFERROR(__xludf.DUMMYFUNCTION("""COMPUTED_VALUE"""),"TRH")</f>
        <v>TRH</v>
      </c>
      <c r="F10" s="28">
        <f ca="1">IFERROR(__xludf.DUMMYFUNCTION("""COMPUTED_VALUE"""),43579)</f>
        <v>43579</v>
      </c>
      <c r="G10" t="str">
        <f ca="1">IFERROR(__xludf.DUMMYFUNCTION("""COMPUTED_VALUE"""),"")</f>
        <v/>
      </c>
      <c r="H10" t="str">
        <f ca="1">IFERROR(__xludf.DUMMYFUNCTION("""COMPUTED_VALUE"""),"1521-4095")</f>
        <v>1521-4095</v>
      </c>
      <c r="I10" t="str">
        <f ca="1">IFERROR(__xludf.DUMMYFUNCTION("""COMPUTED_VALUE"""),"Advanced Materials")</f>
        <v>Advanced Materials</v>
      </c>
      <c r="J10" t="str">
        <f ca="1">IFERROR(__xludf.DUMMYFUNCTION("""COMPUTED_VALUE"""),"Chemical &amp; Materials Sciences, Engineering &amp; Computer Science")</f>
        <v>Chemical &amp; Materials Sciences, Engineering &amp; Computer Science</v>
      </c>
      <c r="K10" t="str">
        <f ca="1">IFERROR(__xludf.DUMMYFUNCTION("""COMPUTED_VALUE"""),"Wiley-VCH")</f>
        <v>Wiley-VCH</v>
      </c>
      <c r="L10" t="str">
        <f ca="1">IFERROR(__xludf.DUMMYFUNCTION("""COMPUTED_VALUE"""),"Unsure")</f>
        <v>Unsure</v>
      </c>
      <c r="M10" s="93" t="str">
        <f ca="1">IFERROR(__xludf.DUMMYFUNCTION("""COMPUTED_VALUE"""),"https://wol-prod-cdn.literatumonline.com/pb-assets/assets/15214095/2089_guidelines-1510017322000.pdf")</f>
        <v>https://wol-prod-cdn.literatumonline.com/pb-assets/assets/15214095/2089_guidelines-1510017322000.pdf</v>
      </c>
      <c r="N10" t="str">
        <f ca="1">IFERROR(__xludf.DUMMYFUNCTION("""COMPUTED_VALUE"""),"")</f>
        <v/>
      </c>
      <c r="O10" t="str">
        <f ca="1">IFERROR(__xludf.DUMMYFUNCTION("""COMPUTED_VALUE"""),"Not specified")</f>
        <v>Not specified</v>
      </c>
      <c r="P10" t="str">
        <f ca="1">IFERROR(__xludf.DUMMYFUNCTION("""COMPUTED_VALUE"""),"Unsure")</f>
        <v>Unsure</v>
      </c>
      <c r="Q10" t="str">
        <f ca="1">IFERROR(__xludf.DUMMYFUNCTION("""COMPUTED_VALUE"""),"")</f>
        <v/>
      </c>
      <c r="R10" t="str">
        <f ca="1">IFERROR(__xludf.DUMMYFUNCTION("""COMPUTED_VALUE"""),"")</f>
        <v/>
      </c>
      <c r="S10" t="str">
        <f ca="1">IFERROR(__xludf.DUMMYFUNCTION("""COMPUTED_VALUE"""),"Not specified")</f>
        <v>Not specified</v>
      </c>
      <c r="T10" t="str">
        <f ca="1">IFERROR(__xludf.DUMMYFUNCTION("""COMPUTED_VALUE"""),"")</f>
        <v/>
      </c>
      <c r="U10" t="str">
        <f ca="1">IFERROR(__xludf.DUMMYFUNCTION("""COMPUTED_VALUE"""),"Not specified")</f>
        <v>Not specified</v>
      </c>
      <c r="V10" t="str">
        <f ca="1">IFERROR(__xludf.DUMMYFUNCTION("""COMPUTED_VALUE"""),"Not specified")</f>
        <v>Not specified</v>
      </c>
      <c r="W10" t="str">
        <f ca="1">IFERROR(__xludf.DUMMYFUNCTION("""COMPUTED_VALUE"""),"Not specified")</f>
        <v>Not specified</v>
      </c>
      <c r="X10" t="str">
        <f ca="1">IFERROR(__xludf.DUMMYFUNCTION("""COMPUTED_VALUE"""),"Not specified")</f>
        <v>Not specified</v>
      </c>
      <c r="Y10" t="str">
        <f ca="1">IFERROR(__xludf.DUMMYFUNCTION("""COMPUTED_VALUE"""),"Not specified")</f>
        <v>Not specified</v>
      </c>
      <c r="Z10" t="str">
        <f ca="1">IFERROR(__xludf.DUMMYFUNCTION("""COMPUTED_VALUE"""),"Not specified")</f>
        <v>Not specified</v>
      </c>
      <c r="AA10" t="str">
        <f ca="1">IFERROR(__xludf.DUMMYFUNCTION("""COMPUTED_VALUE"""),"")</f>
        <v/>
      </c>
      <c r="AB10" t="str">
        <f ca="1">IFERROR(__xludf.DUMMYFUNCTION("""COMPUTED_VALUE"""),"To treat the manuscript as confidential. The editor must be informed if the referee consults a colleague about the manuscript.")</f>
        <v>To treat the manuscript as confidential. The editor must be informed if the referee consults a colleague about the manuscript.</v>
      </c>
      <c r="AC10" t="str">
        <f ca="1">IFERROR(__xludf.DUMMYFUNCTION("""COMPUTED_VALUE"""),"")</f>
        <v/>
      </c>
      <c r="AD10" t="str">
        <f ca="1">IFERROR(__xludf.DUMMYFUNCTION("""COMPUTED_VALUE"""),"unsure")</f>
        <v>unsure</v>
      </c>
      <c r="AE10" t="str">
        <f ca="1">IFERROR(__xludf.DUMMYFUNCTION("""COMPUTED_VALUE"""),"unsure")</f>
        <v>unsure</v>
      </c>
      <c r="AF10" t="str">
        <f ca="1">IFERROR(__xludf.DUMMYFUNCTION("""COMPUTED_VALUE"""),"unsure")</f>
        <v>unsure</v>
      </c>
      <c r="AG10" s="93" t="str">
        <f ca="1">IFERROR(__xludf.DUMMYFUNCTION("""COMPUTED_VALUE"""),"https://onlinelibrary.wiley.com/pb-assets/assets/15214095/2089_guidelines.pdf")</f>
        <v>https://onlinelibrary.wiley.com/pb-assets/assets/15214095/2089_guidelines.pdf</v>
      </c>
      <c r="AH10" t="str">
        <f ca="1">IFERROR(__xludf.DUMMYFUNCTION("""COMPUTED_VALUE"""),"None (preprints not allowed(")</f>
        <v>None (preprints not allowed(</v>
      </c>
      <c r="AI10" t="str">
        <f ca="1">IFERROR(__xludf.DUMMYFUNCTION("""COMPUTED_VALUE"""),"")</f>
        <v/>
      </c>
      <c r="AJ10" t="str">
        <f ca="1">IFERROR(__xludf.DUMMYFUNCTION("""COMPUTED_VALUE"""),"Not specified")</f>
        <v>Not specified</v>
      </c>
      <c r="AK10" t="str">
        <f ca="1">IFERROR(__xludf.DUMMYFUNCTION("""COMPUTED_VALUE"""),"No")</f>
        <v>No</v>
      </c>
      <c r="AL10" t="str">
        <f ca="1">IFERROR(__xludf.DUMMYFUNCTION("""COMPUTED_VALUE"""),"")</f>
        <v/>
      </c>
      <c r="AM10" t="str">
        <f ca="1">IFERROR(__xludf.DUMMYFUNCTION("""COMPUTED_VALUE"""),"Not specified")</f>
        <v>Not specified</v>
      </c>
      <c r="AN10" t="str">
        <f ca="1">IFERROR(__xludf.DUMMYFUNCTION("""COMPUTED_VALUE"""),"Not specified")</f>
        <v>Not specified</v>
      </c>
      <c r="AO10" t="str">
        <f ca="1">IFERROR(__xludf.DUMMYFUNCTION("""COMPUTED_VALUE"""),"")</f>
        <v/>
      </c>
      <c r="AP10" t="str">
        <f ca="1">IFERROR(__xludf.DUMMYFUNCTION("""COMPUTED_VALUE"""),"Wiley does not offer information on peer review explicitly on the website of any of the journals looked at here, but only as part of a ""Guide for Authors"" (see above for the URL).")</f>
        <v>Wiley does not offer information on peer review explicitly on the website of any of the journals looked at here, but only as part of a "Guide for Authors" (see above for the URL).</v>
      </c>
      <c r="AQ10" t="str">
        <f ca="1">IFERROR(__xludf.DUMMYFUNCTION("""COMPUTED_VALUE"""),"")</f>
        <v/>
      </c>
      <c r="AR10" t="str">
        <f ca="1">IFERROR(__xludf.DUMMYFUNCTION("""COMPUTED_VALUE"""),"")</f>
        <v/>
      </c>
    </row>
    <row r="11" spans="1:44" ht="13">
      <c r="A11" t="str">
        <f ca="1">IFERROR(__xludf.DUMMYFUNCTION("""COMPUTED_VALUE"""),"SR")</f>
        <v>SR</v>
      </c>
      <c r="B11" s="41">
        <f ca="1">IFERROR(__xludf.DUMMYFUNCTION("""COMPUTED_VALUE"""),43433)</f>
        <v>43433</v>
      </c>
      <c r="C11" t="str">
        <f ca="1">IFERROR(__xludf.DUMMYFUNCTION("""COMPUTED_VALUE"""),"JP")</f>
        <v>JP</v>
      </c>
      <c r="D11" s="28">
        <f ca="1">IFERROR(__xludf.DUMMYFUNCTION("""COMPUTED_VALUE"""),43572)</f>
        <v>43572</v>
      </c>
      <c r="E11" t="str">
        <f ca="1">IFERROR(__xludf.DUMMYFUNCTION("""COMPUTED_VALUE"""),"TRH")</f>
        <v>TRH</v>
      </c>
      <c r="F11" s="28">
        <f ca="1">IFERROR(__xludf.DUMMYFUNCTION("""COMPUTED_VALUE"""),43579)</f>
        <v>43579</v>
      </c>
      <c r="G11" t="str">
        <f ca="1">IFERROR(__xludf.DUMMYFUNCTION("""COMPUTED_VALUE"""),"")</f>
        <v/>
      </c>
      <c r="H11" t="str">
        <f ca="1">IFERROR(__xludf.DUMMYFUNCTION("""COMPUTED_VALUE"""),"0002-8282")</f>
        <v>0002-8282</v>
      </c>
      <c r="I11" t="str">
        <f ca="1">IFERROR(__xludf.DUMMYFUNCTION("""COMPUTED_VALUE"""),"American Economic Review")</f>
        <v>American Economic Review</v>
      </c>
      <c r="J11" t="str">
        <f ca="1">IFERROR(__xludf.DUMMYFUNCTION("""COMPUTED_VALUE"""),"Business, Economics &amp; Management")</f>
        <v>Business, Economics &amp; Management</v>
      </c>
      <c r="K11" t="str">
        <f ca="1">IFERROR(__xludf.DUMMYFUNCTION("""COMPUTED_VALUE"""),"American Economic Association")</f>
        <v>American Economic Association</v>
      </c>
      <c r="L11" t="str">
        <f ca="1">IFERROR(__xludf.DUMMYFUNCTION("""COMPUTED_VALUE"""),"Double blind")</f>
        <v>Double blind</v>
      </c>
      <c r="M11" s="93" t="str">
        <f ca="1">IFERROR(__xludf.DUMMYFUNCTION("""COMPUTED_VALUE"""),"https://www.aeaweb.org/journals/aer/reviewers")</f>
        <v>https://www.aeaweb.org/journals/aer/reviewers</v>
      </c>
      <c r="N11" t="str">
        <f ca="1">IFERROR(__xludf.DUMMYFUNCTION("""COMPUTED_VALUE"""),"")</f>
        <v/>
      </c>
      <c r="O11" t="str">
        <f ca="1">IFERROR(__xludf.DUMMYFUNCTION("""COMPUTED_VALUE"""),"Not specified")</f>
        <v>Not specified</v>
      </c>
      <c r="P11" t="str">
        <f ca="1">IFERROR(__xludf.DUMMYFUNCTION("""COMPUTED_VALUE"""),"Unsure")</f>
        <v>Unsure</v>
      </c>
      <c r="Q11" t="str">
        <f ca="1">IFERROR(__xludf.DUMMYFUNCTION("""COMPUTED_VALUE"""),"")</f>
        <v/>
      </c>
      <c r="R11" t="str">
        <f ca="1">IFERROR(__xludf.DUMMYFUNCTION("""COMPUTED_VALUE"""),"")</f>
        <v/>
      </c>
      <c r="S11" t="str">
        <f ca="1">IFERROR(__xludf.DUMMYFUNCTION("""COMPUTED_VALUE"""),"Not specified")</f>
        <v>Not specified</v>
      </c>
      <c r="T11" t="str">
        <f ca="1">IFERROR(__xludf.DUMMYFUNCTION("""COMPUTED_VALUE"""),"Not specified")</f>
        <v>Not specified</v>
      </c>
      <c r="U11" t="str">
        <f ca="1">IFERROR(__xludf.DUMMYFUNCTION("""COMPUTED_VALUE"""),"Not specified")</f>
        <v>Not specified</v>
      </c>
      <c r="V11" t="str">
        <f ca="1">IFERROR(__xludf.DUMMYFUNCTION("""COMPUTED_VALUE"""),"Not specified")</f>
        <v>Not specified</v>
      </c>
      <c r="W11" t="str">
        <f ca="1">IFERROR(__xludf.DUMMYFUNCTION("""COMPUTED_VALUE"""),"Not specified")</f>
        <v>Not specified</v>
      </c>
      <c r="X11" t="str">
        <f ca="1">IFERROR(__xludf.DUMMYFUNCTION("""COMPUTED_VALUE"""),"Not specified")</f>
        <v>Not specified</v>
      </c>
      <c r="Y11" t="str">
        <f ca="1">IFERROR(__xludf.DUMMYFUNCTION("""COMPUTED_VALUE"""),"Not specified")</f>
        <v>Not specified</v>
      </c>
      <c r="Z11" t="str">
        <f ca="1">IFERROR(__xludf.DUMMYFUNCTION("""COMPUTED_VALUE"""),"Not specified")</f>
        <v>Not specified</v>
      </c>
      <c r="AA11" t="str">
        <f ca="1">IFERROR(__xludf.DUMMYFUNCTION("""COMPUTED_VALUE"""),"")</f>
        <v/>
      </c>
      <c r="AB11" t="str">
        <f ca="1">IFERROR(__xludf.DUMMYFUNCTION("""COMPUTED_VALUE"""),"")</f>
        <v/>
      </c>
      <c r="AC11" s="93" t="str">
        <f ca="1">IFERROR(__xludf.DUMMYFUNCTION("""COMPUTED_VALUE"""),"https://www.aeaweb.org/content/file?id=222")</f>
        <v>https://www.aeaweb.org/content/file?id=222</v>
      </c>
      <c r="AD11" t="str">
        <f ca="1">IFERROR(__xludf.DUMMYFUNCTION("""COMPUTED_VALUE"""),"Unsure")</f>
        <v>Unsure</v>
      </c>
      <c r="AE11" t="str">
        <f ca="1">IFERROR(__xludf.DUMMYFUNCTION("""COMPUTED_VALUE"""),"Unsure")</f>
        <v>Unsure</v>
      </c>
      <c r="AF11" t="str">
        <f ca="1">IFERROR(__xludf.DUMMYFUNCTION("""COMPUTED_VALUE"""),"Unsure")</f>
        <v>Unsure</v>
      </c>
      <c r="AG11" s="93" t="str">
        <f ca="1">IFERROR(__xludf.DUMMYFUNCTION("""COMPUTED_VALUE"""),"https://www.aeaweb.org/journals/policies/copyright")</f>
        <v>https://www.aeaweb.org/journals/policies/copyright</v>
      </c>
      <c r="AH11" t="str">
        <f ca="1">IFERROR(__xludf.DUMMYFUNCTION("""COMPUTED_VALUE"""),"Unsure (preprints are allowed, but it's not clear what version)")</f>
        <v>Unsure (preprints are allowed, but it's not clear what version)</v>
      </c>
      <c r="AI11" t="str">
        <f ca="1">IFERROR(__xludf.DUMMYFUNCTION("""COMPUTED_VALUE"""),"")</f>
        <v/>
      </c>
      <c r="AJ11" t="str">
        <f ca="1">IFERROR(__xludf.DUMMYFUNCTION("""COMPUTED_VALUE"""),"Not specified")</f>
        <v>Not specified</v>
      </c>
      <c r="AK11" t="str">
        <f ca="1">IFERROR(__xludf.DUMMYFUNCTION("""COMPUTED_VALUE"""),"Unsure")</f>
        <v>Unsure</v>
      </c>
      <c r="AL11" t="str">
        <f ca="1">IFERROR(__xludf.DUMMYFUNCTION("""COMPUTED_VALUE"""),"")</f>
        <v/>
      </c>
      <c r="AM11" t="str">
        <f ca="1">IFERROR(__xludf.DUMMYFUNCTION("""COMPUTED_VALUE"""),"")</f>
        <v/>
      </c>
      <c r="AN11" t="str">
        <f ca="1">IFERROR(__xludf.DUMMYFUNCTION("""COMPUTED_VALUE"""),"")</f>
        <v/>
      </c>
      <c r="AO11" t="str">
        <f ca="1">IFERROR(__xludf.DUMMYFUNCTION("""COMPUTED_VALUE"""),"")</f>
        <v/>
      </c>
      <c r="AP11" t="str">
        <f ca="1">IFERROR(__xludf.DUMMYFUNCTION("""COMPUTED_VALUE"""),"")</f>
        <v/>
      </c>
      <c r="AQ11" t="str">
        <f ca="1">IFERROR(__xludf.DUMMYFUNCTION("""COMPUTED_VALUE"""),"")</f>
        <v/>
      </c>
      <c r="AR11" t="str">
        <f ca="1">IFERROR(__xludf.DUMMYFUNCTION("""COMPUTED_VALUE"""),"")</f>
        <v/>
      </c>
    </row>
    <row r="12" spans="1:44" ht="13">
      <c r="A12" t="str">
        <f ca="1">IFERROR(__xludf.DUMMYFUNCTION("""COMPUTED_VALUE"""),"SR")</f>
        <v>SR</v>
      </c>
      <c r="B12" s="41">
        <f ca="1">IFERROR(__xludf.DUMMYFUNCTION("""COMPUTED_VALUE"""),43433)</f>
        <v>43433</v>
      </c>
      <c r="C12" t="str">
        <f ca="1">IFERROR(__xludf.DUMMYFUNCTION("""COMPUTED_VALUE"""),"JP")</f>
        <v>JP</v>
      </c>
      <c r="D12" s="28">
        <f ca="1">IFERROR(__xludf.DUMMYFUNCTION("""COMPUTED_VALUE"""),43572)</f>
        <v>43572</v>
      </c>
      <c r="E12" t="str">
        <f ca="1">IFERROR(__xludf.DUMMYFUNCTION("""COMPUTED_VALUE"""),"TRH")</f>
        <v>TRH</v>
      </c>
      <c r="F12" s="28">
        <f ca="1">IFERROR(__xludf.DUMMYFUNCTION("""COMPUTED_VALUE"""),43579)</f>
        <v>43579</v>
      </c>
      <c r="G12" t="str">
        <f ca="1">IFERROR(__xludf.DUMMYFUNCTION("""COMPUTED_VALUE"""),"")</f>
        <v/>
      </c>
      <c r="H12" t="str">
        <f ca="1">IFERROR(__xludf.DUMMYFUNCTION("""COMPUTED_VALUE"""),"1540-5907")</f>
        <v>1540-5907</v>
      </c>
      <c r="I12" t="str">
        <f ca="1">IFERROR(__xludf.DUMMYFUNCTION("""COMPUTED_VALUE"""),"American Journal of Political Science")</f>
        <v>American Journal of Political Science</v>
      </c>
      <c r="J12" t="str">
        <f ca="1">IFERROR(__xludf.DUMMYFUNCTION("""COMPUTED_VALUE"""),"Social Sciences")</f>
        <v>Social Sciences</v>
      </c>
      <c r="K12" t="str">
        <f ca="1">IFERROR(__xludf.DUMMYFUNCTION("""COMPUTED_VALUE"""),"Midwest Political Science Association")</f>
        <v>Midwest Political Science Association</v>
      </c>
      <c r="L12" t="str">
        <f ca="1">IFERROR(__xludf.DUMMYFUNCTION("""COMPUTED_VALUE"""),"Double blind")</f>
        <v>Double blind</v>
      </c>
      <c r="M12" s="93" t="str">
        <f ca="1">IFERROR(__xludf.DUMMYFUNCTION("""COMPUTED_VALUE"""),"https://ajps.org/guidelines-for-manuscripts/")</f>
        <v>https://ajps.org/guidelines-for-manuscripts/</v>
      </c>
      <c r="N12" t="str">
        <f ca="1">IFERROR(__xludf.DUMMYFUNCTION("""COMPUTED_VALUE"""),"")</f>
        <v/>
      </c>
      <c r="O12" t="str">
        <f ca="1">IFERROR(__xludf.DUMMYFUNCTION("""COMPUTED_VALUE"""),"Not specified")</f>
        <v>Not specified</v>
      </c>
      <c r="P12" t="str">
        <f ca="1">IFERROR(__xludf.DUMMYFUNCTION("""COMPUTED_VALUE"""),"Unsure")</f>
        <v>Unsure</v>
      </c>
      <c r="Q12" t="str">
        <f ca="1">IFERROR(__xludf.DUMMYFUNCTION("""COMPUTED_VALUE"""),"")</f>
        <v/>
      </c>
      <c r="R12" t="str">
        <f ca="1">IFERROR(__xludf.DUMMYFUNCTION("""COMPUTED_VALUE"""),"")</f>
        <v/>
      </c>
      <c r="S12" t="str">
        <f ca="1">IFERROR(__xludf.DUMMYFUNCTION("""COMPUTED_VALUE"""),"Not specified")</f>
        <v>Not specified</v>
      </c>
      <c r="T12" t="str">
        <f ca="1">IFERROR(__xludf.DUMMYFUNCTION("""COMPUTED_VALUE"""),"Not specified")</f>
        <v>Not specified</v>
      </c>
      <c r="U12" t="str">
        <f ca="1">IFERROR(__xludf.DUMMYFUNCTION("""COMPUTED_VALUE"""),"Not specified")</f>
        <v>Not specified</v>
      </c>
      <c r="V12" t="str">
        <f ca="1">IFERROR(__xludf.DUMMYFUNCTION("""COMPUTED_VALUE"""),"Not specified")</f>
        <v>Not specified</v>
      </c>
      <c r="W12" t="str">
        <f ca="1">IFERROR(__xludf.DUMMYFUNCTION("""COMPUTED_VALUE"""),"Not specified")</f>
        <v>Not specified</v>
      </c>
      <c r="X12" t="str">
        <f ca="1">IFERROR(__xludf.DUMMYFUNCTION("""COMPUTED_VALUE"""),"Not specified")</f>
        <v>Not specified</v>
      </c>
      <c r="Y12" t="str">
        <f ca="1">IFERROR(__xludf.DUMMYFUNCTION("""COMPUTED_VALUE"""),"Not specified")</f>
        <v>Not specified</v>
      </c>
      <c r="Z12" t="str">
        <f ca="1">IFERROR(__xludf.DUMMYFUNCTION("""COMPUTED_VALUE"""),"Not specified")</f>
        <v>Not specified</v>
      </c>
      <c r="AA12" t="str">
        <f ca="1">IFERROR(__xludf.DUMMYFUNCTION("""COMPUTED_VALUE"""),"")</f>
        <v/>
      </c>
      <c r="AB12" t="str">
        <f ca="1">IFERROR(__xludf.DUMMYFUNCTION("""COMPUTED_VALUE"""),"")</f>
        <v/>
      </c>
      <c r="AC12" s="93" t="str">
        <f ca="1">IFERROR(__xludf.DUMMYFUNCTION("""COMPUTED_VALUE"""),"https://ajps.org/ajps-reviewer-instructions/")</f>
        <v>https://ajps.org/ajps-reviewer-instructions/</v>
      </c>
      <c r="AD12" t="str">
        <f ca="1">IFERROR(__xludf.DUMMYFUNCTION("""COMPUTED_VALUE"""),"Unsure")</f>
        <v>Unsure</v>
      </c>
      <c r="AE12" t="str">
        <f ca="1">IFERROR(__xludf.DUMMYFUNCTION("""COMPUTED_VALUE"""),"Unsure")</f>
        <v>Unsure</v>
      </c>
      <c r="AF12" t="str">
        <f ca="1">IFERROR(__xludf.DUMMYFUNCTION("""COMPUTED_VALUE"""),"Unsure")</f>
        <v>Unsure</v>
      </c>
      <c r="AG12" s="93" t="str">
        <f ca="1">IFERROR(__xludf.DUMMYFUNCTION("""COMPUTED_VALUE"""),"https://ajpsblogging.files.wordpress.com/2015/09/ajps-author-resources-ver-1-0.pdf")</f>
        <v>https://ajpsblogging.files.wordpress.com/2015/09/ajps-author-resources-ver-1-0.pdf</v>
      </c>
      <c r="AH12" t="str">
        <f ca="1">IFERROR(__xludf.DUMMYFUNCTION("""COMPUTED_VALUE"""),"After peer review (but not final, copyedited version)")</f>
        <v>After peer review (but not final, copyedited version)</v>
      </c>
      <c r="AI12" t="str">
        <f ca="1">IFERROR(__xludf.DUMMYFUNCTION("""COMPUTED_VALUE"""),"The author retains the right to self-archive the final submitted draft of his or her AJPS article on a personal website, a not-for-profit repository, or the author’s company/university repository or archive. Once the article publishes in its final form, p"&amp;"lease include a link to that version from the submitted version.")</f>
        <v>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v>
      </c>
      <c r="AJ12" t="str">
        <f ca="1">IFERROR(__xludf.DUMMYFUNCTION("""COMPUTED_VALUE"""),"Not specified")</f>
        <v>Not specified</v>
      </c>
      <c r="AK12" t="str">
        <f ca="1">IFERROR(__xludf.DUMMYFUNCTION("""COMPUTED_VALUE"""),"Unsure")</f>
        <v>Unsure</v>
      </c>
      <c r="AL12" t="str">
        <f ca="1">IFERROR(__xludf.DUMMYFUNCTION("""COMPUTED_VALUE"""),"")</f>
        <v/>
      </c>
      <c r="AM12" t="str">
        <f ca="1">IFERROR(__xludf.DUMMYFUNCTION("""COMPUTED_VALUE"""),"")</f>
        <v/>
      </c>
      <c r="AN12" t="str">
        <f ca="1">IFERROR(__xludf.DUMMYFUNCTION("""COMPUTED_VALUE"""),"")</f>
        <v/>
      </c>
      <c r="AO12" t="str">
        <f ca="1">IFERROR(__xludf.DUMMYFUNCTION("""COMPUTED_VALUE"""),"")</f>
        <v/>
      </c>
      <c r="AP12" t="str">
        <f ca="1">IFERROR(__xludf.DUMMYFUNCTION("""COMPUTED_VALUE"""),"""The AJPS Editor reserves the right to refuse submissions from authors who repeatedly fail to provide reviews for the Journal when invited to do so.""")</f>
        <v>"The AJPS Editor reserves the right to refuse submissions from authors who repeatedly fail to provide reviews for the Journal when invited to do so."</v>
      </c>
      <c r="AQ12" t="str">
        <f ca="1">IFERROR(__xludf.DUMMYFUNCTION("""COMPUTED_VALUE"""),"")</f>
        <v/>
      </c>
      <c r="AR12" t="str">
        <f ca="1">IFERROR(__xludf.DUMMYFUNCTION("""COMPUTED_VALUE"""),"")</f>
        <v/>
      </c>
    </row>
    <row r="13" spans="1:44" ht="13">
      <c r="A13" t="str">
        <f ca="1">IFERROR(__xludf.DUMMYFUNCTION("""COMPUTED_VALUE"""),"SR")</f>
        <v>SR</v>
      </c>
      <c r="B13" s="41">
        <f ca="1">IFERROR(__xludf.DUMMYFUNCTION("""COMPUTED_VALUE"""),43433)</f>
        <v>43433</v>
      </c>
      <c r="C13" t="str">
        <f ca="1">IFERROR(__xludf.DUMMYFUNCTION("""COMPUTED_VALUE"""),"JP")</f>
        <v>JP</v>
      </c>
      <c r="D13" s="28">
        <f ca="1">IFERROR(__xludf.DUMMYFUNCTION("""COMPUTED_VALUE"""),43572)</f>
        <v>43572</v>
      </c>
      <c r="E13" t="str">
        <f ca="1">IFERROR(__xludf.DUMMYFUNCTION("""COMPUTED_VALUE"""),"TRH")</f>
        <v>TRH</v>
      </c>
      <c r="F13" s="28">
        <f ca="1">IFERROR(__xludf.DUMMYFUNCTION("""COMPUTED_VALUE"""),43579)</f>
        <v>43579</v>
      </c>
      <c r="G13" t="str">
        <f ca="1">IFERROR(__xludf.DUMMYFUNCTION("""COMPUTED_VALUE"""),"")</f>
        <v/>
      </c>
      <c r="H13" t="str">
        <f ca="1">IFERROR(__xludf.DUMMYFUNCTION("""COMPUTED_VALUE"""),"1541-0048")</f>
        <v>1541-0048</v>
      </c>
      <c r="I13" t="str">
        <f ca="1">IFERROR(__xludf.DUMMYFUNCTION("""COMPUTED_VALUE"""),"American Journal of Public Health")</f>
        <v>American Journal of Public Health</v>
      </c>
      <c r="J13" t="str">
        <f ca="1">IFERROR(__xludf.DUMMYFUNCTION("""COMPUTED_VALUE"""),"Social Sciences")</f>
        <v>Social Sciences</v>
      </c>
      <c r="K13" t="str">
        <f ca="1">IFERROR(__xludf.DUMMYFUNCTION("""COMPUTED_VALUE"""),"")</f>
        <v/>
      </c>
      <c r="L13" t="str">
        <f ca="1">IFERROR(__xludf.DUMMYFUNCTION("""COMPUTED_VALUE"""),"Double blind")</f>
        <v>Double blind</v>
      </c>
      <c r="M13" s="93" t="str">
        <f ca="1">IFERROR(__xludf.DUMMYFUNCTION("""COMPUTED_VALUE"""),"https://ajph.aphapublications.org/page/authors.html")</f>
        <v>https://ajph.aphapublications.org/page/authors.html</v>
      </c>
      <c r="N13" t="str">
        <f ca="1">IFERROR(__xludf.DUMMYFUNCTION("""COMPUTED_VALUE"""),"")</f>
        <v/>
      </c>
      <c r="O13" t="str">
        <f ca="1">IFERROR(__xludf.DUMMYFUNCTION("""COMPUTED_VALUE"""),"")</f>
        <v/>
      </c>
      <c r="P13" t="str">
        <f ca="1">IFERROR(__xludf.DUMMYFUNCTION("""COMPUTED_VALUE"""),"Unsure")</f>
        <v>Unsure</v>
      </c>
      <c r="Q13" t="str">
        <f ca="1">IFERROR(__xludf.DUMMYFUNCTION("""COMPUTED_VALUE"""),"")</f>
        <v/>
      </c>
      <c r="R13" t="str">
        <f ca="1">IFERROR(__xludf.DUMMYFUNCTION("""COMPUTED_VALUE"""),"")</f>
        <v/>
      </c>
      <c r="S13" t="str">
        <f ca="1">IFERROR(__xludf.DUMMYFUNCTION("""COMPUTED_VALUE"""),"Not specified")</f>
        <v>Not specified</v>
      </c>
      <c r="T13" t="str">
        <f ca="1">IFERROR(__xludf.DUMMYFUNCTION("""COMPUTED_VALUE"""),"Not specified")</f>
        <v>Not specified</v>
      </c>
      <c r="U13" t="str">
        <f ca="1">IFERROR(__xludf.DUMMYFUNCTION("""COMPUTED_VALUE"""),"Not specified")</f>
        <v>Not specified</v>
      </c>
      <c r="V13" t="str">
        <f ca="1">IFERROR(__xludf.DUMMYFUNCTION("""COMPUTED_VALUE"""),"Not specified")</f>
        <v>Not specified</v>
      </c>
      <c r="W13" t="str">
        <f ca="1">IFERROR(__xludf.DUMMYFUNCTION("""COMPUTED_VALUE"""),"Not specified")</f>
        <v>Not specified</v>
      </c>
      <c r="X13" t="str">
        <f ca="1">IFERROR(__xludf.DUMMYFUNCTION("""COMPUTED_VALUE"""),"Not specified")</f>
        <v>Not specified</v>
      </c>
      <c r="Y13" t="str">
        <f ca="1">IFERROR(__xludf.DUMMYFUNCTION("""COMPUTED_VALUE"""),"Not specified")</f>
        <v>Not specified</v>
      </c>
      <c r="Z13" t="str">
        <f ca="1">IFERROR(__xludf.DUMMYFUNCTION("""COMPUTED_VALUE"""),"Not specified")</f>
        <v>Not specified</v>
      </c>
      <c r="AA13" t="str">
        <f ca="1">IFERROR(__xludf.DUMMYFUNCTION("""COMPUTED_VALUE"""),"")</f>
        <v/>
      </c>
      <c r="AB13" t="str">
        <f ca="1">IFERROR(__xludf.DUMMYFUNCTION("""COMPUTED_VALUE"""),"")</f>
        <v/>
      </c>
      <c r="AC13" s="93" t="str">
        <f ca="1">IFERROR(__xludf.DUMMYFUNCTION("""COMPUTED_VALUE"""),"https://ajph.aphapublications.org/page/authors.html")</f>
        <v>https://ajph.aphapublications.org/page/authors.html</v>
      </c>
      <c r="AD13" t="str">
        <f ca="1">IFERROR(__xludf.DUMMYFUNCTION("""COMPUTED_VALUE"""),"Unsure")</f>
        <v>Unsure</v>
      </c>
      <c r="AE13" t="str">
        <f ca="1">IFERROR(__xludf.DUMMYFUNCTION("""COMPUTED_VALUE"""),"Unsure")</f>
        <v>Unsure</v>
      </c>
      <c r="AF13" t="str">
        <f ca="1">IFERROR(__xludf.DUMMYFUNCTION("""COMPUTED_VALUE"""),"Unsure")</f>
        <v>Unsure</v>
      </c>
      <c r="AG13" t="str">
        <f ca="1">IFERROR(__xludf.DUMMYFUNCTION("""COMPUTED_VALUE"""),"")</f>
        <v/>
      </c>
      <c r="AH13" t="str">
        <f ca="1">IFERROR(__xludf.DUMMYFUNCTION("""COMPUTED_VALUE"""),"No preprint policy")</f>
        <v>No preprint policy</v>
      </c>
      <c r="AI13" t="str">
        <f ca="1">IFERROR(__xludf.DUMMYFUNCTION("""COMPUTED_VALUE"""),"Not specified")</f>
        <v>Not specified</v>
      </c>
      <c r="AJ13" t="str">
        <f ca="1">IFERROR(__xludf.DUMMYFUNCTION("""COMPUTED_VALUE"""),"")</f>
        <v/>
      </c>
      <c r="AK13" t="str">
        <f ca="1">IFERROR(__xludf.DUMMYFUNCTION("""COMPUTED_VALUE"""),"No")</f>
        <v>No</v>
      </c>
      <c r="AL13" t="str">
        <f ca="1">IFERROR(__xludf.DUMMYFUNCTION("""COMPUTED_VALUE"""),"")</f>
        <v/>
      </c>
      <c r="AM13" t="str">
        <f ca="1">IFERROR(__xludf.DUMMYFUNCTION("""COMPUTED_VALUE"""),"")</f>
        <v/>
      </c>
      <c r="AN13" t="str">
        <f ca="1">IFERROR(__xludf.DUMMYFUNCTION("""COMPUTED_VALUE"""),"")</f>
        <v/>
      </c>
      <c r="AO13" t="str">
        <f ca="1">IFERROR(__xludf.DUMMYFUNCTION("""COMPUTED_VALUE"""),"")</f>
        <v/>
      </c>
      <c r="AP13" t="str">
        <f ca="1">IFERROR(__xludf.DUMMYFUNCTION("""COMPUTED_VALUE"""),"")</f>
        <v/>
      </c>
      <c r="AQ13" t="str">
        <f ca="1">IFERROR(__xludf.DUMMYFUNCTION("""COMPUTED_VALUE"""),"")</f>
        <v/>
      </c>
      <c r="AR13" t="str">
        <f ca="1">IFERROR(__xludf.DUMMYFUNCTION("""COMPUTED_VALUE"""),"")</f>
        <v/>
      </c>
    </row>
    <row r="14" spans="1:44" ht="13">
      <c r="A14" t="str">
        <f ca="1">IFERROR(__xludf.DUMMYFUNCTION("""COMPUTED_VALUE"""),"SR")</f>
        <v>SR</v>
      </c>
      <c r="B14" s="41">
        <f ca="1">IFERROR(__xludf.DUMMYFUNCTION("""COMPUTED_VALUE"""),43433)</f>
        <v>43433</v>
      </c>
      <c r="C14" t="str">
        <f ca="1">IFERROR(__xludf.DUMMYFUNCTION("""COMPUTED_VALUE"""),"SH")</f>
        <v>SH</v>
      </c>
      <c r="D14" s="39">
        <f ca="1">IFERROR(__xludf.DUMMYFUNCTION("""COMPUTED_VALUE"""),43569)</f>
        <v>43569</v>
      </c>
      <c r="E14" t="str">
        <f ca="1">IFERROR(__xludf.DUMMYFUNCTION("""COMPUTED_VALUE"""),"TRH")</f>
        <v>TRH</v>
      </c>
      <c r="F14" s="28">
        <f ca="1">IFERROR(__xludf.DUMMYFUNCTION("""COMPUTED_VALUE"""),43579)</f>
        <v>43579</v>
      </c>
      <c r="G14" t="str">
        <f ca="1">IFERROR(__xludf.DUMMYFUNCTION("""COMPUTED_VALUE"""),"")</f>
        <v/>
      </c>
      <c r="H14" t="str">
        <f ca="1">IFERROR(__xludf.DUMMYFUNCTION("""COMPUTED_VALUE"""),"1537-5943")</f>
        <v>1537-5943</v>
      </c>
      <c r="I14" t="str">
        <f ca="1">IFERROR(__xludf.DUMMYFUNCTION("""COMPUTED_VALUE"""),"American Political Science Review")</f>
        <v>American Political Science Review</v>
      </c>
      <c r="J14" t="str">
        <f ca="1">IFERROR(__xludf.DUMMYFUNCTION("""COMPUTED_VALUE"""),"Social Sciences")</f>
        <v>Social Sciences</v>
      </c>
      <c r="K14" t="str">
        <f ca="1">IFERROR(__xludf.DUMMYFUNCTION("""COMPUTED_VALUE"""),"Cambridge University Press")</f>
        <v>Cambridge University Press</v>
      </c>
      <c r="L14" t="str">
        <f ca="1">IFERROR(__xludf.DUMMYFUNCTION("""COMPUTED_VALUE"""),"Double blind")</f>
        <v>Double blind</v>
      </c>
      <c r="M14" s="93" t="str">
        <f ca="1">IFERROR(__xludf.DUMMYFUNCTION("""COMPUTED_VALUE"""),"https://www.apsanet.org/APSR-Submission-Guidelines")</f>
        <v>https://www.apsanet.org/APSR-Submission-Guidelines</v>
      </c>
      <c r="N14" t="str">
        <f ca="1">IFERROR(__xludf.DUMMYFUNCTION("""COMPUTED_VALUE"""),"")</f>
        <v/>
      </c>
      <c r="O14" t="str">
        <f ca="1">IFERROR(__xludf.DUMMYFUNCTION("""COMPUTED_VALUE"""),"")</f>
        <v/>
      </c>
      <c r="P14" t="str">
        <f ca="1">IFERROR(__xludf.DUMMYFUNCTION("""COMPUTED_VALUE"""),"Unsure")</f>
        <v>Unsure</v>
      </c>
      <c r="Q14" t="str">
        <f ca="1">IFERROR(__xludf.DUMMYFUNCTION("""COMPUTED_VALUE"""),"")</f>
        <v/>
      </c>
      <c r="R14" t="str">
        <f ca="1">IFERROR(__xludf.DUMMYFUNCTION("""COMPUTED_VALUE"""),"")</f>
        <v/>
      </c>
      <c r="S14" t="str">
        <f ca="1">IFERROR(__xludf.DUMMYFUNCTION("""COMPUTED_VALUE"""),"Not specified")</f>
        <v>Not specified</v>
      </c>
      <c r="T14" t="str">
        <f ca="1">IFERROR(__xludf.DUMMYFUNCTION("""COMPUTED_VALUE"""),"Not specified")</f>
        <v>Not specified</v>
      </c>
      <c r="U14" t="str">
        <f ca="1">IFERROR(__xludf.DUMMYFUNCTION("""COMPUTED_VALUE"""),"Not specified")</f>
        <v>Not specified</v>
      </c>
      <c r="V14" t="str">
        <f ca="1">IFERROR(__xludf.DUMMYFUNCTION("""COMPUTED_VALUE"""),"Not specified")</f>
        <v>Not specified</v>
      </c>
      <c r="W14" t="str">
        <f ca="1">IFERROR(__xludf.DUMMYFUNCTION("""COMPUTED_VALUE"""),"Not specified")</f>
        <v>Not specified</v>
      </c>
      <c r="X14" t="str">
        <f ca="1">IFERROR(__xludf.DUMMYFUNCTION("""COMPUTED_VALUE"""),"Not specified")</f>
        <v>Not specified</v>
      </c>
      <c r="Y14" t="str">
        <f ca="1">IFERROR(__xludf.DUMMYFUNCTION("""COMPUTED_VALUE"""),"Not specified")</f>
        <v>Not specified</v>
      </c>
      <c r="Z14" t="str">
        <f ca="1">IFERROR(__xludf.DUMMYFUNCTION("""COMPUTED_VALUE"""),"Not specified")</f>
        <v>Not specified</v>
      </c>
      <c r="AA14" t="str">
        <f ca="1">IFERROR(__xludf.DUMMYFUNCTION("""COMPUTED_VALUE"""),"")</f>
        <v/>
      </c>
      <c r="AB14" t="str">
        <f ca="1">IFERROR(__xludf.DUMMYFUNCTION("""COMPUTED_VALUE"""),"")</f>
        <v/>
      </c>
      <c r="AC14" t="str">
        <f ca="1">IFERROR(__xludf.DUMMYFUNCTION("""COMPUTED_VALUE"""),"")</f>
        <v/>
      </c>
      <c r="AD14" t="str">
        <f ca="1">IFERROR(__xludf.DUMMYFUNCTION("""COMPUTED_VALUE"""),"Unsure")</f>
        <v>Unsure</v>
      </c>
      <c r="AE14" t="str">
        <f ca="1">IFERROR(__xludf.DUMMYFUNCTION("""COMPUTED_VALUE"""),"Unsure")</f>
        <v>Unsure</v>
      </c>
      <c r="AF14" t="str">
        <f ca="1">IFERROR(__xludf.DUMMYFUNCTION("""COMPUTED_VALUE"""),"Unsure")</f>
        <v>Unsure</v>
      </c>
      <c r="AG14" t="str">
        <f ca="1">IFERROR(__xludf.DUMMYFUNCTION("""COMPUTED_VALUE"""),"")</f>
        <v/>
      </c>
      <c r="AH14" t="str">
        <f ca="1">IFERROR(__xludf.DUMMYFUNCTION("""COMPUTED_VALUE"""),"Unsure")</f>
        <v>Unsure</v>
      </c>
      <c r="AI14" t="str">
        <f ca="1">IFERROR(__xludf.DUMMYFUNCTION("""COMPUTED_VALUE"""),"")</f>
        <v/>
      </c>
      <c r="AJ14" t="str">
        <f ca="1">IFERROR(__xludf.DUMMYFUNCTION("""COMPUTED_VALUE"""),"Unsure")</f>
        <v>Unsure</v>
      </c>
      <c r="AK14" t="str">
        <f ca="1">IFERROR(__xludf.DUMMYFUNCTION("""COMPUTED_VALUE"""),"Unsure")</f>
        <v>Unsure</v>
      </c>
      <c r="AL14" t="str">
        <f ca="1">IFERROR(__xludf.DUMMYFUNCTION("""COMPUTED_VALUE"""),"")</f>
        <v/>
      </c>
      <c r="AM14" t="str">
        <f ca="1">IFERROR(__xludf.DUMMYFUNCTION("""COMPUTED_VALUE"""),"")</f>
        <v/>
      </c>
      <c r="AN14" t="str">
        <f ca="1">IFERROR(__xludf.DUMMYFUNCTION("""COMPUTED_VALUE"""),"")</f>
        <v/>
      </c>
      <c r="AO14" t="str">
        <f ca="1">IFERROR(__xludf.DUMMYFUNCTION("""COMPUTED_VALUE"""),"")</f>
        <v/>
      </c>
      <c r="AP14" t="str">
        <f ca="1">IFERROR(__xludf.DUMMYFUNCTION("""COMPUTED_VALUE"""),"OPR options ""Not specified"", though they perform double-blind review so presumably not]; Will soon launch their own preprint server: https://www.cambridge.org/core/services/authors/apsa-preprints; preprint citations -  [Unsure: ""Please include a link t"&amp;"o all non published work, i.e. working papers, conference papers, etc.""]")</f>
        <v>OPR options "Not specified", though they perform double-blind review so presumably not]; Will soon launch their own preprint server: https://www.cambridge.org/core/services/authors/apsa-preprints; preprint citations -  [Unsure: "Please include a link to all non published work, i.e. working papers, conference papers, etc."]</v>
      </c>
      <c r="AQ14" t="str">
        <f ca="1">IFERROR(__xludf.DUMMYFUNCTION("""COMPUTED_VALUE"""),"")</f>
        <v/>
      </c>
      <c r="AR14" t="str">
        <f ca="1">IFERROR(__xludf.DUMMYFUNCTION("""COMPUTED_VALUE"""),"")</f>
        <v/>
      </c>
    </row>
    <row r="15" spans="1:44" ht="13">
      <c r="A15" t="str">
        <f ca="1">IFERROR(__xludf.DUMMYFUNCTION("""COMPUTED_VALUE"""),"SR")</f>
        <v>SR</v>
      </c>
      <c r="B15" s="41">
        <f ca="1">IFERROR(__xludf.DUMMYFUNCTION("""COMPUTED_VALUE"""),43434)</f>
        <v>43434</v>
      </c>
      <c r="C15" t="str">
        <f ca="1">IFERROR(__xludf.DUMMYFUNCTION("""COMPUTED_VALUE"""),"SH")</f>
        <v>SH</v>
      </c>
      <c r="D15" s="39">
        <f ca="1">IFERROR(__xludf.DUMMYFUNCTION("""COMPUTED_VALUE"""),43569)</f>
        <v>43569</v>
      </c>
      <c r="E15" t="str">
        <f ca="1">IFERROR(__xludf.DUMMYFUNCTION("""COMPUTED_VALUE"""),"TRH")</f>
        <v>TRH</v>
      </c>
      <c r="F15" s="28">
        <f ca="1">IFERROR(__xludf.DUMMYFUNCTION("""COMPUTED_VALUE"""),43579)</f>
        <v>43579</v>
      </c>
      <c r="G15" t="str">
        <f ca="1">IFERROR(__xludf.DUMMYFUNCTION("""COMPUTED_VALUE"""),"")</f>
        <v/>
      </c>
      <c r="H15" t="str">
        <f ca="1">IFERROR(__xludf.DUMMYFUNCTION("""COMPUTED_VALUE"""),"1939-8271")</f>
        <v>1939-8271</v>
      </c>
      <c r="I15" t="str">
        <f ca="1">IFERROR(__xludf.DUMMYFUNCTION("""COMPUTED_VALUE"""),"American Sociological Review")</f>
        <v>American Sociological Review</v>
      </c>
      <c r="J15" t="str">
        <f ca="1">IFERROR(__xludf.DUMMYFUNCTION("""COMPUTED_VALUE"""),"Social Sciences")</f>
        <v>Social Sciences</v>
      </c>
      <c r="K15" t="str">
        <f ca="1">IFERROR(__xludf.DUMMYFUNCTION("""COMPUTED_VALUE"""),"SAGE/American Sociological Association")</f>
        <v>SAGE/American Sociological Association</v>
      </c>
      <c r="L15" t="str">
        <f ca="1">IFERROR(__xludf.DUMMYFUNCTION("""COMPUTED_VALUE"""),"Double blind")</f>
        <v>Double blind</v>
      </c>
      <c r="M15" s="93" t="str">
        <f ca="1">IFERROR(__xludf.DUMMYFUNCTION("""COMPUTED_VALUE"""),"https://us.sagepub.com/en-us/nam/journal/american-sociological-review#submission-guidelines")</f>
        <v>https://us.sagepub.com/en-us/nam/journal/american-sociological-review#submission-guidelines</v>
      </c>
      <c r="N15" t="str">
        <f ca="1">IFERROR(__xludf.DUMMYFUNCTION("""COMPUTED_VALUE"""),"")</f>
        <v/>
      </c>
      <c r="O15" s="93" t="str">
        <f ca="1">IFERROR(__xludf.DUMMYFUNCTION("""COMPUTED_VALUE"""),"https://us.sagepub.com/en-us/nam/reviewer-rewards")</f>
        <v>https://us.sagepub.com/en-us/nam/reviewer-rewards</v>
      </c>
      <c r="P15" t="str">
        <f ca="1">IFERROR(__xludf.DUMMYFUNCTION("""COMPUTED_VALUE"""),"Yes")</f>
        <v>Yes</v>
      </c>
      <c r="Q15" t="str">
        <f ca="1">IFERROR(__xludf.DUMMYFUNCTION("""COMPUTED_VALUE"""),"")</f>
        <v/>
      </c>
      <c r="R15" t="str">
        <f ca="1">IFERROR(__xludf.DUMMYFUNCTION("""COMPUTED_VALUE"""),"")</f>
        <v/>
      </c>
      <c r="S15" t="str">
        <f ca="1">IFERROR(__xludf.DUMMYFUNCTION("""COMPUTED_VALUE"""),"Not specified")</f>
        <v>Not specified</v>
      </c>
      <c r="T15" t="str">
        <f ca="1">IFERROR(__xludf.DUMMYFUNCTION("""COMPUTED_VALUE"""),"Not specified")</f>
        <v>Not specified</v>
      </c>
      <c r="U15" t="str">
        <f ca="1">IFERROR(__xludf.DUMMYFUNCTION("""COMPUTED_VALUE"""),"Not specified")</f>
        <v>Not specified</v>
      </c>
      <c r="V15" t="str">
        <f ca="1">IFERROR(__xludf.DUMMYFUNCTION("""COMPUTED_VALUE"""),"Not specified")</f>
        <v>Not specified</v>
      </c>
      <c r="W15" t="str">
        <f ca="1">IFERROR(__xludf.DUMMYFUNCTION("""COMPUTED_VALUE"""),"Not specified")</f>
        <v>Not specified</v>
      </c>
      <c r="X15" t="str">
        <f ca="1">IFERROR(__xludf.DUMMYFUNCTION("""COMPUTED_VALUE"""),"Not specified")</f>
        <v>Not specified</v>
      </c>
      <c r="Y15" t="str">
        <f ca="1">IFERROR(__xludf.DUMMYFUNCTION("""COMPUTED_VALUE"""),"Not specified")</f>
        <v>Not specified</v>
      </c>
      <c r="Z15" t="str">
        <f ca="1">IFERROR(__xludf.DUMMYFUNCTION("""COMPUTED_VALUE"""),"Not specified")</f>
        <v>Not specified</v>
      </c>
      <c r="AA15" t="str">
        <f ca="1">IFERROR(__xludf.DUMMYFUNCTION("""COMPUTED_VALUE"""),"")</f>
        <v/>
      </c>
      <c r="AB15"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invita"&amp;"tion to review. The names of everyone involved in doing the review should be submitted to the editor so that the journal records accurately reflect the review process that took place. Full guidelines for peer reviewers can be found on the Committee on Pub"&amp;"lication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15" s="93" t="str">
        <f ca="1">IFERROR(__xludf.DUMMYFUNCTION("""COMPUTED_VALUE"""),"https://uk.sagepub.com/en-gb/eur/how-to-review-articles")</f>
        <v>https://uk.sagepub.com/en-gb/eur/how-to-review-articles</v>
      </c>
      <c r="AD15" t="str">
        <f ca="1">IFERROR(__xludf.DUMMYFUNCTION("""COMPUTED_VALUE"""),"Yes")</f>
        <v>Yes</v>
      </c>
      <c r="AE15" t="str">
        <f ca="1">IFERROR(__xludf.DUMMYFUNCTION("""COMPUTED_VALUE"""),"Unsure")</f>
        <v>Unsure</v>
      </c>
      <c r="AF15" t="str">
        <f ca="1">IFERROR(__xludf.DUMMYFUNCTION("""COMPUTED_VALUE"""),"Unsure")</f>
        <v>Unsure</v>
      </c>
      <c r="AG15" s="93" t="str">
        <f ca="1">IFERROR(__xludf.DUMMYFUNCTION("""COMPUTED_VALUE"""),"https://us.sagepub.com/en-us/nam/prior-publication")</f>
        <v>https://us.sagepub.com/en-us/nam/prior-publication</v>
      </c>
      <c r="AH15" t="str">
        <f ca="1">IFERROR(__xludf.DUMMYFUNCTION("""COMPUTED_VALUE"""),"First submission only (before peer review)")</f>
        <v>First submission only (before peer review)</v>
      </c>
      <c r="AI15" t="str">
        <f ca="1">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15" t="str">
        <f ca="1">IFERROR(__xludf.DUMMYFUNCTION("""COMPUTED_VALUE"""),"Yes, in the reference list")</f>
        <v>Yes, in the reference list</v>
      </c>
      <c r="AK15" t="str">
        <f ca="1">IFERROR(__xludf.DUMMYFUNCTION("""COMPUTED_VALUE"""),"Unsure")</f>
        <v>Unsure</v>
      </c>
      <c r="AL15" t="str">
        <f ca="1">IFERROR(__xludf.DUMMYFUNCTION("""COMPUTED_VALUE"""),"")</f>
        <v/>
      </c>
      <c r="AM15" t="str">
        <f ca="1">IFERROR(__xludf.DUMMYFUNCTION("""COMPUTED_VALUE"""),"")</f>
        <v/>
      </c>
      <c r="AN15" t="str">
        <f ca="1">IFERROR(__xludf.DUMMYFUNCTION("""COMPUTED_VALUE"""),"")</f>
        <v/>
      </c>
      <c r="AO15" t="str">
        <f ca="1">IFERROR(__xludf.DUMMYFUNCTION("""COMPUTED_VALUE"""),"")</f>
        <v/>
      </c>
      <c r="AP15" t="str">
        <f ca="1">IFERROR(__xludf.DUMMYFUNCTION("""COMPUTED_VALUE"""),"Regarding reviewer credit - Yes [Publons. They also publlish a list of reviewers annually]; re. preprint citation, they allow citation of website so reasonable to assume preprints ok https://uk.sagepub.com/en-gb/eur/journal/american-sociological-review#su"&amp;"bmission-guidelines")</f>
        <v>Regarding reviewer credit - Yes [Publons. They also publlish a list of reviewers annually]; re. preprint citation, they allow citation of website so reasonable to assume preprints ok https://uk.sagepub.com/en-gb/eur/journal/american-sociological-review#submission-guidelines</v>
      </c>
      <c r="AQ15" t="str">
        <f ca="1">IFERROR(__xludf.DUMMYFUNCTION("""COMPUTED_VALUE"""),"")</f>
        <v/>
      </c>
      <c r="AR15" t="str">
        <f ca="1">IFERROR(__xludf.DUMMYFUNCTION("""COMPUTED_VALUE"""),"")</f>
        <v/>
      </c>
    </row>
    <row r="16" spans="1:44" ht="13">
      <c r="A16" t="str">
        <f ca="1">IFERROR(__xludf.DUMMYFUNCTION("""COMPUTED_VALUE"""),"SR")</f>
        <v>SR</v>
      </c>
      <c r="B16" s="41">
        <f ca="1">IFERROR(__xludf.DUMMYFUNCTION("""COMPUTED_VALUE"""),43434)</f>
        <v>43434</v>
      </c>
      <c r="C16" t="str">
        <f ca="1">IFERROR(__xludf.DUMMYFUNCTION("""COMPUTED_VALUE"""),"SH")</f>
        <v>SH</v>
      </c>
      <c r="D16" s="39">
        <f ca="1">IFERROR(__xludf.DUMMYFUNCTION("""COMPUTED_VALUE"""),43569)</f>
        <v>43569</v>
      </c>
      <c r="E16" t="str">
        <f ca="1">IFERROR(__xludf.DUMMYFUNCTION("""COMPUTED_VALUE"""),"TRH")</f>
        <v>TRH</v>
      </c>
      <c r="F16" s="28">
        <f ca="1">IFERROR(__xludf.DUMMYFUNCTION("""COMPUTED_VALUE"""),43579)</f>
        <v>43579</v>
      </c>
      <c r="G16" t="str">
        <f ca="1">IFERROR(__xludf.DUMMYFUNCTION("""COMPUTED_VALUE"""),"")</f>
        <v/>
      </c>
      <c r="H16" t="str">
        <f ca="1">IFERROR(__xludf.DUMMYFUNCTION("""COMPUTED_VALUE"""),"1521-3773")</f>
        <v>1521-3773</v>
      </c>
      <c r="I16" t="str">
        <f ca="1">IFERROR(__xludf.DUMMYFUNCTION("""COMPUTED_VALUE"""),"Angewandte Chemie International Edition")</f>
        <v>Angewandte Chemie International Edition</v>
      </c>
      <c r="J16" t="str">
        <f ca="1">IFERROR(__xludf.DUMMYFUNCTION("""COMPUTED_VALUE"""),"Chemical &amp; Materials Sciences")</f>
        <v>Chemical &amp; Materials Sciences</v>
      </c>
      <c r="K16" t="str">
        <f ca="1">IFERROR(__xludf.DUMMYFUNCTION("""COMPUTED_VALUE"""),"Wiley-VCH")</f>
        <v>Wiley-VCH</v>
      </c>
      <c r="L16" t="str">
        <f ca="1">IFERROR(__xludf.DUMMYFUNCTION("""COMPUTED_VALUE"""),"Single blind")</f>
        <v>Single blind</v>
      </c>
      <c r="M16" t="str">
        <f ca="1">IFERROR(__xludf.DUMMYFUNCTION("""COMPUTED_VALUE"""),"https://authorservices.wiley.com/Reviewers/journal-reviewers/tools-and-resources/review-confidentiality-policy.html, https://onlinelibrary.wiley.com/page/journal/15213773/homepage/notice-to-authors")</f>
        <v>https://authorservices.wiley.com/Reviewers/journal-reviewers/tools-and-resources/review-confidentiality-policy.html, https://onlinelibrary.wiley.com/page/journal/15213773/homepage/notice-to-authors</v>
      </c>
      <c r="N16" t="str">
        <f ca="1">IFERROR(__xludf.DUMMYFUNCTION("""COMPUTED_VALUE"""),"")</f>
        <v/>
      </c>
      <c r="O16" t="str">
        <f ca="1">IFERROR(__xludf.DUMMYFUNCTION("""COMPUTED_VALUE"""),"")</f>
        <v/>
      </c>
      <c r="P16" t="str">
        <f ca="1">IFERROR(__xludf.DUMMYFUNCTION("""COMPUTED_VALUE"""),"Unsure")</f>
        <v>Unsure</v>
      </c>
      <c r="Q16" t="str">
        <f ca="1">IFERROR(__xludf.DUMMYFUNCTION("""COMPUTED_VALUE"""),"")</f>
        <v/>
      </c>
      <c r="R16" t="str">
        <f ca="1">IFERROR(__xludf.DUMMYFUNCTION("""COMPUTED_VALUE"""),"")</f>
        <v/>
      </c>
      <c r="S16" t="str">
        <f ca="1">IFERROR(__xludf.DUMMYFUNCTION("""COMPUTED_VALUE"""),"Not specified")</f>
        <v>Not specified</v>
      </c>
      <c r="T16" t="str">
        <f ca="1">IFERROR(__xludf.DUMMYFUNCTION("""COMPUTED_VALUE"""),"Not specified")</f>
        <v>Not specified</v>
      </c>
      <c r="U16" t="str">
        <f ca="1">IFERROR(__xludf.DUMMYFUNCTION("""COMPUTED_VALUE"""),"Not specified")</f>
        <v>Not specified</v>
      </c>
      <c r="V16" t="str">
        <f ca="1">IFERROR(__xludf.DUMMYFUNCTION("""COMPUTED_VALUE"""),"Not specified")</f>
        <v>Not specified</v>
      </c>
      <c r="W16" t="str">
        <f ca="1">IFERROR(__xludf.DUMMYFUNCTION("""COMPUTED_VALUE"""),"Not specified")</f>
        <v>Not specified</v>
      </c>
      <c r="X16" t="str">
        <f ca="1">IFERROR(__xludf.DUMMYFUNCTION("""COMPUTED_VALUE"""),"Not specified")</f>
        <v>Not specified</v>
      </c>
      <c r="Y16" t="str">
        <f ca="1">IFERROR(__xludf.DUMMYFUNCTION("""COMPUTED_VALUE"""),"Not specified")</f>
        <v>Not specified</v>
      </c>
      <c r="Z16" t="str">
        <f ca="1">IFERROR(__xludf.DUMMYFUNCTION("""COMPUTED_VALUE"""),"Not specified")</f>
        <v>Not specified</v>
      </c>
      <c r="AA16" t="str">
        <f ca="1">IFERROR(__xludf.DUMMYFUNCTION("""COMPUTED_VALUE"""),"")</f>
        <v/>
      </c>
      <c r="AB16" t="str">
        <f ca="1">IFERROR(__xludf.DUMMYFUNCTION("""COMPUTED_VALUE"""),"")</f>
        <v/>
      </c>
      <c r="AC16" t="str">
        <f ca="1">IFERROR(__xludf.DUMMYFUNCTION("""COMPUTED_VALUE"""),"")</f>
        <v/>
      </c>
      <c r="AD16" t="str">
        <f ca="1">IFERROR(__xludf.DUMMYFUNCTION("""COMPUTED_VALUE"""),"Unsure")</f>
        <v>Unsure</v>
      </c>
      <c r="AE16" t="str">
        <f ca="1">IFERROR(__xludf.DUMMYFUNCTION("""COMPUTED_VALUE"""),"Unsure")</f>
        <v>Unsure</v>
      </c>
      <c r="AF16" t="str">
        <f ca="1">IFERROR(__xludf.DUMMYFUNCTION("""COMPUTED_VALUE"""),"Unsure")</f>
        <v>Unsure</v>
      </c>
      <c r="AG16" s="93" t="str">
        <f ca="1">IFERROR(__xludf.DUMMYFUNCTION("""COMPUTED_VALUE"""),"https://onlinelibrary.wiley.com/page/journal/15213773/homepage/notice-to-authors")</f>
        <v>https://onlinelibrary.wiley.com/page/journal/15213773/homepage/notice-to-authors</v>
      </c>
      <c r="AH16" t="str">
        <f ca="1">IFERROR(__xludf.DUMMYFUNCTION("""COMPUTED_VALUE"""),"First submission only (before peer review)")</f>
        <v>First submission only (before peer review)</v>
      </c>
      <c r="AI16" t="str">
        <f ca="1">IFERROR(__xludf.DUMMYFUNCTION("""COMPUTED_VALUE"""),"""Angewandte Chemie, ChemPubSoc Europe, and Asian Chemical Editorial Society (ACES) journals will consider submitted papers that have been previously 1) posted as a preprint on a non-profit community preprint server such as ChemRxiv, bioRxiv, and arXiv""")</f>
        <v>"Angewandte Chemie, ChemPubSoc Europe, and Asian Chemical Editorial Society (ACES) journals will consider submitted papers that have been previously 1) posted as a preprint on a non-profit community preprint server such as ChemRxiv, bioRxiv, and arXiv"</v>
      </c>
      <c r="AJ16" t="str">
        <f ca="1">IFERROR(__xludf.DUMMYFUNCTION("""COMPUTED_VALUE"""),"Yes, in the reference list")</f>
        <v>Yes, in the reference list</v>
      </c>
      <c r="AK16" t="str">
        <f ca="1">IFERROR(__xludf.DUMMYFUNCTION("""COMPUTED_VALUE"""),"Unsure")</f>
        <v>Unsure</v>
      </c>
      <c r="AL16" t="str">
        <f ca="1">IFERROR(__xludf.DUMMYFUNCTION("""COMPUTED_VALUE"""),"""In the case of preprints, journals require that the material is not communicated with the media prior to publication of the paper in the journal family.""")</f>
        <v>"In the case of preprints, journals require that the material is not communicated with the media prior to publication of the paper in the journal family."</v>
      </c>
      <c r="AM16" t="str">
        <f ca="1">IFERROR(__xludf.DUMMYFUNCTION("""COMPUTED_VALUE"""),"")</f>
        <v/>
      </c>
      <c r="AN16" t="str">
        <f ca="1">IFERROR(__xludf.DUMMYFUNCTION("""COMPUTED_VALUE"""),"")</f>
        <v/>
      </c>
      <c r="AO16" t="str">
        <f ca="1">IFERROR(__xludf.DUMMYFUNCTION("""COMPUTED_VALUE"""),"")</f>
        <v/>
      </c>
      <c r="AP16" t="str">
        <f ca="1">IFERROR(__xludf.DUMMYFUNCTION("""COMPUTED_VALUE"""),"Wiley does not offer information on the peer review process explicitely on their website. This information can sometimes be found in the ""Guide for Authors"" section, but in the case of Angewandte Chemie IE, this section does not contain a lot of informa"&amp;"tion on the peer review process.")</f>
        <v>Wiley does not offer information on the peer review process explicitely on their website. This information can sometimes be found in the "Guide for Authors" section, but in the case of Angewandte Chemie IE, this section does not contain a lot of information on the peer review process.</v>
      </c>
      <c r="AQ16" t="str">
        <f ca="1">IFERROR(__xludf.DUMMYFUNCTION("""COMPUTED_VALUE"""),"")</f>
        <v/>
      </c>
      <c r="AR16" t="str">
        <f ca="1">IFERROR(__xludf.DUMMYFUNCTION("""COMPUTED_VALUE"""),"")</f>
        <v/>
      </c>
    </row>
    <row r="17" spans="1:44" ht="13">
      <c r="A17" t="str">
        <f ca="1">IFERROR(__xludf.DUMMYFUNCTION("""COMPUTED_VALUE"""),"SR")</f>
        <v>SR</v>
      </c>
      <c r="B17" s="41">
        <f ca="1">IFERROR(__xludf.DUMMYFUNCTION("""COMPUTED_VALUE"""),43434)</f>
        <v>43434</v>
      </c>
      <c r="C17" t="str">
        <f ca="1">IFERROR(__xludf.DUMMYFUNCTION("""COMPUTED_VALUE"""),"SH")</f>
        <v>SH</v>
      </c>
      <c r="D17" s="39">
        <f ca="1">IFERROR(__xludf.DUMMYFUNCTION("""COMPUTED_VALUE"""),43569)</f>
        <v>43569</v>
      </c>
      <c r="E17" t="str">
        <f ca="1">IFERROR(__xludf.DUMMYFUNCTION("""COMPUTED_VALUE"""),"TRH")</f>
        <v>TRH</v>
      </c>
      <c r="F17" s="28">
        <f ca="1">IFERROR(__xludf.DUMMYFUNCTION("""COMPUTED_VALUE"""),43580)</f>
        <v>43580</v>
      </c>
      <c r="G17" t="str">
        <f ca="1">IFERROR(__xludf.DUMMYFUNCTION("""COMPUTED_VALUE"""),"")</f>
        <v/>
      </c>
      <c r="H17" t="str">
        <f ca="1">IFERROR(__xludf.DUMMYFUNCTION("""COMPUTED_VALUE"""),"0003-4819")</f>
        <v>0003-4819</v>
      </c>
      <c r="I17" t="str">
        <f ca="1">IFERROR(__xludf.DUMMYFUNCTION("""COMPUTED_VALUE"""),"Annals of Internal Medicine")</f>
        <v>Annals of Internal Medicine</v>
      </c>
      <c r="J17" t="str">
        <f ca="1">IFERROR(__xludf.DUMMYFUNCTION("""COMPUTED_VALUE"""),"")</f>
        <v/>
      </c>
      <c r="K17" t="str">
        <f ca="1">IFERROR(__xludf.DUMMYFUNCTION("""COMPUTED_VALUE"""),"American College of Physicians")</f>
        <v>American College of Physicians</v>
      </c>
      <c r="L17" t="str">
        <f ca="1">IFERROR(__xludf.DUMMYFUNCTION("""COMPUTED_VALUE"""),"Single blind")</f>
        <v>Single blind</v>
      </c>
      <c r="M17" s="93" t="str">
        <f ca="1">IFERROR(__xludf.DUMMYFUNCTION("""COMPUTED_VALUE"""),"http://annals.org/aim/pages/authors")</f>
        <v>http://annals.org/aim/pages/authors</v>
      </c>
      <c r="N17" t="str">
        <f ca="1">IFERROR(__xludf.DUMMYFUNCTION("""COMPUTED_VALUE"""),"")</f>
        <v/>
      </c>
      <c r="O17" s="93" t="str">
        <f ca="1">IFERROR(__xludf.DUMMYFUNCTION("""COMPUTED_VALUE"""),"http://annals.org/aim/pages/authors")</f>
        <v>http://annals.org/aim/pages/authors</v>
      </c>
      <c r="P17" t="str">
        <f ca="1">IFERROR(__xludf.DUMMYFUNCTION("""COMPUTED_VALUE"""),"Unsure")</f>
        <v>Unsure</v>
      </c>
      <c r="Q17" t="str">
        <f ca="1">IFERROR(__xludf.DUMMYFUNCTION("""COMPUTED_VALUE"""),"")</f>
        <v/>
      </c>
      <c r="R17" t="str">
        <f ca="1">IFERROR(__xludf.DUMMYFUNCTION("""COMPUTED_VALUE"""),"")</f>
        <v/>
      </c>
      <c r="S17" t="str">
        <f ca="1">IFERROR(__xludf.DUMMYFUNCTION("""COMPUTED_VALUE"""),"Not specified")</f>
        <v>Not specified</v>
      </c>
      <c r="T17" t="str">
        <f ca="1">IFERROR(__xludf.DUMMYFUNCTION("""COMPUTED_VALUE"""),"Not specified")</f>
        <v>Not specified</v>
      </c>
      <c r="U17" t="str">
        <f ca="1">IFERROR(__xludf.DUMMYFUNCTION("""COMPUTED_VALUE"""),"Not specified")</f>
        <v>Not specified</v>
      </c>
      <c r="V17" t="str">
        <f ca="1">IFERROR(__xludf.DUMMYFUNCTION("""COMPUTED_VALUE"""),"Not specified")</f>
        <v>Not specified</v>
      </c>
      <c r="W17" t="str">
        <f ca="1">IFERROR(__xludf.DUMMYFUNCTION("""COMPUTED_VALUE"""),"Not specified")</f>
        <v>Not specified</v>
      </c>
      <c r="X17" t="str">
        <f ca="1">IFERROR(__xludf.DUMMYFUNCTION("""COMPUTED_VALUE"""),"Optional")</f>
        <v>Optional</v>
      </c>
      <c r="Y17" t="str">
        <f ca="1">IFERROR(__xludf.DUMMYFUNCTION("""COMPUTED_VALUE"""),"Not specified")</f>
        <v>Not specified</v>
      </c>
      <c r="Z17" t="str">
        <f ca="1">IFERROR(__xludf.DUMMYFUNCTION("""COMPUTED_VALUE"""),"Not specified")</f>
        <v>Not specified</v>
      </c>
      <c r="AA17" t="str">
        <f ca="1">IFERROR(__xludf.DUMMYFUNCTION("""COMPUTED_VALUE"""),"")</f>
        <v/>
      </c>
      <c r="AB17" t="str">
        <f ca="1">IFERROR(__xludf.DUMMYFUNCTION("""COMPUTED_VALUE"""),"Annals of Internal Medicine expects reviewers to handle manuscripts in a confidential manner. Manuscripts sent for review are privileged communications and are the private property of the authors. Therefore, reviewers (like members of the editorial staff)"&amp;" must not publicly discuss the authors' work or appropriate their ideas before the manuscript is published. Reviewers should not keep copies of reviewed manuscripts in their personal files and are prohibited from sharing copies of the manuscript with othe"&amp;"rs, except with the permission of the editor. Reviewers should destroy copies of manuscripts after submitting reviews.")</f>
        <v>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v>
      </c>
      <c r="AC17" s="93" t="str">
        <f ca="1">IFERROR(__xludf.DUMMYFUNCTION("""COMPUTED_VALUE"""),"http://annals.org/aim/pages/authors")</f>
        <v>http://annals.org/aim/pages/authors</v>
      </c>
      <c r="AD17" t="str">
        <f ca="1">IFERROR(__xludf.DUMMYFUNCTION("""COMPUTED_VALUE"""),"No")</f>
        <v>No</v>
      </c>
      <c r="AE17" t="str">
        <f ca="1">IFERROR(__xludf.DUMMYFUNCTION("""COMPUTED_VALUE"""),"No")</f>
        <v>No</v>
      </c>
      <c r="AF17" t="str">
        <f ca="1">IFERROR(__xludf.DUMMYFUNCTION("""COMPUTED_VALUE"""),"No")</f>
        <v>No</v>
      </c>
      <c r="AG17" s="93" t="str">
        <f ca="1">IFERROR(__xludf.DUMMYFUNCTION("""COMPUTED_VALUE"""),"http://annals.org/aim/pages/authors")</f>
        <v>http://annals.org/aim/pages/authors</v>
      </c>
      <c r="AH17" t="str">
        <f ca="1">IFERROR(__xludf.DUMMYFUNCTION("""COMPUTED_VALUE"""),"No preprint policy")</f>
        <v>No preprint policy</v>
      </c>
      <c r="AI17" t="str">
        <f ca="1">IFERROR(__xludf.DUMMYFUNCTION("""COMPUTED_VALUE"""),"")</f>
        <v/>
      </c>
      <c r="AJ17" t="str">
        <f ca="1">IFERROR(__xludf.DUMMYFUNCTION("""COMPUTED_VALUE"""),"Yes, but only in the text (not the reference list)")</f>
        <v>Yes, but only in the text (not the reference list)</v>
      </c>
      <c r="AK17" t="str">
        <f ca="1">IFERROR(__xludf.DUMMYFUNCTION("""COMPUTED_VALUE"""),"Unsure")</f>
        <v>Unsure</v>
      </c>
      <c r="AL17" t="str">
        <f ca="1">IFERROR(__xludf.DUMMYFUNCTION("""COMPUTED_VALUE"""),"")</f>
        <v/>
      </c>
      <c r="AM17" t="str">
        <f ca="1">IFERROR(__xludf.DUMMYFUNCTION("""COMPUTED_VALUE"""),"")</f>
        <v/>
      </c>
      <c r="AN17" t="str">
        <f ca="1">IFERROR(__xludf.DUMMYFUNCTION("""COMPUTED_VALUE"""),"")</f>
        <v/>
      </c>
      <c r="AO17" t="str">
        <f ca="1">IFERROR(__xludf.DUMMYFUNCTION("""COMPUTED_VALUE"""),"")</f>
        <v/>
      </c>
      <c r="AP17" t="str">
        <f ca="1">IFERROR(__xludf.DUMMYFUNCTION("""COMPUTED_VALUE"""),"Concerning preprints, Annals of Internal Medicine currently does not offer any information, which can be taken to mean that the editors do not consider preprints an option for authors. Contrary to other journal policies studied here, however, the journal "&amp;"is rather specific as far as the peer review policies are concerned.; Regarding preprint citation: [""Include references to unpublished material in the text, not in the references (for example, papers presented orally at a meeting; unpublished work [perso"&amp;"nal communications, papers in preparation])""]")</f>
        <v>Concerning preprints, Annals of Internal Medicine currently does not offer any information, which can be taken to mean that the editors do not consider preprints an option for authors. Contrary to other journal policies studied here, however, the journal is rather specific as far as the peer review policies are concerned.; Regarding preprint citation: ["Include references to unpublished material in the text, not in the references (for example, papers presented orally at a meeting; unpublished work [personal communications, papers in preparation])"]</v>
      </c>
      <c r="AQ17" t="str">
        <f ca="1">IFERROR(__xludf.DUMMYFUNCTION("""COMPUTED_VALUE"""),"")</f>
        <v/>
      </c>
      <c r="AR17" t="str">
        <f ca="1">IFERROR(__xludf.DUMMYFUNCTION("""COMPUTED_VALUE"""),"")</f>
        <v/>
      </c>
    </row>
    <row r="18" spans="1:44" ht="13">
      <c r="A18" t="str">
        <f ca="1">IFERROR(__xludf.DUMMYFUNCTION("""COMPUTED_VALUE"""),"SR")</f>
        <v>SR</v>
      </c>
      <c r="B18" s="41">
        <f ca="1">IFERROR(__xludf.DUMMYFUNCTION("""COMPUTED_VALUE"""),43434)</f>
        <v>43434</v>
      </c>
      <c r="C18" t="str">
        <f ca="1">IFERROR(__xludf.DUMMYFUNCTION("""COMPUTED_VALUE"""),"JP")</f>
        <v>JP</v>
      </c>
      <c r="D18" s="28">
        <f ca="1">IFERROR(__xludf.DUMMYFUNCTION("""COMPUTED_VALUE"""),43566)</f>
        <v>43566</v>
      </c>
      <c r="E18" t="str">
        <f ca="1">IFERROR(__xludf.DUMMYFUNCTION("""COMPUTED_VALUE"""),"TRH")</f>
        <v>TRH</v>
      </c>
      <c r="F18" s="28">
        <f ca="1">IFERROR(__xludf.DUMMYFUNCTION("""COMPUTED_VALUE"""),43580)</f>
        <v>43580</v>
      </c>
      <c r="G18" s="28" t="str">
        <f ca="1">IFERROR(__xludf.DUMMYFUNCTION("""COMPUTED_VALUE"""),"")</f>
        <v/>
      </c>
      <c r="H18" t="str">
        <f ca="1">IFERROR(__xludf.DUMMYFUNCTION("""COMPUTED_VALUE"""),"1569-8041")</f>
        <v>1569-8041</v>
      </c>
      <c r="I18" t="str">
        <f ca="1">IFERROR(__xludf.DUMMYFUNCTION("""COMPUTED_VALUE"""),"Annals of Oncology")</f>
        <v>Annals of Oncology</v>
      </c>
      <c r="J18" t="str">
        <f ca="1">IFERROR(__xludf.DUMMYFUNCTION("""COMPUTED_VALUE"""),"")</f>
        <v/>
      </c>
      <c r="K18" t="str">
        <f ca="1">IFERROR(__xludf.DUMMYFUNCTION("""COMPUTED_VALUE"""),"Oxford Academic")</f>
        <v>Oxford Academic</v>
      </c>
      <c r="L18" t="str">
        <f ca="1">IFERROR(__xludf.DUMMYFUNCTION("""COMPUTED_VALUE"""),"Unsure")</f>
        <v>Unsure</v>
      </c>
      <c r="M18" s="93" t="str">
        <f ca="1">IFERROR(__xludf.DUMMYFUNCTION("""COMPUTED_VALUE"""),"https://academic.oup.com/annonc/pages/General_Instructions")</f>
        <v>https://academic.oup.com/annonc/pages/General_Instructions</v>
      </c>
      <c r="N18" t="str">
        <f ca="1">IFERROR(__xludf.DUMMYFUNCTION("""COMPUTED_VALUE"""),"")</f>
        <v/>
      </c>
      <c r="O18" t="str">
        <f ca="1">IFERROR(__xludf.DUMMYFUNCTION("""COMPUTED_VALUE"""),"")</f>
        <v/>
      </c>
      <c r="P18" t="str">
        <f ca="1">IFERROR(__xludf.DUMMYFUNCTION("""COMPUTED_VALUE"""),"Unsure")</f>
        <v>Unsure</v>
      </c>
      <c r="Q18" t="str">
        <f ca="1">IFERROR(__xludf.DUMMYFUNCTION("""COMPUTED_VALUE"""),"")</f>
        <v/>
      </c>
      <c r="R18" t="str">
        <f ca="1">IFERROR(__xludf.DUMMYFUNCTION("""COMPUTED_VALUE"""),"")</f>
        <v/>
      </c>
      <c r="S18" t="str">
        <f ca="1">IFERROR(__xludf.DUMMYFUNCTION("""COMPUTED_VALUE"""),"Not specified")</f>
        <v>Not specified</v>
      </c>
      <c r="T18" t="str">
        <f ca="1">IFERROR(__xludf.DUMMYFUNCTION("""COMPUTED_VALUE"""),"Not specified")</f>
        <v>Not specified</v>
      </c>
      <c r="U18" t="str">
        <f ca="1">IFERROR(__xludf.DUMMYFUNCTION("""COMPUTED_VALUE"""),"Not specified")</f>
        <v>Not specified</v>
      </c>
      <c r="V18" t="str">
        <f ca="1">IFERROR(__xludf.DUMMYFUNCTION("""COMPUTED_VALUE"""),"Not specified")</f>
        <v>Not specified</v>
      </c>
      <c r="W18" t="str">
        <f ca="1">IFERROR(__xludf.DUMMYFUNCTION("""COMPUTED_VALUE"""),"Not specified")</f>
        <v>Not specified</v>
      </c>
      <c r="X18" t="str">
        <f ca="1">IFERROR(__xludf.DUMMYFUNCTION("""COMPUTED_VALUE"""),"Not specified")</f>
        <v>Not specified</v>
      </c>
      <c r="Y18" t="str">
        <f ca="1">IFERROR(__xludf.DUMMYFUNCTION("""COMPUTED_VALUE"""),"Not specified")</f>
        <v>Not specified</v>
      </c>
      <c r="Z18" t="str">
        <f ca="1">IFERROR(__xludf.DUMMYFUNCTION("""COMPUTED_VALUE"""),"Not specified")</f>
        <v>Not specified</v>
      </c>
      <c r="AA18" t="str">
        <f ca="1">IFERROR(__xludf.DUMMYFUNCTION("""COMPUTED_VALUE"""),"")</f>
        <v/>
      </c>
      <c r="AB18" t="str">
        <f ca="1">IFERROR(__xludf.DUMMYFUNCTION("""COMPUTED_VALUE"""),"")</f>
        <v/>
      </c>
      <c r="AC18" t="str">
        <f ca="1">IFERROR(__xludf.DUMMYFUNCTION("""COMPUTED_VALUE"""),"")</f>
        <v/>
      </c>
      <c r="AD18" t="str">
        <f ca="1">IFERROR(__xludf.DUMMYFUNCTION("""COMPUTED_VALUE"""),"Unsure")</f>
        <v>Unsure</v>
      </c>
      <c r="AE18" t="str">
        <f ca="1">IFERROR(__xludf.DUMMYFUNCTION("""COMPUTED_VALUE"""),"Unsure")</f>
        <v>Unsure</v>
      </c>
      <c r="AF18" t="str">
        <f ca="1">IFERROR(__xludf.DUMMYFUNCTION("""COMPUTED_VALUE"""),"Unsure")</f>
        <v>Unsure</v>
      </c>
      <c r="AG18" s="93" t="str">
        <f ca="1">IFERROR(__xludf.DUMMYFUNCTION("""COMPUTED_VALUE"""),"https://academic.oup.com/journals/pages/access_purchase/rights_and_permissions/author_self_archiving_policy")</f>
        <v>https://academic.oup.com/journals/pages/access_purchase/rights_and_permissions/author_self_archiving_policy</v>
      </c>
      <c r="AH18" t="str">
        <f ca="1">IFERROR(__xludf.DUMMYFUNCTION("""COMPUTED_VALUE"""),"First submission only (before peer review)")</f>
        <v>First submission only (before peer review)</v>
      </c>
      <c r="AI18" t="str">
        <f ca="1">IFERROR(__xludf.DUMMYFUNCTION("""COMPUTED_VALUE"""),"Authors may make their Author's Original Version available anywhere at any time. This includes posting on their own personal websites, institutional or non-commercial or subject based repositories, commercial websites or repositories, or social media, pro"&amp;"vided that, upon acceptance, they acknowledge that the article has been accepted for publication as follows: This article has been accepted for publication in [Journal Title] Published by Oxford University Press. After publication we would also ask author"&amp;"s to update their AOV with the Digital Object Identifier (DOI), and include a link to the Version of Record.")</f>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18" t="str">
        <f ca="1">IFERROR(__xludf.DUMMYFUNCTION("""COMPUTED_VALUE"""),"Yes, but only in the text")</f>
        <v>Yes, but only in the text</v>
      </c>
      <c r="AK18" t="str">
        <f ca="1">IFERROR(__xludf.DUMMYFUNCTION("""COMPUTED_VALUE"""),"Unsure")</f>
        <v>Unsure</v>
      </c>
      <c r="AL18" t="str">
        <f ca="1">IFERROR(__xludf.DUMMYFUNCTION("""COMPUTED_VALUE"""),"")</f>
        <v/>
      </c>
      <c r="AM18" t="str">
        <f ca="1">IFERROR(__xludf.DUMMYFUNCTION("""COMPUTED_VALUE"""),"")</f>
        <v/>
      </c>
      <c r="AN18" t="str">
        <f ca="1">IFERROR(__xludf.DUMMYFUNCTION("""COMPUTED_VALUE"""),"")</f>
        <v/>
      </c>
      <c r="AO18" t="str">
        <f ca="1">IFERROR(__xludf.DUMMYFUNCTION("""COMPUTED_VALUE"""),"")</f>
        <v/>
      </c>
      <c r="AP18" t="str">
        <f ca="1">IFERROR(__xludf.DUMMYFUNCTION("""COMPUTED_VALUE"""),"The author information provided by Annals of Onkology is not very user-friendly, as it is basically one long page of text without content menu to ease the search process. There is scarce information on the review process; however, some information may be "&amp;"found on pre-print policies. Their licensing policies for different paper versions concerning preprints and self-archiving are stated very clearly on a separate website for instance.")</f>
        <v>The author information provided by Annals of Onkology is not very user-friendly, as it is basically one long page of text without content menu to ease the search process. There is scarce information on the review process; however, some information may be found on pre-print policies. Their licensing policies for different paper versions concerning preprints and self-archiving are stated very clearly on a separate website for instance.</v>
      </c>
      <c r="AQ18" t="str">
        <f ca="1">IFERROR(__xludf.DUMMYFUNCTION("""COMPUTED_VALUE"""),"")</f>
        <v/>
      </c>
      <c r="AR18" t="str">
        <f ca="1">IFERROR(__xludf.DUMMYFUNCTION("""COMPUTED_VALUE"""),"")</f>
        <v/>
      </c>
    </row>
    <row r="19" spans="1:44" ht="13">
      <c r="A19" t="str">
        <f ca="1">IFERROR(__xludf.DUMMYFUNCTION("""COMPUTED_VALUE"""),"SR")</f>
        <v>SR</v>
      </c>
      <c r="B19" s="41">
        <f ca="1">IFERROR(__xludf.DUMMYFUNCTION("""COMPUTED_VALUE"""),43437)</f>
        <v>43437</v>
      </c>
      <c r="C19" t="str">
        <f ca="1">IFERROR(__xludf.DUMMYFUNCTION("""COMPUTED_VALUE"""),"JP")</f>
        <v>JP</v>
      </c>
      <c r="D19" s="28">
        <f ca="1">IFERROR(__xludf.DUMMYFUNCTION("""COMPUTED_VALUE"""),43566)</f>
        <v>43566</v>
      </c>
      <c r="E19" t="str">
        <f ca="1">IFERROR(__xludf.DUMMYFUNCTION("""COMPUTED_VALUE"""),"TRH")</f>
        <v>TRH</v>
      </c>
      <c r="F19" s="28">
        <f ca="1">IFERROR(__xludf.DUMMYFUNCTION("""COMPUTED_VALUE"""),43580)</f>
        <v>43580</v>
      </c>
      <c r="G19" s="28" t="str">
        <f ca="1">IFERROR(__xludf.DUMMYFUNCTION("""COMPUTED_VALUE"""),"")</f>
        <v/>
      </c>
      <c r="H19" t="str">
        <f ca="1">IFERROR(__xludf.DUMMYFUNCTION("""COMPUTED_VALUE"""),"1468-2060")</f>
        <v>1468-2060</v>
      </c>
      <c r="I19" t="str">
        <f ca="1">IFERROR(__xludf.DUMMYFUNCTION("""COMPUTED_VALUE"""),"Annals of the Rheumatic Diseases")</f>
        <v>Annals of the Rheumatic Diseases</v>
      </c>
      <c r="J19" t="str">
        <f ca="1">IFERROR(__xludf.DUMMYFUNCTION("""COMPUTED_VALUE"""),"")</f>
        <v/>
      </c>
      <c r="K19" t="str">
        <f ca="1">IFERROR(__xludf.DUMMYFUNCTION("""COMPUTED_VALUE"""),"BMJ/EULAR")</f>
        <v>BMJ/EULAR</v>
      </c>
      <c r="L19" t="str">
        <f ca="1">IFERROR(__xludf.DUMMYFUNCTION("""COMPUTED_VALUE"""),"Single blind")</f>
        <v>Single blind</v>
      </c>
      <c r="M19" s="93" t="str">
        <f ca="1">IFERROR(__xludf.DUMMYFUNCTION("""COMPUTED_VALUE"""),"https://ard.bmj.com/pages/about/")</f>
        <v>https://ard.bmj.com/pages/about/</v>
      </c>
      <c r="N19" t="str">
        <f ca="1">IFERROR(__xludf.DUMMYFUNCTION("""COMPUTED_VALUE"""),"")</f>
        <v/>
      </c>
      <c r="O19" s="93" t="str">
        <f ca="1">IFERROR(__xludf.DUMMYFUNCTION("""COMPUTED_VALUE"""),"https://authors.bmj.com/policies/peer-review-terms-and-conditions/")</f>
        <v>https://authors.bmj.com/policies/peer-review-terms-and-conditions/</v>
      </c>
      <c r="P19" t="str">
        <f ca="1">IFERROR(__xludf.DUMMYFUNCTION("""COMPUTED_VALUE"""),"Unsure")</f>
        <v>Unsure</v>
      </c>
      <c r="Q19" t="str">
        <f ca="1">IFERROR(__xludf.DUMMYFUNCTION("""COMPUTED_VALUE"""),"Authors are given the option of nominating other journals from BMJ to which they would like their manuscript passed if it is rejected for publication by their first choice.")</f>
        <v>Authors are given the option of nominating other journals from BMJ to which they would like their manuscript passed if it is rejected for publication by their first choice.</v>
      </c>
      <c r="R19" s="93" t="str">
        <f ca="1">IFERROR(__xludf.DUMMYFUNCTION("""COMPUTED_VALUE"""),"https://authors.bmj.com/policies/peer-review-terms-and-conditions/")</f>
        <v>https://authors.bmj.com/policies/peer-review-terms-and-conditions/</v>
      </c>
      <c r="S19" t="str">
        <f ca="1">IFERROR(__xludf.DUMMYFUNCTION("""COMPUTED_VALUE"""),"Not specified")</f>
        <v>Not specified</v>
      </c>
      <c r="T19" t="str">
        <f ca="1">IFERROR(__xludf.DUMMYFUNCTION("""COMPUTED_VALUE"""),"Not specified")</f>
        <v>Not specified</v>
      </c>
      <c r="U19" t="str">
        <f ca="1">IFERROR(__xludf.DUMMYFUNCTION("""COMPUTED_VALUE"""),"Not specified")</f>
        <v>Not specified</v>
      </c>
      <c r="V19" t="str">
        <f ca="1">IFERROR(__xludf.DUMMYFUNCTION("""COMPUTED_VALUE"""),"Not specified")</f>
        <v>Not specified</v>
      </c>
      <c r="W19" t="str">
        <f ca="1">IFERROR(__xludf.DUMMYFUNCTION("""COMPUTED_VALUE"""),"Not specified")</f>
        <v>Not specified</v>
      </c>
      <c r="X19" t="str">
        <f ca="1">IFERROR(__xludf.DUMMYFUNCTION("""COMPUTED_VALUE"""),"Not specified")</f>
        <v>Not specified</v>
      </c>
      <c r="Y19" t="str">
        <f ca="1">IFERROR(__xludf.DUMMYFUNCTION("""COMPUTED_VALUE"""),"Not specified")</f>
        <v>Not specified</v>
      </c>
      <c r="Z19" t="str">
        <f ca="1">IFERROR(__xludf.DUMMYFUNCTION("""COMPUTED_VALUE"""),"Not specified")</f>
        <v>Not specified</v>
      </c>
      <c r="AA19" t="str">
        <f ca="1">IFERROR(__xludf.DUMMYFUNCTION("""COMPUTED_VALUE"""),"")</f>
        <v/>
      </c>
      <c r="AB19" t="str">
        <f ca="1">IFERROR(__xludf.DUMMYFUNCTION("""COMPUTED_VALUE"""),"Unpublished manuscripts are confidential and you must not disclose their contents to anyone except a professional colleague whose input you request as part of your review process. If you do choose to discuss the manuscript and/or your review with a profes"&amp;"sional colleague you are responsible for ensuring that they are made fully aware of the confidential nature of the discussion and that they must not disclose any information about the manuscript until the article is published. The identity of any co-revie"&amp;"wer and any potential conflicting or competing interests they may have must be disclosed when submitting your review.")</f>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19" s="93" t="str">
        <f ca="1">IFERROR(__xludf.DUMMYFUNCTION("""COMPUTED_VALUE"""),"https://authors.bmj.com/policies/peer-review-terms-and-conditions/")</f>
        <v>https://authors.bmj.com/policies/peer-review-terms-and-conditions/</v>
      </c>
      <c r="AD19" t="str">
        <f ca="1">IFERROR(__xludf.DUMMYFUNCTION("""COMPUTED_VALUE"""),"Yes")</f>
        <v>Yes</v>
      </c>
      <c r="AE19" t="str">
        <f ca="1">IFERROR(__xludf.DUMMYFUNCTION("""COMPUTED_VALUE"""),"Unsure")</f>
        <v>Unsure</v>
      </c>
      <c r="AF19" t="str">
        <f ca="1">IFERROR(__xludf.DUMMYFUNCTION("""COMPUTED_VALUE"""),"Unsure")</f>
        <v>Unsure</v>
      </c>
      <c r="AG19" s="93" t="str">
        <f ca="1">IFERROR(__xludf.DUMMYFUNCTION("""COMPUTED_VALUE"""),"https://authors.bmj.com/policies/preprints/")</f>
        <v>https://authors.bmj.com/policies/preprints/</v>
      </c>
      <c r="AH19" t="str">
        <f ca="1">IFERROR(__xludf.DUMMYFUNCTION("""COMPUTED_VALUE"""),"After peer review (but not final, copyedited version)")</f>
        <v>After peer review (but not final, copyedited version)</v>
      </c>
      <c r="AI19" t="str">
        <f ca="1">IFERROR(__xludf.DUMMYFUNCTION("""COMPUTED_VALUE"""),"any recognised, not-for-profit, preprint server, such as arXiv, bioRxiv or medRxiv")</f>
        <v>any recognised, not-for-profit, preprint server, such as arXiv, bioRxiv or medRxiv</v>
      </c>
      <c r="AJ19" t="str">
        <f ca="1">IFERROR(__xludf.DUMMYFUNCTION("""COMPUTED_VALUE"""),"Not specified")</f>
        <v>Not specified</v>
      </c>
      <c r="AK19" t="str">
        <f ca="1">IFERROR(__xludf.DUMMYFUNCTION("""COMPUTED_VALUE"""),"No")</f>
        <v>No</v>
      </c>
      <c r="AL19" t="str">
        <f ca="1">IFERROR(__xludf.DUMMYFUNCTION("""COMPUTED_VALUE"""),"Authors whose research has been presented at a scientific meeting are of course still able to publish in any of our journals, but we ask that the media is not provided with any additional information prior to publication of the full article in the journal"&amp;" because it is important that journalists and readers have access to the full peer reviewed version of record. Prior presentation of the work at a conference should be acknowledged in the manuscript.")</f>
        <v>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v>
      </c>
      <c r="AM19" t="str">
        <f ca="1">IFERROR(__xludf.DUMMYFUNCTION("""COMPUTED_VALUE"""),"BMJ places no restrictions on the licence chosen when posting a preprint version of work")</f>
        <v>BMJ places no restrictions on the licence chosen when posting a preprint version of work</v>
      </c>
      <c r="AN19" t="str">
        <f ca="1">IFERROR(__xludf.DUMMYFUNCTION("""COMPUTED_VALUE"""),"")</f>
        <v/>
      </c>
      <c r="AO19" t="str">
        <f ca="1">IFERROR(__xludf.DUMMYFUNCTION("""COMPUTED_VALUE"""),"")</f>
        <v/>
      </c>
      <c r="AP19" t="str">
        <f ca="1">IFERROR(__xludf.DUMMYFUNCTION("""COMPUTED_VALUE"""),"preprint-version: After peer review (""BMJ does not recommend that Author Accepted Manuscripts are placed on preprint servers."")")</f>
        <v>preprint-version: After peer review ("BMJ does not recommend that Author Accepted Manuscripts are placed on preprint servers.")</v>
      </c>
      <c r="AQ19" t="str">
        <f ca="1">IFERROR(__xludf.DUMMYFUNCTION("""COMPUTED_VALUE"""),"")</f>
        <v/>
      </c>
      <c r="AR19" t="str">
        <f ca="1">IFERROR(__xludf.DUMMYFUNCTION("""COMPUTED_VALUE"""),"")</f>
        <v/>
      </c>
    </row>
    <row r="20" spans="1:44" ht="13">
      <c r="A20" t="str">
        <f ca="1">IFERROR(__xludf.DUMMYFUNCTION("""COMPUTED_VALUE"""),"SR")</f>
        <v>SR</v>
      </c>
      <c r="B20" s="41">
        <f ca="1">IFERROR(__xludf.DUMMYFUNCTION("""COMPUTED_VALUE"""),43437)</f>
        <v>43437</v>
      </c>
      <c r="C20" t="str">
        <f ca="1">IFERROR(__xludf.DUMMYFUNCTION("""COMPUTED_VALUE"""),"JP")</f>
        <v>JP</v>
      </c>
      <c r="D20" s="28">
        <f ca="1">IFERROR(__xludf.DUMMYFUNCTION("""COMPUTED_VALUE"""),43566)</f>
        <v>43566</v>
      </c>
      <c r="E20" t="str">
        <f ca="1">IFERROR(__xludf.DUMMYFUNCTION("""COMPUTED_VALUE"""),"TRH")</f>
        <v>TRH</v>
      </c>
      <c r="F20" s="28">
        <f ca="1">IFERROR(__xludf.DUMMYFUNCTION("""COMPUTED_VALUE"""),43580)</f>
        <v>43580</v>
      </c>
      <c r="G20" s="28" t="str">
        <f ca="1">IFERROR(__xludf.DUMMYFUNCTION("""COMPUTED_VALUE"""),"")</f>
        <v/>
      </c>
      <c r="H20" t="str">
        <f ca="1">IFERROR(__xludf.DUMMYFUNCTION("""COMPUTED_VALUE"""),"0160-7383")</f>
        <v>0160-7383</v>
      </c>
      <c r="I20" t="str">
        <f ca="1">IFERROR(__xludf.DUMMYFUNCTION("""COMPUTED_VALUE"""),"Annals of Tourism Research")</f>
        <v>Annals of Tourism Research</v>
      </c>
      <c r="J20" t="str">
        <f ca="1">IFERROR(__xludf.DUMMYFUNCTION("""COMPUTED_VALUE"""),"Social Sciences")</f>
        <v>Social Sciences</v>
      </c>
      <c r="K20" t="str">
        <f ca="1">IFERROR(__xludf.DUMMYFUNCTION("""COMPUTED_VALUE"""),"Elsevier")</f>
        <v>Elsevier</v>
      </c>
      <c r="L20" t="str">
        <f ca="1">IFERROR(__xludf.DUMMYFUNCTION("""COMPUTED_VALUE"""),"Double blind")</f>
        <v>Double blind</v>
      </c>
      <c r="M20" s="93" t="str">
        <f ca="1">IFERROR(__xludf.DUMMYFUNCTION("""COMPUTED_VALUE"""),"https://www.elsevier.com/journals/annals-of-tourism-research/0160-7383?generatepdf=true")</f>
        <v>https://www.elsevier.com/journals/annals-of-tourism-research/0160-7383?generatepdf=true</v>
      </c>
      <c r="N20" t="str">
        <f ca="1">IFERROR(__xludf.DUMMYFUNCTION("""COMPUTED_VALUE"""),"")</f>
        <v/>
      </c>
      <c r="O20" s="93" t="str">
        <f ca="1">IFERROR(__xludf.DUMMYFUNCTION("""COMPUTED_VALUE"""),"https://www.elsevier.com/reviewers/role#recognizing")</f>
        <v>https://www.elsevier.com/reviewers/role#recognizing</v>
      </c>
      <c r="P20" t="str">
        <f ca="1">IFERROR(__xludf.DUMMYFUNCTION("""COMPUTED_VALUE"""),"Yes")</f>
        <v>Yes</v>
      </c>
      <c r="Q20"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0" s="93" t="str">
        <f ca="1">IFERROR(__xludf.DUMMYFUNCTION("""COMPUTED_VALUE"""),"https://www.elsevier.com/reviewers/what-is-peer-review")</f>
        <v>https://www.elsevier.com/reviewers/what-is-peer-review</v>
      </c>
      <c r="S20" t="str">
        <f ca="1">IFERROR(__xludf.DUMMYFUNCTION("""COMPUTED_VALUE"""),"Not specified")</f>
        <v>Not specified</v>
      </c>
      <c r="T20" t="str">
        <f ca="1">IFERROR(__xludf.DUMMYFUNCTION("""COMPUTED_VALUE"""),"Not specified")</f>
        <v>Not specified</v>
      </c>
      <c r="U20" t="str">
        <f ca="1">IFERROR(__xludf.DUMMYFUNCTION("""COMPUTED_VALUE"""),"Not specified")</f>
        <v>Not specified</v>
      </c>
      <c r="V20" t="str">
        <f ca="1">IFERROR(__xludf.DUMMYFUNCTION("""COMPUTED_VALUE"""),"Not specified")</f>
        <v>Not specified</v>
      </c>
      <c r="W20" t="str">
        <f ca="1">IFERROR(__xludf.DUMMYFUNCTION("""COMPUTED_VALUE"""),"Not specified")</f>
        <v>Not specified</v>
      </c>
      <c r="X20" t="str">
        <f ca="1">IFERROR(__xludf.DUMMYFUNCTION("""COMPUTED_VALUE"""),"Not specified")</f>
        <v>Not specified</v>
      </c>
      <c r="Y20" t="str">
        <f ca="1">IFERROR(__xludf.DUMMYFUNCTION("""COMPUTED_VALUE"""),"Not specified")</f>
        <v>Not specified</v>
      </c>
      <c r="Z20" t="str">
        <f ca="1">IFERROR(__xludf.DUMMYFUNCTION("""COMPUTED_VALUE"""),"Not specified")</f>
        <v>Not specified</v>
      </c>
      <c r="AA20" t="str">
        <f ca="1">IFERROR(__xludf.DUMMYFUNCTION("""COMPUTED_VALUE"""),"")</f>
        <v/>
      </c>
      <c r="AB20" t="str">
        <f ca="1">IFERROR(__xludf.DUMMYFUNCTION("""COMPUTED_VALUE"""),"")</f>
        <v/>
      </c>
      <c r="AC20" t="str">
        <f ca="1">IFERROR(__xludf.DUMMYFUNCTION("""COMPUTED_VALUE"""),"")</f>
        <v/>
      </c>
      <c r="AD20" t="str">
        <f ca="1">IFERROR(__xludf.DUMMYFUNCTION("""COMPUTED_VALUE"""),"Unsure")</f>
        <v>Unsure</v>
      </c>
      <c r="AE20" t="str">
        <f ca="1">IFERROR(__xludf.DUMMYFUNCTION("""COMPUTED_VALUE"""),"Unsure")</f>
        <v>Unsure</v>
      </c>
      <c r="AF20" t="str">
        <f ca="1">IFERROR(__xludf.DUMMYFUNCTION("""COMPUTED_VALUE"""),"Unsure")</f>
        <v>Unsure</v>
      </c>
      <c r="AG20" s="93" t="str">
        <f ca="1">IFERROR(__xludf.DUMMYFUNCTION("""COMPUTED_VALUE"""),"https://www.elsevier.com/about/policies/sharing")</f>
        <v>https://www.elsevier.com/about/policies/sharing</v>
      </c>
      <c r="AH20" t="str">
        <f ca="1">IFERROR(__xludf.DUMMYFUNCTION("""COMPUTED_VALUE"""),"Any")</f>
        <v>Any</v>
      </c>
      <c r="AI20" t="str">
        <f ca="1">IFERROR(__xludf.DUMMYFUNCTION("""COMPUTED_VALUE"""),"")</f>
        <v/>
      </c>
      <c r="AJ20" t="str">
        <f ca="1">IFERROR(__xludf.DUMMYFUNCTION("""COMPUTED_VALUE"""),"Not specified")</f>
        <v>Not specified</v>
      </c>
      <c r="AK20" t="str">
        <f ca="1">IFERROR(__xludf.DUMMYFUNCTION("""COMPUTED_VALUE"""),"No")</f>
        <v>No</v>
      </c>
      <c r="AL20" t="str">
        <f ca="1">IFERROR(__xludf.DUMMYFUNCTION("""COMPUTED_VALUE"""),"")</f>
        <v/>
      </c>
      <c r="AM20" t="str">
        <f ca="1">IFERROR(__xludf.DUMMYFUNCTION("""COMPUTED_VALUE"""),"")</f>
        <v/>
      </c>
      <c r="AN20" t="str">
        <f ca="1">IFERROR(__xludf.DUMMYFUNCTION("""COMPUTED_VALUE"""),"")</f>
        <v/>
      </c>
      <c r="AO20" t="str">
        <f ca="1">IFERROR(__xludf.DUMMYFUNCTION("""COMPUTED_VALUE"""),"Not specified")</f>
        <v>Not specified</v>
      </c>
      <c r="AP20" t="str">
        <f ca="1">IFERROR(__xludf.DUMMYFUNCTION("""COMPUTED_VALUE"""),"Elsevier offers extensive informatipon on its website spread out across a vast number of documents which makes it difficult to access the information (at least from the perspective of someone looking for information on peer review). As in many of the othe"&amp;"r examples studied, it appears as if the publisher does not consider the sort of information TRANSPOSE is looking for vital. This is alos indicated by the kind of information the website does offer (e.g. how to format a manuscript, how to review a manuscr"&amp;"ipt etc.).; preprint-version: Any (if on arXiv or RePEc)")</f>
        <v>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 preprint-version: Any (if on arXiv or RePEc)</v>
      </c>
      <c r="AQ20" t="str">
        <f ca="1">IFERROR(__xludf.DUMMYFUNCTION("""COMPUTED_VALUE"""),"")</f>
        <v/>
      </c>
      <c r="AR20" t="str">
        <f ca="1">IFERROR(__xludf.DUMMYFUNCTION("""COMPUTED_VALUE"""),"")</f>
        <v/>
      </c>
    </row>
    <row r="21" spans="1:44" ht="13">
      <c r="A21" t="str">
        <f ca="1">IFERROR(__xludf.DUMMYFUNCTION("""COMPUTED_VALUE"""),"SR")</f>
        <v>SR</v>
      </c>
      <c r="B21" s="41">
        <f ca="1">IFERROR(__xludf.DUMMYFUNCTION("""COMPUTED_VALUE"""),43437)</f>
        <v>43437</v>
      </c>
      <c r="C21" t="str">
        <f ca="1">IFERROR(__xludf.DUMMYFUNCTION("""COMPUTED_VALUE"""),"JP")</f>
        <v>JP</v>
      </c>
      <c r="D21" s="28">
        <f ca="1">IFERROR(__xludf.DUMMYFUNCTION("""COMPUTED_VALUE"""),43566)</f>
        <v>43566</v>
      </c>
      <c r="E21" t="str">
        <f ca="1">IFERROR(__xludf.DUMMYFUNCTION("""COMPUTED_VALUE"""),"TRH")</f>
        <v>TRH</v>
      </c>
      <c r="F21" s="28">
        <f ca="1">IFERROR(__xludf.DUMMYFUNCTION("""COMPUTED_VALUE"""),43580)</f>
        <v>43580</v>
      </c>
      <c r="G21" s="28" t="str">
        <f ca="1">IFERROR(__xludf.DUMMYFUNCTION("""COMPUTED_VALUE"""),"")</f>
        <v/>
      </c>
      <c r="H21" t="str">
        <f ca="1">IFERROR(__xludf.DUMMYFUNCTION("""COMPUTED_VALUE"""),"0306-2619")</f>
        <v>0306-2619</v>
      </c>
      <c r="I21" t="str">
        <f ca="1">IFERROR(__xludf.DUMMYFUNCTION("""COMPUTED_VALUE"""),"Applied Energy")</f>
        <v>Applied Energy</v>
      </c>
      <c r="J21" t="str">
        <f ca="1">IFERROR(__xludf.DUMMYFUNCTION("""COMPUTED_VALUE"""),"")</f>
        <v/>
      </c>
      <c r="K21" t="str">
        <f ca="1">IFERROR(__xludf.DUMMYFUNCTION("""COMPUTED_VALUE"""),"Elsevier")</f>
        <v>Elsevier</v>
      </c>
      <c r="L21" t="str">
        <f ca="1">IFERROR(__xludf.DUMMYFUNCTION("""COMPUTED_VALUE"""),"Single blind")</f>
        <v>Single blind</v>
      </c>
      <c r="M21" s="93" t="str">
        <f ca="1">IFERROR(__xludf.DUMMYFUNCTION("""COMPUTED_VALUE"""),"https://www.elsevier.com/journals/applied-energy/0306-2619/guide-for-authors#20910")</f>
        <v>https://www.elsevier.com/journals/applied-energy/0306-2619/guide-for-authors#20910</v>
      </c>
      <c r="N21" t="str">
        <f ca="1">IFERROR(__xludf.DUMMYFUNCTION("""COMPUTED_VALUE"""),"")</f>
        <v/>
      </c>
      <c r="O21" s="93" t="str">
        <f ca="1">IFERROR(__xludf.DUMMYFUNCTION("""COMPUTED_VALUE"""),"https://www.elsevier.com/reviewers/role#recognizing")</f>
        <v>https://www.elsevier.com/reviewers/role#recognizing</v>
      </c>
      <c r="P21" t="str">
        <f ca="1">IFERROR(__xludf.DUMMYFUNCTION("""COMPUTED_VALUE"""),"Unsure")</f>
        <v>Unsure</v>
      </c>
      <c r="Q21"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1" s="93" t="str">
        <f ca="1">IFERROR(__xludf.DUMMYFUNCTION("""COMPUTED_VALUE"""),"https://www.elsevier.com/reviewers/what-is-peer-review")</f>
        <v>https://www.elsevier.com/reviewers/what-is-peer-review</v>
      </c>
      <c r="S21" t="str">
        <f ca="1">IFERROR(__xludf.DUMMYFUNCTION("""COMPUTED_VALUE"""),"Not specified")</f>
        <v>Not specified</v>
      </c>
      <c r="T21" t="str">
        <f ca="1">IFERROR(__xludf.DUMMYFUNCTION("""COMPUTED_VALUE"""),"Not specified")</f>
        <v>Not specified</v>
      </c>
      <c r="U21" t="str">
        <f ca="1">IFERROR(__xludf.DUMMYFUNCTION("""COMPUTED_VALUE"""),"Not specified")</f>
        <v>Not specified</v>
      </c>
      <c r="V21" t="str">
        <f ca="1">IFERROR(__xludf.DUMMYFUNCTION("""COMPUTED_VALUE"""),"Not specified")</f>
        <v>Not specified</v>
      </c>
      <c r="W21" t="str">
        <f ca="1">IFERROR(__xludf.DUMMYFUNCTION("""COMPUTED_VALUE"""),"Not specified")</f>
        <v>Not specified</v>
      </c>
      <c r="X21" t="str">
        <f ca="1">IFERROR(__xludf.DUMMYFUNCTION("""COMPUTED_VALUE"""),"Not specified")</f>
        <v>Not specified</v>
      </c>
      <c r="Y21" t="str">
        <f ca="1">IFERROR(__xludf.DUMMYFUNCTION("""COMPUTED_VALUE"""),"Not specified")</f>
        <v>Not specified</v>
      </c>
      <c r="Z21" t="str">
        <f ca="1">IFERROR(__xludf.DUMMYFUNCTION("""COMPUTED_VALUE"""),"Not specified")</f>
        <v>Not specified</v>
      </c>
      <c r="AA21" t="str">
        <f ca="1">IFERROR(__xludf.DUMMYFUNCTION("""COMPUTED_VALUE"""),"")</f>
        <v/>
      </c>
      <c r="AB21" t="str">
        <f ca="1">IFERROR(__xludf.DUMMYFUNCTION("""COMPUTED_VALUE"""),"")</f>
        <v/>
      </c>
      <c r="AC21" t="str">
        <f ca="1">IFERROR(__xludf.DUMMYFUNCTION("""COMPUTED_VALUE"""),"")</f>
        <v/>
      </c>
      <c r="AD21" t="str">
        <f ca="1">IFERROR(__xludf.DUMMYFUNCTION("""COMPUTED_VALUE"""),"Unsure")</f>
        <v>Unsure</v>
      </c>
      <c r="AE21" t="str">
        <f ca="1">IFERROR(__xludf.DUMMYFUNCTION("""COMPUTED_VALUE"""),"Unsure")</f>
        <v>Unsure</v>
      </c>
      <c r="AF21" t="str">
        <f ca="1">IFERROR(__xludf.DUMMYFUNCTION("""COMPUTED_VALUE"""),"Unsure")</f>
        <v>Unsure</v>
      </c>
      <c r="AG21" s="93" t="str">
        <f ca="1">IFERROR(__xludf.DUMMYFUNCTION("""COMPUTED_VALUE"""),"https://www.elsevier.com/about/policies/sharing")</f>
        <v>https://www.elsevier.com/about/policies/sharing</v>
      </c>
      <c r="AH21" t="str">
        <f ca="1">IFERROR(__xludf.DUMMYFUNCTION("""COMPUTED_VALUE"""),"Any")</f>
        <v>Any</v>
      </c>
      <c r="AI21" t="str">
        <f ca="1">IFERROR(__xludf.DUMMYFUNCTION("""COMPUTED_VALUE"""),"")</f>
        <v/>
      </c>
      <c r="AJ21" t="str">
        <f ca="1">IFERROR(__xludf.DUMMYFUNCTION("""COMPUTED_VALUE"""),"Not specified")</f>
        <v>Not specified</v>
      </c>
      <c r="AK21" t="str">
        <f ca="1">IFERROR(__xludf.DUMMYFUNCTION("""COMPUTED_VALUE"""),"No")</f>
        <v>No</v>
      </c>
      <c r="AL21" t="str">
        <f ca="1">IFERROR(__xludf.DUMMYFUNCTION("""COMPUTED_VALUE"""),"")</f>
        <v/>
      </c>
      <c r="AM21" t="str">
        <f ca="1">IFERROR(__xludf.DUMMYFUNCTION("""COMPUTED_VALUE"""),"")</f>
        <v/>
      </c>
      <c r="AN21" t="str">
        <f ca="1">IFERROR(__xludf.DUMMYFUNCTION("""COMPUTED_VALUE"""),"")</f>
        <v/>
      </c>
      <c r="AO21" t="str">
        <f ca="1">IFERROR(__xludf.DUMMYFUNCTION("""COMPUTED_VALUE"""),"")</f>
        <v/>
      </c>
      <c r="AP21" t="str">
        <f ca="1">IFERROR(__xludf.DUMMYFUNCTION("""COMPUTED_VALUE"""),"Elsevier offers extensive informatipon on its website spread out across a vast number of documents which makes it difficult to access the information (at least from the perspective of someone looking for information on peer review). As in many of the othe"&amp;"r examples studied, it appears as if the publisher does not consider the sort of information TRANSPOSE is looking for vital. This is alos indicated by the kind of information the website does offer (e.g. how to format a manuscript, how to review a manuscr"&amp;"ipt etc.).")</f>
        <v>Elsevier offers extensive informatipon on its website spread out across a vast number of documents which makes it difficult to access the information (at least from the perspective of someone looking for information on peer review). As in many of the other examples studied, it appears as if the publisher does not consider the sort of information TRANSPOSE is looking for vital. This is alos indicated by the kind of information the website does offer (e.g. how to format a manuscript, how to review a manuscript etc.).</v>
      </c>
      <c r="AQ21" t="str">
        <f ca="1">IFERROR(__xludf.DUMMYFUNCTION("""COMPUTED_VALUE"""),"")</f>
        <v/>
      </c>
      <c r="AR21" t="str">
        <f ca="1">IFERROR(__xludf.DUMMYFUNCTION("""COMPUTED_VALUE"""),"")</f>
        <v/>
      </c>
    </row>
    <row r="22" spans="1:44" ht="13">
      <c r="A22" t="str">
        <f ca="1">IFERROR(__xludf.DUMMYFUNCTION("""COMPUTED_VALUE"""),"SR")</f>
        <v>SR</v>
      </c>
      <c r="B22" s="41">
        <f ca="1">IFERROR(__xludf.DUMMYFUNCTION("""COMPUTED_VALUE"""),43437)</f>
        <v>43437</v>
      </c>
      <c r="C22" t="str">
        <f ca="1">IFERROR(__xludf.DUMMYFUNCTION("""COMPUTED_VALUE"""),"GMD")</f>
        <v>GMD</v>
      </c>
      <c r="D22" s="28">
        <f ca="1">IFERROR(__xludf.DUMMYFUNCTION("""COMPUTED_VALUE"""),43579)</f>
        <v>43579</v>
      </c>
      <c r="E22" t="str">
        <f ca="1">IFERROR(__xludf.DUMMYFUNCTION("""COMPUTED_VALUE"""),"JP")</f>
        <v>JP</v>
      </c>
      <c r="F22" s="28">
        <f ca="1">IFERROR(__xludf.DUMMYFUNCTION("""COMPUTED_VALUE"""),43583)</f>
        <v>43583</v>
      </c>
      <c r="G22" t="str">
        <f ca="1">IFERROR(__xludf.DUMMYFUNCTION("""COMPUTED_VALUE"""),"Change preprint licensing fields to reflect AOV rather than later versions, remove quotes about AM &amp; VOR, leave citation policy blank [trh - ok]")</f>
        <v>Change preprint licensing fields to reflect AOV rather than later versions, remove quotes about AM &amp; VOR, leave citation policy blank [trh - ok]</v>
      </c>
      <c r="H22" t="str">
        <f ca="1">IFERROR(__xludf.DUMMYFUNCTION("""COMPUTED_VALUE"""),"1477-450X")</f>
        <v>1477-450X</v>
      </c>
      <c r="I22" t="str">
        <f ca="1">IFERROR(__xludf.DUMMYFUNCTION("""COMPUTED_VALUE"""),"Applied Linguistics")</f>
        <v>Applied Linguistics</v>
      </c>
      <c r="J22" t="str">
        <f ca="1">IFERROR(__xludf.DUMMYFUNCTION("""COMPUTED_VALUE"""),"Humanities, Literature &amp; Arts")</f>
        <v>Humanities, Literature &amp; Arts</v>
      </c>
      <c r="K22" t="str">
        <f ca="1">IFERROR(__xludf.DUMMYFUNCTION("""COMPUTED_VALUE"""),"Oxford Academic")</f>
        <v>Oxford Academic</v>
      </c>
      <c r="L22" t="str">
        <f ca="1">IFERROR(__xludf.DUMMYFUNCTION("""COMPUTED_VALUE"""),"Double blind")</f>
        <v>Double blind</v>
      </c>
      <c r="M22" s="93" t="str">
        <f ca="1">IFERROR(__xludf.DUMMYFUNCTION("""COMPUTED_VALUE"""),"https://academic.oup.com/applij/pages/General_Instructions")</f>
        <v>https://academic.oup.com/applij/pages/General_Instructions</v>
      </c>
      <c r="N22" t="str">
        <f ca="1">IFERROR(__xludf.DUMMYFUNCTION("""COMPUTED_VALUE"""),"")</f>
        <v/>
      </c>
      <c r="O22" t="str">
        <f ca="1">IFERROR(__xludf.DUMMYFUNCTION("""COMPUTED_VALUE"""),"")</f>
        <v/>
      </c>
      <c r="P22" t="str">
        <f ca="1">IFERROR(__xludf.DUMMYFUNCTION("""COMPUTED_VALUE"""),"Unsure")</f>
        <v>Unsure</v>
      </c>
      <c r="Q22" t="str">
        <f ca="1">IFERROR(__xludf.DUMMYFUNCTION("""COMPUTED_VALUE"""),"Not specified")</f>
        <v>Not specified</v>
      </c>
      <c r="R22" t="str">
        <f ca="1">IFERROR(__xludf.DUMMYFUNCTION("""COMPUTED_VALUE"""),"")</f>
        <v/>
      </c>
      <c r="S22" t="str">
        <f ca="1">IFERROR(__xludf.DUMMYFUNCTION("""COMPUTED_VALUE"""),"No")</f>
        <v>No</v>
      </c>
      <c r="T22" t="str">
        <f ca="1">IFERROR(__xludf.DUMMYFUNCTION("""COMPUTED_VALUE"""),"Not specified")</f>
        <v>Not specified</v>
      </c>
      <c r="U22" t="str">
        <f ca="1">IFERROR(__xludf.DUMMYFUNCTION("""COMPUTED_VALUE"""),"No")</f>
        <v>No</v>
      </c>
      <c r="V22" t="str">
        <f ca="1">IFERROR(__xludf.DUMMYFUNCTION("""COMPUTED_VALUE"""),"No")</f>
        <v>No</v>
      </c>
      <c r="W22" t="str">
        <f ca="1">IFERROR(__xludf.DUMMYFUNCTION("""COMPUTED_VALUE"""),"No")</f>
        <v>No</v>
      </c>
      <c r="X22" t="str">
        <f ca="1">IFERROR(__xludf.DUMMYFUNCTION("""COMPUTED_VALUE"""),"No")</f>
        <v>No</v>
      </c>
      <c r="Y22" t="str">
        <f ca="1">IFERROR(__xludf.DUMMYFUNCTION("""COMPUTED_VALUE"""),"No")</f>
        <v>No</v>
      </c>
      <c r="Z22" t="str">
        <f ca="1">IFERROR(__xludf.DUMMYFUNCTION("""COMPUTED_VALUE"""),"Conditional")</f>
        <v>Conditional</v>
      </c>
      <c r="AA22" t="str">
        <f ca="1">IFERROR(__xludf.DUMMYFUNCTION("""COMPUTED_VALUE"""),"")</f>
        <v/>
      </c>
      <c r="AB22" t="str">
        <f ca="1">IFERROR(__xludf.DUMMYFUNCTION("""COMPUTED_VALUE"""),"Unless otherwise specified, OUP expects editors and reviewers to handle all submissions in confidence. If a reviewer wishes to delegate the review or seek the opinion of a colleague on a specific aspect of the paper, they are expected to clear this with t"&amp;"he editor in the first instance.")</f>
        <v>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v>
      </c>
      <c r="AC22" s="93" t="str">
        <f ca="1">IFERROR(__xludf.DUMMYFUNCTION("""COMPUTED_VALUE"""),"https://academic.oup.com/journals/pages/authors/ethics")</f>
        <v>https://academic.oup.com/journals/pages/authors/ethics</v>
      </c>
      <c r="AD22" t="str">
        <f ca="1">IFERROR(__xludf.DUMMYFUNCTION("""COMPUTED_VALUE"""),"Yes")</f>
        <v>Yes</v>
      </c>
      <c r="AE22" t="str">
        <f ca="1">IFERROR(__xludf.DUMMYFUNCTION("""COMPUTED_VALUE"""),"Unsure")</f>
        <v>Unsure</v>
      </c>
      <c r="AF22" t="str">
        <f ca="1">IFERROR(__xludf.DUMMYFUNCTION("""COMPUTED_VALUE"""),"Unsure")</f>
        <v>Unsure</v>
      </c>
      <c r="AG22" s="93" t="str">
        <f ca="1">IFERROR(__xludf.DUMMYFUNCTION("""COMPUTED_VALUE"""),"https://academic.oup.com/journals/pages/access_purchase/rights_and_permissions/author_self_archiving_policy")</f>
        <v>https://academic.oup.com/journals/pages/access_purchase/rights_and_permissions/author_self_archiving_policy</v>
      </c>
      <c r="AH22" t="str">
        <f ca="1">IFERROR(__xludf.DUMMYFUNCTION("""COMPUTED_VALUE"""),"Unsure (preprint can be posted)")</f>
        <v>Unsure (preprint can be posted)</v>
      </c>
      <c r="AI22" t="str">
        <f ca="1">IFERROR(__xludf.DUMMYFUNCTION("""COMPUTED_VALUE"""),"Authors may make their Author's Original Version available anywhere at any time. This includes posting on their own personal websites, institutional or non-commercial or subject based repositories, commercial websites or repositories, or social media, pro"&amp;"vided that, upon acceptance, they acknowledge that the article has been accepted for publication as follows: This article has been accepted for publication in [Journal Title] Published by Oxford University Press. After publication we would also ask author"&amp;"s to update their AOV with the Digital Object Identifier (DOI), and include a link to the Version of Record.")</f>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22" t="str">
        <f ca="1">IFERROR(__xludf.DUMMYFUNCTION("""COMPUTED_VALUE"""),"")</f>
        <v/>
      </c>
      <c r="AK22" t="str">
        <f ca="1">IFERROR(__xludf.DUMMYFUNCTION("""COMPUTED_VALUE"""),"Unsure")</f>
        <v>Unsure</v>
      </c>
      <c r="AL22" t="str">
        <f ca="1">IFERROR(__xludf.DUMMYFUNCTION("""COMPUTED_VALUE"""),"")</f>
        <v/>
      </c>
      <c r="AM22" t="str">
        <f ca="1">IFERROR(__xludf.DUMMYFUNCTION("""COMPUTED_VALUE"""),"")</f>
        <v/>
      </c>
      <c r="AN22" t="str">
        <f ca="1">IFERROR(__xludf.DUMMYFUNCTION("""COMPUTED_VALUE"""),"")</f>
        <v/>
      </c>
      <c r="AO22" t="str">
        <f ca="1">IFERROR(__xludf.DUMMYFUNCTION("""COMPUTED_VALUE"""),"")</f>
        <v/>
      </c>
      <c r="AP22" t="str">
        <f ca="1">IFERROR(__xludf.DUMMYFUNCTION("""COMPUTED_VALUE"""),"")</f>
        <v/>
      </c>
      <c r="AQ22" t="str">
        <f ca="1">IFERROR(__xludf.DUMMYFUNCTION("""COMPUTED_VALUE"""),"")</f>
        <v/>
      </c>
      <c r="AR22" t="str">
        <f ca="1">IFERROR(__xludf.DUMMYFUNCTION("""COMPUTED_VALUE"""),"")</f>
        <v/>
      </c>
    </row>
    <row r="23" spans="1:44" ht="13">
      <c r="A23" t="str">
        <f ca="1">IFERROR(__xludf.DUMMYFUNCTION("""COMPUTED_VALUE"""),"SR")</f>
        <v>SR</v>
      </c>
      <c r="B23" s="41">
        <f ca="1">IFERROR(__xludf.DUMMYFUNCTION("""COMPUTED_VALUE"""),43437)</f>
        <v>43437</v>
      </c>
      <c r="C23" t="str">
        <f ca="1">IFERROR(__xludf.DUMMYFUNCTION("""COMPUTED_VALUE"""),"GMD")</f>
        <v>GMD</v>
      </c>
      <c r="D23" s="28">
        <f ca="1">IFERROR(__xludf.DUMMYFUNCTION("""COMPUTED_VALUE"""),43579)</f>
        <v>43579</v>
      </c>
      <c r="E23" t="str">
        <f ca="1">IFERROR(__xludf.DUMMYFUNCTION("""COMPUTED_VALUE"""),"JP")</f>
        <v>JP</v>
      </c>
      <c r="F23" s="28">
        <f ca="1">IFERROR(__xludf.DUMMYFUNCTION("""COMPUTED_VALUE"""),43583)</f>
        <v>43583</v>
      </c>
      <c r="G23" t="str">
        <f ca="1">IFERROR(__xludf.DUMMYFUNCTION("""COMPUTED_VALUE"""),"")</f>
        <v/>
      </c>
      <c r="H23" t="str">
        <f ca="1">IFERROR(__xludf.DUMMYFUNCTION("""COMPUTED_VALUE"""),"1077-3118")</f>
        <v>1077-3118</v>
      </c>
      <c r="I23" t="str">
        <f ca="1">IFERROR(__xludf.DUMMYFUNCTION("""COMPUTED_VALUE"""),"Applied Physics Letters")</f>
        <v>Applied Physics Letters</v>
      </c>
      <c r="J23" t="str">
        <f ca="1">IFERROR(__xludf.DUMMYFUNCTION("""COMPUTED_VALUE"""),"")</f>
        <v/>
      </c>
      <c r="K23" t="str">
        <f ca="1">IFERROR(__xludf.DUMMYFUNCTION("""COMPUTED_VALUE"""),"American Institute of Physics")</f>
        <v>American Institute of Physics</v>
      </c>
      <c r="L23" t="str">
        <f ca="1">IFERROR(__xludf.DUMMYFUNCTION("""COMPUTED_VALUE"""),"Unsure")</f>
        <v>Unsure</v>
      </c>
      <c r="M23" s="93" t="str">
        <f ca="1">IFERROR(__xludf.DUMMYFUNCTION("""COMPUTED_VALUE"""),"https://aip.scitation.org/apl/info/policies")</f>
        <v>https://aip.scitation.org/apl/info/policies</v>
      </c>
      <c r="N23" t="str">
        <f ca="1">IFERROR(__xludf.DUMMYFUNCTION("""COMPUTED_VALUE"""),"")</f>
        <v/>
      </c>
      <c r="O23" t="str">
        <f ca="1">IFERROR(__xludf.DUMMYFUNCTION("""COMPUTED_VALUE"""),"")</f>
        <v/>
      </c>
      <c r="P23" t="str">
        <f ca="1">IFERROR(__xludf.DUMMYFUNCTION("""COMPUTED_VALUE"""),"Unsure")</f>
        <v>Unsure</v>
      </c>
      <c r="Q23" t="str">
        <f ca="1">IFERROR(__xludf.DUMMYFUNCTION("""COMPUTED_VALUE"""),"If your manuscript is not accepted for publication in APL, an editor may recommend a transfer to AIP Advances for immediate consideration. AIP Advances is a peer-reviewed, fully open access journal covering all areas of the physical sciences. Articles pub"&amp;"lished in the journal are always freely accessible to download without a subscription. If you choose to transfer your manuscript to AIP Advances, all reviewer reports and editor recommendations will be transferred along with the manuscript. Once transferr"&amp;"ed, your article may be published online within 14 days, depending on the initial reviewer feedback and editor’s decision. This option may save you up to eight months because you do not have to resubmit your manuscript for review. For more information abo"&amp;"ut AIP Advances, visit http://aip.scitation.org/journal/adv.")</f>
        <v>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v>
      </c>
      <c r="R23" s="93" t="str">
        <f ca="1">IFERROR(__xludf.DUMMYFUNCTION("""COMPUTED_VALUE"""),"https://aip.scitation.org/apl/info/policies")</f>
        <v>https://aip.scitation.org/apl/info/policies</v>
      </c>
      <c r="S23" t="str">
        <f ca="1">IFERROR(__xludf.DUMMYFUNCTION("""COMPUTED_VALUE"""),"Not specified")</f>
        <v>Not specified</v>
      </c>
      <c r="T23" t="str">
        <f ca="1">IFERROR(__xludf.DUMMYFUNCTION("""COMPUTED_VALUE"""),"Not specified")</f>
        <v>Not specified</v>
      </c>
      <c r="U23" t="str">
        <f ca="1">IFERROR(__xludf.DUMMYFUNCTION("""COMPUTED_VALUE"""),"Not specified")</f>
        <v>Not specified</v>
      </c>
      <c r="V23" t="str">
        <f ca="1">IFERROR(__xludf.DUMMYFUNCTION("""COMPUTED_VALUE"""),"Not specified")</f>
        <v>Not specified</v>
      </c>
      <c r="W23" t="str">
        <f ca="1">IFERROR(__xludf.DUMMYFUNCTION("""COMPUTED_VALUE"""),"Not specified")</f>
        <v>Not specified</v>
      </c>
      <c r="X23" t="str">
        <f ca="1">IFERROR(__xludf.DUMMYFUNCTION("""COMPUTED_VALUE"""),"Not specified")</f>
        <v>Not specified</v>
      </c>
      <c r="Y23" t="str">
        <f ca="1">IFERROR(__xludf.DUMMYFUNCTION("""COMPUTED_VALUE"""),"Not specified")</f>
        <v>Not specified</v>
      </c>
      <c r="Z23" t="str">
        <f ca="1">IFERROR(__xludf.DUMMYFUNCTION("""COMPUTED_VALUE"""),"Not specified")</f>
        <v>Not specified</v>
      </c>
      <c r="AA23" t="str">
        <f ca="1">IFERROR(__xludf.DUMMYFUNCTION("""COMPUTED_VALUE"""),"")</f>
        <v/>
      </c>
      <c r="AB23" t="str">
        <f ca="1">IFERROR(__xludf.DUMMYFUNCTION("""COMPUTED_VALUE"""),"Not specified")</f>
        <v>Not specified</v>
      </c>
      <c r="AC23" t="str">
        <f ca="1">IFERROR(__xludf.DUMMYFUNCTION("""COMPUTED_VALUE"""),"")</f>
        <v/>
      </c>
      <c r="AD23" t="str">
        <f ca="1">IFERROR(__xludf.DUMMYFUNCTION("""COMPUTED_VALUE"""),"Not specified")</f>
        <v>Not specified</v>
      </c>
      <c r="AE23" t="str">
        <f ca="1">IFERROR(__xludf.DUMMYFUNCTION("""COMPUTED_VALUE"""),"Not specified")</f>
        <v>Not specified</v>
      </c>
      <c r="AF23" t="str">
        <f ca="1">IFERROR(__xludf.DUMMYFUNCTION("""COMPUTED_VALUE"""),"Not specified")</f>
        <v>Not specified</v>
      </c>
      <c r="AG23" t="str">
        <f ca="1">IFERROR(__xludf.DUMMYFUNCTION("""COMPUTED_VALUE"""),"")</f>
        <v/>
      </c>
      <c r="AH23" t="str">
        <f ca="1">IFERROR(__xludf.DUMMYFUNCTION("""COMPUTED_VALUE"""),"No preprint policy")</f>
        <v>No preprint policy</v>
      </c>
      <c r="AI23" t="str">
        <f ca="1">IFERROR(__xludf.DUMMYFUNCTION("""COMPUTED_VALUE"""),"Not specified")</f>
        <v>Not specified</v>
      </c>
      <c r="AJ23" t="str">
        <f ca="1">IFERROR(__xludf.DUMMYFUNCTION("""COMPUTED_VALUE"""),"Not specified")</f>
        <v>Not specified</v>
      </c>
      <c r="AK23" t="str">
        <f ca="1">IFERROR(__xludf.DUMMYFUNCTION("""COMPUTED_VALUE"""),"Unsure")</f>
        <v>Unsure</v>
      </c>
      <c r="AL23" t="str">
        <f ca="1">IFERROR(__xludf.DUMMYFUNCTION("""COMPUTED_VALUE"""),"")</f>
        <v/>
      </c>
      <c r="AM23" t="str">
        <f ca="1">IFERROR(__xludf.DUMMYFUNCTION("""COMPUTED_VALUE"""),"")</f>
        <v/>
      </c>
      <c r="AN23" t="str">
        <f ca="1">IFERROR(__xludf.DUMMYFUNCTION("""COMPUTED_VALUE"""),"")</f>
        <v/>
      </c>
      <c r="AO23" t="str">
        <f ca="1">IFERROR(__xludf.DUMMYFUNCTION("""COMPUTED_VALUE"""),"")</f>
        <v/>
      </c>
      <c r="AP23" t="str">
        <f ca="1">IFERROR(__xludf.DUMMYFUNCTION("""COMPUTED_VALUE"""),"Applied Physics Letters is difficult to assess with respect to their peer review policies and their policies concerning pre-preint, because these terms rarely appear anywhere on the website resp. In the documents on the website. It was rather difficult to"&amp;" determine their stance on peer-review, then.")</f>
        <v>Applied Physics Letters is difficult to assess with respect to their peer review policies and their policies concerning pre-preint, because these terms rarely appear anywhere on the website resp. In the documents on the website. It was rather difficult to determine their stance on peer-review, then.</v>
      </c>
      <c r="AQ23" t="str">
        <f ca="1">IFERROR(__xludf.DUMMYFUNCTION("""COMPUTED_VALUE"""),"45 mins")</f>
        <v>45 mins</v>
      </c>
      <c r="AR23" t="str">
        <f ca="1">IFERROR(__xludf.DUMMYFUNCTION("""COMPUTED_VALUE"""),"")</f>
        <v/>
      </c>
    </row>
    <row r="24" spans="1:44" ht="13">
      <c r="A24" t="str">
        <f ca="1">IFERROR(__xludf.DUMMYFUNCTION("""COMPUTED_VALUE"""),"SR")</f>
        <v>SR</v>
      </c>
      <c r="B24" s="41">
        <f ca="1">IFERROR(__xludf.DUMMYFUNCTION("""COMPUTED_VALUE"""),43437)</f>
        <v>43437</v>
      </c>
      <c r="C24" t="str">
        <f ca="1">IFERROR(__xludf.DUMMYFUNCTION("""COMPUTED_VALUE"""),"GMD")</f>
        <v>GMD</v>
      </c>
      <c r="D24" s="28">
        <f ca="1">IFERROR(__xludf.DUMMYFUNCTION("""COMPUTED_VALUE"""),43579)</f>
        <v>43579</v>
      </c>
      <c r="E24" t="str">
        <f ca="1">IFERROR(__xludf.DUMMYFUNCTION("""COMPUTED_VALUE"""),"JP")</f>
        <v>JP</v>
      </c>
      <c r="F24" s="28">
        <f ca="1">IFERROR(__xludf.DUMMYFUNCTION("""COMPUTED_VALUE"""),43583)</f>
        <v>43583</v>
      </c>
      <c r="G24" t="str">
        <f ca="1">IFERROR(__xludf.DUMMYFUNCTION("""COMPUTED_VALUE"""),"I also could not find a peer review policy URL")</f>
        <v>I also could not find a peer review policy URL</v>
      </c>
      <c r="H24" t="str">
        <f ca="1">IFERROR(__xludf.DUMMYFUNCTION("""COMPUTED_VALUE"""),"1432-0746")</f>
        <v>1432-0746</v>
      </c>
      <c r="I24" t="str">
        <f ca="1">IFERROR(__xludf.DUMMYFUNCTION("""COMPUTED_VALUE"""),"Astronomy &amp; Astrophysics")</f>
        <v>Astronomy &amp; Astrophysics</v>
      </c>
      <c r="J24" t="str">
        <f ca="1">IFERROR(__xludf.DUMMYFUNCTION("""COMPUTED_VALUE"""),"Physics &amp; Mathematics")</f>
        <v>Physics &amp; Mathematics</v>
      </c>
      <c r="K24" t="str">
        <f ca="1">IFERROR(__xludf.DUMMYFUNCTION("""COMPUTED_VALUE"""),"EDP Sciences")</f>
        <v>EDP Sciences</v>
      </c>
      <c r="L24" t="str">
        <f ca="1">IFERROR(__xludf.DUMMYFUNCTION("""COMPUTED_VALUE"""),"Unsure")</f>
        <v>Unsure</v>
      </c>
      <c r="M24" t="str">
        <f ca="1">IFERROR(__xludf.DUMMYFUNCTION("""COMPUTED_VALUE"""),"https://www.aanda.org/doc_journal/instructions/aadoc.pdf (p 16)")</f>
        <v>https://www.aanda.org/doc_journal/instructions/aadoc.pdf (p 16)</v>
      </c>
      <c r="N24" t="str">
        <f ca="1">IFERROR(__xludf.DUMMYFUNCTION("""COMPUTED_VALUE"""),"")</f>
        <v/>
      </c>
      <c r="O24" t="str">
        <f ca="1">IFERROR(__xludf.DUMMYFUNCTION("""COMPUTED_VALUE"""),"")</f>
        <v/>
      </c>
      <c r="P24" t="str">
        <f ca="1">IFERROR(__xludf.DUMMYFUNCTION("""COMPUTED_VALUE"""),"Unsure")</f>
        <v>Unsure</v>
      </c>
      <c r="Q24" t="str">
        <f ca="1">IFERROR(__xludf.DUMMYFUNCTION("""COMPUTED_VALUE"""),"Not specified")</f>
        <v>Not specified</v>
      </c>
      <c r="R24" t="str">
        <f ca="1">IFERROR(__xludf.DUMMYFUNCTION("""COMPUTED_VALUE"""),"")</f>
        <v/>
      </c>
      <c r="S24" t="str">
        <f ca="1">IFERROR(__xludf.DUMMYFUNCTION("""COMPUTED_VALUE"""),"Not specified")</f>
        <v>Not specified</v>
      </c>
      <c r="T24" t="str">
        <f ca="1">IFERROR(__xludf.DUMMYFUNCTION("""COMPUTED_VALUE"""),"Not specified")</f>
        <v>Not specified</v>
      </c>
      <c r="U24" t="str">
        <f ca="1">IFERROR(__xludf.DUMMYFUNCTION("""COMPUTED_VALUE"""),"Not specified")</f>
        <v>Not specified</v>
      </c>
      <c r="V24" t="str">
        <f ca="1">IFERROR(__xludf.DUMMYFUNCTION("""COMPUTED_VALUE"""),"Not specified")</f>
        <v>Not specified</v>
      </c>
      <c r="W24" t="str">
        <f ca="1">IFERROR(__xludf.DUMMYFUNCTION("""COMPUTED_VALUE"""),"Not specified")</f>
        <v>Not specified</v>
      </c>
      <c r="X24" t="str">
        <f ca="1">IFERROR(__xludf.DUMMYFUNCTION("""COMPUTED_VALUE"""),"Not specified")</f>
        <v>Not specified</v>
      </c>
      <c r="Y24" t="str">
        <f ca="1">IFERROR(__xludf.DUMMYFUNCTION("""COMPUTED_VALUE"""),"Not specified")</f>
        <v>Not specified</v>
      </c>
      <c r="Z24" t="str">
        <f ca="1">IFERROR(__xludf.DUMMYFUNCTION("""COMPUTED_VALUE"""),"Not specified")</f>
        <v>Not specified</v>
      </c>
      <c r="AA24" t="str">
        <f ca="1">IFERROR(__xludf.DUMMYFUNCTION("""COMPUTED_VALUE"""),"")</f>
        <v/>
      </c>
      <c r="AB24" t="str">
        <f ca="1">IFERROR(__xludf.DUMMYFUNCTION("""COMPUTED_VALUE"""),"Not specified")</f>
        <v>Not specified</v>
      </c>
      <c r="AC24" t="str">
        <f ca="1">IFERROR(__xludf.DUMMYFUNCTION("""COMPUTED_VALUE"""),"")</f>
        <v/>
      </c>
      <c r="AD24" t="str">
        <f ca="1">IFERROR(__xludf.DUMMYFUNCTION("""COMPUTED_VALUE"""),"Not specified")</f>
        <v>Not specified</v>
      </c>
      <c r="AE24" t="str">
        <f ca="1">IFERROR(__xludf.DUMMYFUNCTION("""COMPUTED_VALUE"""),"Not specified")</f>
        <v>Not specified</v>
      </c>
      <c r="AF24" t="str">
        <f ca="1">IFERROR(__xludf.DUMMYFUNCTION("""COMPUTED_VALUE"""),"Not specified")</f>
        <v>Not specified</v>
      </c>
      <c r="AG24" s="93" t="str">
        <f ca="1">IFERROR(__xludf.DUMMYFUNCTION("""COMPUTED_VALUE"""),"https://www.aanda.org/author-information")</f>
        <v>https://www.aanda.org/author-information</v>
      </c>
      <c r="AH24" t="str">
        <f ca="1">IFERROR(__xludf.DUMMYFUNCTION("""COMPUTED_VALUE"""),"Unsure")</f>
        <v>Unsure</v>
      </c>
      <c r="AI24" t="str">
        <f ca="1">IFERROR(__xludf.DUMMYFUNCTION("""COMPUTED_VALUE"""),"Not specified")</f>
        <v>Not specified</v>
      </c>
      <c r="AJ24" t="str">
        <f ca="1">IFERROR(__xludf.DUMMYFUNCTION("""COMPUTED_VALUE"""),"Not specified")</f>
        <v>Not specified</v>
      </c>
      <c r="AK24" t="str">
        <f ca="1">IFERROR(__xludf.DUMMYFUNCTION("""COMPUTED_VALUE"""),"Unsure")</f>
        <v>Unsure</v>
      </c>
      <c r="AL24" t="str">
        <f ca="1">IFERROR(__xludf.DUMMYFUNCTION("""COMPUTED_VALUE"""),"")</f>
        <v/>
      </c>
      <c r="AM24" t="str">
        <f ca="1">IFERROR(__xludf.DUMMYFUNCTION("""COMPUTED_VALUE"""),"")</f>
        <v/>
      </c>
      <c r="AN24" t="str">
        <f ca="1">IFERROR(__xludf.DUMMYFUNCTION("""COMPUTED_VALUE"""),"")</f>
        <v/>
      </c>
      <c r="AO24" t="str">
        <f ca="1">IFERROR(__xludf.DUMMYFUNCTION("""COMPUTED_VALUE"""),"")</f>
        <v/>
      </c>
      <c r="AP24" t="str">
        <f ca="1">IFERROR(__xludf.DUMMYFUNCTION("""COMPUTED_VALUE"""),"Astronomy &amp; Astrophysics is extremely difficult to assess with respect to their peer review policies as the term ""peer review"" does not pop up on their website once. Interestingly, while not providing information on the peer review process as such, the "&amp;"website offers information on the kinds of pre-print servers the journal allows (which is rarely the case based on previous experience).")</f>
        <v>Astronomy &amp; Astrophysics is extremely difficult to assess with respect to their peer review policies as the term "peer review" does not pop up on their website once. Interestingly, while not providing information on the peer review process as such, the website offers information on the kinds of pre-print servers the journal allows (which is rarely the case based on previous experience).</v>
      </c>
      <c r="AQ24" t="str">
        <f ca="1">IFERROR(__xludf.DUMMYFUNCTION("""COMPUTED_VALUE"""),"30 mins")</f>
        <v>30 mins</v>
      </c>
      <c r="AR24" t="str">
        <f ca="1">IFERROR(__xludf.DUMMYFUNCTION("""COMPUTED_VALUE"""),"Policy on peer review is unclear - appears to be peer-reviewed by Associate Editors of the journal as described on p16 of https://www.aanda.org/doc_journal/instructions/aadoc.pdf ")</f>
        <v xml:space="preserve">Policy on peer review is unclear - appears to be peer-reviewed by Associate Editors of the journal as described on p16 of https://www.aanda.org/doc_journal/instructions/aadoc.pdf </v>
      </c>
    </row>
    <row r="25" spans="1:44" ht="13">
      <c r="A25" t="str">
        <f ca="1">IFERROR(__xludf.DUMMYFUNCTION("""COMPUTED_VALUE"""),"SR")</f>
        <v>SR</v>
      </c>
      <c r="B25" s="41">
        <f ca="1">IFERROR(__xludf.DUMMYFUNCTION("""COMPUTED_VALUE"""),43437)</f>
        <v>43437</v>
      </c>
      <c r="C25" t="str">
        <f ca="1">IFERROR(__xludf.DUMMYFUNCTION("""COMPUTED_VALUE"""),"GMD")</f>
        <v>GMD</v>
      </c>
      <c r="D25" s="28">
        <f ca="1">IFERROR(__xludf.DUMMYFUNCTION("""COMPUTED_VALUE"""),43579)</f>
        <v>43579</v>
      </c>
      <c r="E25" t="str">
        <f ca="1">IFERROR(__xludf.DUMMYFUNCTION("""COMPUTED_VALUE"""),"JP")</f>
        <v>JP</v>
      </c>
      <c r="F25" s="28">
        <f ca="1">IFERROR(__xludf.DUMMYFUNCTION("""COMPUTED_VALUE"""),43583)</f>
        <v>43583</v>
      </c>
      <c r="G25" t="str">
        <f ca="1">IFERROR(__xludf.DUMMYFUNCTION("""COMPUTED_VALUE"""),"Corrected preprint policy (leaving most fields blank) - may wish to compare with other standard Elsevier policies [trh - ok]")</f>
        <v>Corrected preprint policy (leaving most fields blank) - may wish to compare with other standard Elsevier policies [trh - ok]</v>
      </c>
      <c r="H25" t="str">
        <f ca="1">IFERROR(__xludf.DUMMYFUNCTION("""COMPUTED_VALUE"""),"0142-9612")</f>
        <v>0142-9612</v>
      </c>
      <c r="I25" t="str">
        <f ca="1">IFERROR(__xludf.DUMMYFUNCTION("""COMPUTED_VALUE"""),"Biomaterials")</f>
        <v>Biomaterials</v>
      </c>
      <c r="J25" t="str">
        <f ca="1">IFERROR(__xludf.DUMMYFUNCTION("""COMPUTED_VALUE"""),"")</f>
        <v/>
      </c>
      <c r="K25" t="str">
        <f ca="1">IFERROR(__xludf.DUMMYFUNCTION("""COMPUTED_VALUE"""),"Elsevier")</f>
        <v>Elsevier</v>
      </c>
      <c r="L25" t="str">
        <f ca="1">IFERROR(__xludf.DUMMYFUNCTION("""COMPUTED_VALUE"""),"Single blind")</f>
        <v>Single blind</v>
      </c>
      <c r="M25" s="93" t="str">
        <f ca="1">IFERROR(__xludf.DUMMYFUNCTION("""COMPUTED_VALUE"""),"https://www.elsevier.com/journals/biomaterials/0142-9612?generatepdf=true")</f>
        <v>https://www.elsevier.com/journals/biomaterials/0142-9612?generatepdf=true</v>
      </c>
      <c r="N25" t="str">
        <f ca="1">IFERROR(__xludf.DUMMYFUNCTION("""COMPUTED_VALUE"""),"")</f>
        <v/>
      </c>
      <c r="O25" s="93" t="str">
        <f ca="1">IFERROR(__xludf.DUMMYFUNCTION("""COMPUTED_VALUE"""),"https://www.elsevier.com/reviewers/role#recognizing")</f>
        <v>https://www.elsevier.com/reviewers/role#recognizing</v>
      </c>
      <c r="P25" t="str">
        <f ca="1">IFERROR(__xludf.DUMMYFUNCTION("""COMPUTED_VALUE"""),"Yes")</f>
        <v>Yes</v>
      </c>
      <c r="Q25"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25" s="93" t="str">
        <f ca="1">IFERROR(__xludf.DUMMYFUNCTION("""COMPUTED_VALUE"""),"https://www.elsevier.com/reviewers/what-is-peer-review")</f>
        <v>https://www.elsevier.com/reviewers/what-is-peer-review</v>
      </c>
      <c r="S25" t="str">
        <f ca="1">IFERROR(__xludf.DUMMYFUNCTION("""COMPUTED_VALUE"""),"No")</f>
        <v>No</v>
      </c>
      <c r="T25" t="str">
        <f ca="1">IFERROR(__xludf.DUMMYFUNCTION("""COMPUTED_VALUE"""),"No")</f>
        <v>No</v>
      </c>
      <c r="U25" t="str">
        <f ca="1">IFERROR(__xludf.DUMMYFUNCTION("""COMPUTED_VALUE"""),"No")</f>
        <v>No</v>
      </c>
      <c r="V25" t="str">
        <f ca="1">IFERROR(__xludf.DUMMYFUNCTION("""COMPUTED_VALUE"""),"No")</f>
        <v>No</v>
      </c>
      <c r="W25" t="str">
        <f ca="1">IFERROR(__xludf.DUMMYFUNCTION("""COMPUTED_VALUE"""),"No")</f>
        <v>No</v>
      </c>
      <c r="X25" t="str">
        <f ca="1">IFERROR(__xludf.DUMMYFUNCTION("""COMPUTED_VALUE"""),"No")</f>
        <v>No</v>
      </c>
      <c r="Y25" t="str">
        <f ca="1">IFERROR(__xludf.DUMMYFUNCTION("""COMPUTED_VALUE"""),"No")</f>
        <v>No</v>
      </c>
      <c r="Z25" t="str">
        <f ca="1">IFERROR(__xludf.DUMMYFUNCTION("""COMPUTED_VALUE"""),"No")</f>
        <v>No</v>
      </c>
      <c r="AA25" t="str">
        <f ca="1">IFERROR(__xludf.DUMMYFUNCTION("""COMPUTED_VALUE"""),"")</f>
        <v/>
      </c>
      <c r="AB25"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25" s="93" t="str">
        <f ca="1">IFERROR(__xludf.DUMMYFUNCTION("""COMPUTED_VALUE"""),"https://www.elsevier.com/reviewers/how-to-review")</f>
        <v>https://www.elsevier.com/reviewers/how-to-review</v>
      </c>
      <c r="AD25" t="str">
        <f ca="1">IFERROR(__xludf.DUMMYFUNCTION("""COMPUTED_VALUE"""),"Unsure")</f>
        <v>Unsure</v>
      </c>
      <c r="AE25" t="str">
        <f ca="1">IFERROR(__xludf.DUMMYFUNCTION("""COMPUTED_VALUE"""),"Unsure")</f>
        <v>Unsure</v>
      </c>
      <c r="AF25" t="str">
        <f ca="1">IFERROR(__xludf.DUMMYFUNCTION("""COMPUTED_VALUE"""),"Unsure")</f>
        <v>Unsure</v>
      </c>
      <c r="AG25" t="str">
        <f ca="1">IFERROR(__xludf.DUMMYFUNCTION("""COMPUTED_VALUE"""),"https://www.elsevier.com/authors/journal-authors/policies-and-ethics
https://www.elsevier.com/about/policies/sharing#preprint
https://www.elsevier.com/journals/biomaterials/0142-9612?generatepdf=true")</f>
        <v>https://www.elsevier.com/authors/journal-authors/policies-and-ethics
https://www.elsevier.com/about/policies/sharing#preprint
https://www.elsevier.com/journals/biomaterials/0142-9612?generatepdf=true</v>
      </c>
      <c r="AH25" t="str">
        <f ca="1">IFERROR(__xludf.DUMMYFUNCTION("""COMPUTED_VALUE"""),"Any (arXiv &amp; RePEc)")</f>
        <v>Any (arXiv &amp; RePEc)</v>
      </c>
      <c r="AI25" t="str">
        <f ca="1">IFERROR(__xludf.DUMMYFUNCTION("""COMPUTED_VALUE"""),"Authors can share their preprint anywhere at any time.")</f>
        <v>Authors can share their preprint anywhere at any time.</v>
      </c>
      <c r="AJ25" t="str">
        <f ca="1">IFERROR(__xludf.DUMMYFUNCTION("""COMPUTED_VALUE"""),"Not specified")</f>
        <v>Not specified</v>
      </c>
      <c r="AK25" t="str">
        <f ca="1">IFERROR(__xludf.DUMMYFUNCTION("""COMPUTED_VALUE"""),"No")</f>
        <v>No</v>
      </c>
      <c r="AL25" t="str">
        <f ca="1">IFERROR(__xludf.DUMMYFUNCTION("""COMPUTED_VALUE"""),"")</f>
        <v/>
      </c>
      <c r="AM25" t="str">
        <f ca="1">IFERROR(__xludf.DUMMYFUNCTION("""COMPUTED_VALUE"""),"")</f>
        <v/>
      </c>
      <c r="AN25" t="str">
        <f ca="1">IFERROR(__xludf.DUMMYFUNCTION("""COMPUTED_VALUE"""),"")</f>
        <v/>
      </c>
      <c r="AO25" t="str">
        <f ca="1">IFERROR(__xludf.DUMMYFUNCTION("""COMPUTED_VALUE"""),"")</f>
        <v/>
      </c>
      <c r="AP25" t="str">
        <f ca="1">IFERROR(__xludf.DUMMYFUNCTION("""COMPUTED_VALUE"""),"")</f>
        <v/>
      </c>
      <c r="AQ25" t="str">
        <f ca="1">IFERROR(__xludf.DUMMYFUNCTION("""COMPUTED_VALUE"""),"")</f>
        <v/>
      </c>
      <c r="AR25" t="str">
        <f ca="1">IFERROR(__xludf.DUMMYFUNCTION("""COMPUTED_VALUE"""),"")</f>
        <v/>
      </c>
    </row>
    <row r="26" spans="1:44" ht="13">
      <c r="A26" t="str">
        <f ca="1">IFERROR(__xludf.DUMMYFUNCTION("""COMPUTED_VALUE"""),"SR")</f>
        <v>SR</v>
      </c>
      <c r="B26" s="41">
        <f ca="1">IFERROR(__xludf.DUMMYFUNCTION("""COMPUTED_VALUE"""),43437)</f>
        <v>43437</v>
      </c>
      <c r="C26" t="str">
        <f ca="1">IFERROR(__xludf.DUMMYFUNCTION("""COMPUTED_VALUE"""),"GMD")</f>
        <v>GMD</v>
      </c>
      <c r="D26" s="28">
        <f ca="1">IFERROR(__xludf.DUMMYFUNCTION("""COMPUTED_VALUE"""),43579)</f>
        <v>43579</v>
      </c>
      <c r="E26" t="str">
        <f ca="1">IFERROR(__xludf.DUMMYFUNCTION("""COMPUTED_VALUE"""),"JP")</f>
        <v>JP</v>
      </c>
      <c r="F26" s="28">
        <f ca="1">IFERROR(__xludf.DUMMYFUNCTION("""COMPUTED_VALUE"""),43583)</f>
        <v>43583</v>
      </c>
      <c r="G26" t="str">
        <f ca="1">IFERROR(__xludf.DUMMYFUNCTION("""COMPUTED_VALUE"""),"Corrected co-reviewer policy and added preprint policy info")</f>
        <v>Corrected co-reviewer policy and added preprint policy info</v>
      </c>
      <c r="H26" t="str">
        <f ca="1">IFERROR(__xludf.DUMMYFUNCTION("""COMPUTED_VALUE"""),"1528-0020")</f>
        <v>1528-0020</v>
      </c>
      <c r="I26" t="str">
        <f ca="1">IFERROR(__xludf.DUMMYFUNCTION("""COMPUTED_VALUE"""),"Blood")</f>
        <v>Blood</v>
      </c>
      <c r="J26" t="str">
        <f ca="1">IFERROR(__xludf.DUMMYFUNCTION("""COMPUTED_VALUE"""),"Health &amp; Medical Sciences")</f>
        <v>Health &amp; Medical Sciences</v>
      </c>
      <c r="K26" t="str">
        <f ca="1">IFERROR(__xludf.DUMMYFUNCTION("""COMPUTED_VALUE"""),"")</f>
        <v/>
      </c>
      <c r="L26" t="str">
        <f ca="1">IFERROR(__xludf.DUMMYFUNCTION("""COMPUTED_VALUE"""),"Single blind")</f>
        <v>Single blind</v>
      </c>
      <c r="M26" s="93" t="str">
        <f ca="1">IFERROR(__xludf.DUMMYFUNCTION("""COMPUTED_VALUE"""),"http://www.bloodjournal.org/page/authors/author-guide/peer-review        ")</f>
        <v xml:space="preserve">http://www.bloodjournal.org/page/authors/author-guide/peer-review        </v>
      </c>
      <c r="N26" t="str">
        <f ca="1">IFERROR(__xludf.DUMMYFUNCTION("""COMPUTED_VALUE"""),"")</f>
        <v/>
      </c>
      <c r="O26" s="93" t="str">
        <f ca="1">IFERROR(__xludf.DUMMYFUNCTION("""COMPUTED_VALUE"""),"http://www.bloodjournal.org/page/authors/author-guide/peer-review")</f>
        <v>http://www.bloodjournal.org/page/authors/author-guide/peer-review</v>
      </c>
      <c r="P26" t="str">
        <f ca="1">IFERROR(__xludf.DUMMYFUNCTION("""COMPUTED_VALUE"""),"No")</f>
        <v>No</v>
      </c>
      <c r="Q26" t="str">
        <f ca="1">IFERROR(__xludf.DUMMYFUNCTION("""COMPUTED_VALUE"""),"Not specified")</f>
        <v>Not specified</v>
      </c>
      <c r="R26" t="str">
        <f ca="1">IFERROR(__xludf.DUMMYFUNCTION("""COMPUTED_VALUE"""),"")</f>
        <v/>
      </c>
      <c r="S26" t="str">
        <f ca="1">IFERROR(__xludf.DUMMYFUNCTION("""COMPUTED_VALUE"""),"Not specified")</f>
        <v>Not specified</v>
      </c>
      <c r="T26" t="str">
        <f ca="1">IFERROR(__xludf.DUMMYFUNCTION("""COMPUTED_VALUE"""),"Not specified")</f>
        <v>Not specified</v>
      </c>
      <c r="U26" t="str">
        <f ca="1">IFERROR(__xludf.DUMMYFUNCTION("""COMPUTED_VALUE"""),"Not specified")</f>
        <v>Not specified</v>
      </c>
      <c r="V26" t="str">
        <f ca="1">IFERROR(__xludf.DUMMYFUNCTION("""COMPUTED_VALUE"""),"Not specified")</f>
        <v>Not specified</v>
      </c>
      <c r="W26" t="str">
        <f ca="1">IFERROR(__xludf.DUMMYFUNCTION("""COMPUTED_VALUE"""),"Not specified")</f>
        <v>Not specified</v>
      </c>
      <c r="X26" t="str">
        <f ca="1">IFERROR(__xludf.DUMMYFUNCTION("""COMPUTED_VALUE"""),"Not specified")</f>
        <v>Not specified</v>
      </c>
      <c r="Y26" t="str">
        <f ca="1">IFERROR(__xludf.DUMMYFUNCTION("""COMPUTED_VALUE"""),"Not specified")</f>
        <v>Not specified</v>
      </c>
      <c r="Z26" t="str">
        <f ca="1">IFERROR(__xludf.DUMMYFUNCTION("""COMPUTED_VALUE"""),"Not specified")</f>
        <v>Not specified</v>
      </c>
      <c r="AA26" t="str">
        <f ca="1">IFERROR(__xludf.DUMMYFUNCTION("""COMPUTED_VALUE"""),"")</f>
        <v/>
      </c>
      <c r="AB26" t="str">
        <f ca="1">IFERROR(__xludf.DUMMYFUNCTION("""COMPUTED_VALUE"""),"Please note that all information regarding a submitted paper should be kept confidential.")</f>
        <v>Please note that all information regarding a submitted paper should be kept confidential.</v>
      </c>
      <c r="AC26" s="93" t="str">
        <f ca="1">IFERROR(__xludf.DUMMYFUNCTION("""COMPUTED_VALUE"""),"http://www.bloodjournal.org/page/authors/author-guide/peer-review")</f>
        <v>http://www.bloodjournal.org/page/authors/author-guide/peer-review</v>
      </c>
      <c r="AD26" t="str">
        <f ca="1">IFERROR(__xludf.DUMMYFUNCTION("""COMPUTED_VALUE"""),"No")</f>
        <v>No</v>
      </c>
      <c r="AE26" t="str">
        <f ca="1">IFERROR(__xludf.DUMMYFUNCTION("""COMPUTED_VALUE"""),"Unsure")</f>
        <v>Unsure</v>
      </c>
      <c r="AF26" t="str">
        <f ca="1">IFERROR(__xludf.DUMMYFUNCTION("""COMPUTED_VALUE"""),"Unsure")</f>
        <v>Unsure</v>
      </c>
      <c r="AG26" s="93" t="str">
        <f ca="1">IFERROR(__xludf.DUMMYFUNCTION("""COMPUTED_VALUE"""),"http://www.bloodjournal.org/page/authors/author-guide/Editorial-policies-for-authors")</f>
        <v>http://www.bloodjournal.org/page/authors/author-guide/Editorial-policies-for-authors</v>
      </c>
      <c r="AH26" t="str">
        <f ca="1">IFERROR(__xludf.DUMMYFUNCTION("""COMPUTED_VALUE"""),"First submission only (before peer review)")</f>
        <v>First submission only (before peer review)</v>
      </c>
      <c r="AI26" t="str">
        <f ca="1">IFERROR(__xludf.DUMMYFUNCTION("""COMPUTED_VALUE"""),"Public release of the manuscript as a preprint before or during submission is allowed under these provisions:
Authors must retain copyright for the manuscript so that it may be transferred to the American Society of Hematology if the manuscript is accept"&amp;"ed, per the journal’s copyright policy.
The preprint cannot be updated while the manuscript is under review and cannot be updated if it is accepted for publication in Blood.
The publication of the manuscript as a preprint, as well as public comments or co"&amp;"verage about that preprint, will be considered in the evaluation of the manuscript's impact.
Publication of any related preprints must be noted in the cover letter for the submission and PDFs of those preprints must be included in the submission as supple"&amp;"mental files.
Because of the potential impact on patient care, preprints of a clinical nature are discouraged but will be considered.")</f>
        <v>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v>
      </c>
      <c r="AJ26" t="str">
        <f ca="1">IFERROR(__xludf.DUMMYFUNCTION("""COMPUTED_VALUE"""),"")</f>
        <v/>
      </c>
      <c r="AK26" t="str">
        <f ca="1">IFERROR(__xludf.DUMMYFUNCTION("""COMPUTED_VALUE"""),"Unsure")</f>
        <v>Unsure</v>
      </c>
      <c r="AL26" t="str">
        <f ca="1">IFERROR(__xludf.DUMMYFUNCTION("""COMPUTED_VALUE"""),"The publication of the manuscript as a preprint, as well as public comments or coverage about that preprint, will be considered in the evaluation of the manuscript's impact.")</f>
        <v>The publication of the manuscript as a preprint, as well as public comments or coverage about that preprint, will be considered in the evaluation of the manuscript's impact.</v>
      </c>
      <c r="AM26" t="str">
        <f ca="1">IFERROR(__xludf.DUMMYFUNCTION("""COMPUTED_VALUE"""),"")</f>
        <v/>
      </c>
      <c r="AN26" t="str">
        <f ca="1">IFERROR(__xludf.DUMMYFUNCTION("""COMPUTED_VALUE"""),"")</f>
        <v/>
      </c>
      <c r="AO26" t="str">
        <f ca="1">IFERROR(__xludf.DUMMYFUNCTION("""COMPUTED_VALUE"""),"The publication of the manuscript as a preprint, as well as public comments or coverage about that preprint, will be considered in the evaluation of the manuscript's impact.")</f>
        <v>The publication of the manuscript as a preprint, as well as public comments or coverage about that preprint, will be considered in the evaluation of the manuscript's impact.</v>
      </c>
      <c r="AP26" t="str">
        <f ca="1">IFERROR(__xludf.DUMMYFUNCTION("""COMPUTED_VALUE"""),"")</f>
        <v/>
      </c>
      <c r="AQ26" t="str">
        <f ca="1">IFERROR(__xludf.DUMMYFUNCTION("""COMPUTED_VALUE"""),"")</f>
        <v/>
      </c>
      <c r="AR26" t="str">
        <f ca="1">IFERROR(__xludf.DUMMYFUNCTION("""COMPUTED_VALUE"""),"")</f>
        <v/>
      </c>
    </row>
    <row r="27" spans="1:44" ht="13">
      <c r="A27" s="34" t="str">
        <f ca="1">IFERROR(__xludf.DUMMYFUNCTION("""COMPUTED_VALUE"""),"NP")</f>
        <v>NP</v>
      </c>
      <c r="B27" s="28">
        <f ca="1">IFERROR(__xludf.DUMMYFUNCTION("""COMPUTED_VALUE"""),43483)</f>
        <v>43483</v>
      </c>
      <c r="C27" t="str">
        <f ca="1">IFERROR(__xludf.DUMMYFUNCTION("""COMPUTED_VALUE"""),"TRH")</f>
        <v>TRH</v>
      </c>
      <c r="D27" s="28">
        <f ca="1">IFERROR(__xludf.DUMMYFUNCTION("""COMPUTED_VALUE"""),43575)</f>
        <v>43575</v>
      </c>
      <c r="E27" t="str">
        <f ca="1">IFERROR(__xludf.DUMMYFUNCTION("""COMPUTED_VALUE"""),"JP")</f>
        <v>JP</v>
      </c>
      <c r="F27" s="28">
        <f ca="1">IFERROR(__xludf.DUMMYFUNCTION("""COMPUTED_VALUE"""),43581)</f>
        <v>43581</v>
      </c>
      <c r="G27" t="str">
        <f ca="1">IFERROR(__xludf.DUMMYFUNCTION("""COMPUTED_VALUE"""),"")</f>
        <v/>
      </c>
      <c r="H27" t="str">
        <f ca="1">IFERROR(__xludf.DUMMYFUNCTION("""COMPUTED_VALUE"""),"1756-1833")</f>
        <v>1756-1833</v>
      </c>
      <c r="I27" t="str">
        <f ca="1">IFERROR(__xludf.DUMMYFUNCTION("""COMPUTED_VALUE"""),"BMJ")</f>
        <v>BMJ</v>
      </c>
      <c r="J27" t="str">
        <f ca="1">IFERROR(__xludf.DUMMYFUNCTION("""COMPUTED_VALUE"""),"Health &amp; Medical Sciences")</f>
        <v>Health &amp; Medical Sciences</v>
      </c>
      <c r="K27" t="str">
        <f ca="1">IFERROR(__xludf.DUMMYFUNCTION("""COMPUTED_VALUE"""),"British Medical Association")</f>
        <v>British Medical Association</v>
      </c>
      <c r="L27" t="str">
        <f ca="1">IFERROR(__xludf.DUMMYFUNCTION("""COMPUTED_VALUE"""),"Not blinded")</f>
        <v>Not blinded</v>
      </c>
      <c r="M27" s="93" t="str">
        <f ca="1">IFERROR(__xludf.DUMMYFUNCTION("""COMPUTED_VALUE"""),"https://www.bmj.com/about-bmj/resources-reviewers")</f>
        <v>https://www.bmj.com/about-bmj/resources-reviewers</v>
      </c>
      <c r="N27" t="str">
        <f ca="1">IFERROR(__xludf.DUMMYFUNCTION("""COMPUTED_VALUE"""),"")</f>
        <v/>
      </c>
      <c r="O27" s="93" t="str">
        <f ca="1">IFERROR(__xludf.DUMMYFUNCTION("""COMPUTED_VALUE"""),"https://authors.bmj.com/for-reviewers/reviewer-recognition/")</f>
        <v>https://authors.bmj.com/for-reviewers/reviewer-recognition/</v>
      </c>
      <c r="P27" t="str">
        <f ca="1">IFERROR(__xludf.DUMMYFUNCTION("""COMPUTED_VALUE"""),"Unsure")</f>
        <v>Unsure</v>
      </c>
      <c r="Q27" s="93" t="str">
        <f ca="1">IFERROR(__xludf.DUMMYFUNCTION("""COMPUTED_VALUE"""),"Internal transfer: “Authors are given the option of nominating other journals from BMJ to which they would like their manuscript passed if it is rejected for publication by their first choice. This may result in the paper being resubmitted to other journa"&amp;"ls from BMJ in succession. If the author of the manuscript you reviewed has taken up this option, your review will be passed on to the editor(s) of the nominated journal(s) along with the manuscript and you might be invited to review a revised version. If"&amp;" the article is selected for publication in another journal from BMJ, your review may also be published (depending on the editorial policy of the journal in question). You will be contacted for your permission before this happens.” — https://authors.bmj.c"&amp;"om/policies/peer-review-terms-and-conditions/ &amp; External transfer: “For rejected research papers, we expect that authors will keep the identity and comments of peer reviewers confidential. They may, however, share the peer review comments (though not peer"&amp;" reviewer names) in confidence with other journals. — https://www.bmj.com/about-bmj/publishing-model")</f>
        <v>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v>
      </c>
      <c r="R27" s="93" t="str">
        <f ca="1">IFERROR(__xludf.DUMMYFUNCTION("""COMPUTED_VALUE"""),"https://authors.bmj.com/policies/peer-review-terms-and-conditions/")</f>
        <v>https://authors.bmj.com/policies/peer-review-terms-and-conditions/</v>
      </c>
      <c r="S27" t="str">
        <f ca="1">IFERROR(__xludf.DUMMYFUNCTION("""COMPUTED_VALUE"""),"Conditional; Free to read (not paywalled)")</f>
        <v>Conditional; Free to read (not paywalled)</v>
      </c>
      <c r="T27" t="str">
        <f ca="1">IFERROR(__xludf.DUMMYFUNCTION("""COMPUTED_VALUE"""),"Conditional; Free to read (not paywalled)")</f>
        <v>Conditional; Free to read (not paywalled)</v>
      </c>
      <c r="U27" t="str">
        <f ca="1">IFERROR(__xludf.DUMMYFUNCTION("""COMPUTED_VALUE"""),"Conditional; Free to read (not paywalled)")</f>
        <v>Conditional; Free to read (not paywalled)</v>
      </c>
      <c r="V27" t="str">
        <f ca="1">IFERROR(__xludf.DUMMYFUNCTION("""COMPUTED_VALUE"""),"Conditional; Free to read (not paywalled)")</f>
        <v>Conditional; Free to read (not paywalled)</v>
      </c>
      <c r="W27" t="str">
        <f ca="1">IFERROR(__xludf.DUMMYFUNCTION("""COMPUTED_VALUE"""),"Conditional; Free to read (not paywalled)")</f>
        <v>Conditional; Free to read (not paywalled)</v>
      </c>
      <c r="X27" t="str">
        <f ca="1">IFERROR(__xludf.DUMMYFUNCTION("""COMPUTED_VALUE"""),"Mandatory")</f>
        <v>Mandatory</v>
      </c>
      <c r="Y27" t="str">
        <f ca="1">IFERROR(__xludf.DUMMYFUNCTION("""COMPUTED_VALUE"""),"No")</f>
        <v>No</v>
      </c>
      <c r="Z27" t="str">
        <f ca="1">IFERROR(__xludf.DUMMYFUNCTION("""COMPUTED_VALUE"""),"No")</f>
        <v>No</v>
      </c>
      <c r="AA27" s="93" t="str">
        <f ca="1">IFERROR(__xludf.DUMMYFUNCTION("""COMPUTED_VALUE"""),"Further peer review policies found at https://authors.bmj.com/policies/peer-review-terms-and-conditions/; “Reviewers for The BMJ agree to have their signed comments posted if a paper is published, but not otherwise.”, and stated on every publication pre-p"&amp;"ublication history page: “For research papers The BMJ has fully open peer review. This means that accepted research papers submitted from September 2014 onwards usually have their prepublication history posted alongside them on thebmj.com. This prepublica"&amp;"tion history comprises all previous versions of the manuscript, the study protocol (submitting the protocol is mandatory for all clinical trials and encouraged for all other studies at The BMJ), the report from the manuscript committee meeting, the review"&amp;"ers’ comments, and the authors’ responses to all the comments from reviewers and editors. In rare instances we determine after careful consideration that we should not make certain portions of the prepublication record publicly available. For example, in "&amp;"cases of stigmatised illnesses we seek to protect the confidentiality of reviewers who have these illnesses. In other instances there may be legal or regulatory considerations that make it inadvisable or impermissible to make available certain parts of th"&amp;"e prepublication record. In all instances in which we have determined that elements of the prepublication record should not be made publicly available, we expect that authors will respect these decisions and also will not share this information.”; Credit "&amp;"and transfer: Publons records policy as not able to post reviews but can share review activity (https://publons.com/journal/278/bmj); “With the exception of BMJ Open (see below) and BMJ Open Science, journals from BMJ do not publish peer reviews.” // Revi"&amp;"ews may be posted online elsewhere once the manuscript has been published; if not published, reviewers may say they have reviewed for the BMJ: “We do not restrict the use you make of your review once the manuscript has been published. However, an author’s"&amp;" manuscript remains confidential until it is published, and you must not disclose any information about an unpublished manuscript, including your review of it. Please note that if the article is NOT published you may refer to the journal which requested y"&amp;"our review and the fact that you have reviewed an article for it. However, you may not post any details of the article which was reviewed, or any part of the review that would breach the confidentiality under which the article was provided to you for revi"&amp;"ew.”")</f>
        <v>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v>
      </c>
      <c r="AB27" t="str">
        <f ca="1">IFERROR(__xludf.DUMMYFUNCTION("""COMPUTED_VALUE"""),"Unpublished manuscripts are confidential and you must not disclose their contents to anyone except a professional colleague whose input you request as part of your review process. If you do choose to discuss the manuscript and/or your review with a profes"&amp;"sional colleague you are responsible for ensuring that they are made fully aware of the confidential nature of the discussion and that they must not disclose any information about the manuscript until the article is published. The identity of any co-revie"&amp;"wer and any potential conflicting or competing interests they may have must be disclosed when submitting your review.")</f>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27" s="93" t="str">
        <f ca="1">IFERROR(__xludf.DUMMYFUNCTION("""COMPUTED_VALUE"""),"https://www.bmj.com/about-bmj/resources-reviewers")</f>
        <v>https://www.bmj.com/about-bmj/resources-reviewers</v>
      </c>
      <c r="AD27" t="str">
        <f ca="1">IFERROR(__xludf.DUMMYFUNCTION("""COMPUTED_VALUE"""),"Yes")</f>
        <v>Yes</v>
      </c>
      <c r="AE27" t="str">
        <f ca="1">IFERROR(__xludf.DUMMYFUNCTION("""COMPUTED_VALUE"""),"Unsure")</f>
        <v>Unsure</v>
      </c>
      <c r="AF27" t="str">
        <f ca="1">IFERROR(__xludf.DUMMYFUNCTION("""COMPUTED_VALUE"""),"Unsure")</f>
        <v>Unsure</v>
      </c>
      <c r="AG27" s="93" t="str">
        <f ca="1">IFERROR(__xludf.DUMMYFUNCTION("""COMPUTED_VALUE"""),"https://authors.bmj.com/policies/preprints/")</f>
        <v>https://authors.bmj.com/policies/preprints/</v>
      </c>
      <c r="AH27" t="str">
        <f ca="1">IFERROR(__xludf.DUMMYFUNCTION("""COMPUTED_VALUE"""),"Any")</f>
        <v>Any</v>
      </c>
      <c r="AI27" t="str">
        <f ca="1">IFERROR(__xludf.DUMMYFUNCTION("""COMPUTED_VALUE"""),"“BMJ fully supports and encourages the archiving of preprints in any recognised, not-for-profit, preprint server, such as arXiv, bioRxiv or medRxiv.”")</f>
        <v>“BMJ fully supports and encourages the archiving of preprints in any recognised, not-for-profit, preprint server, such as arXiv, bioRxiv or medRxiv.”</v>
      </c>
      <c r="AJ27" t="str">
        <f ca="1">IFERROR(__xludf.DUMMYFUNCTION("""COMPUTED_VALUE"""),"Not specified")</f>
        <v>Not specified</v>
      </c>
      <c r="AK27" t="str">
        <f ca="1">IFERROR(__xludf.DUMMYFUNCTION("""COMPUTED_VALUE"""),"Unsure")</f>
        <v>Unsure</v>
      </c>
      <c r="AL27" t="str">
        <f ca="1">IFERROR(__xludf.DUMMYFUNCTION("""COMPUTED_VALUE"""),"")</f>
        <v/>
      </c>
      <c r="AM27" t="str">
        <f ca="1">IFERROR(__xludf.DUMMYFUNCTION("""COMPUTED_VALUE"""),"BMJ places no restrictions on the licence chosen when posting a preprint version of work (eg authors may choose CC BY or CC BY NC), but authors must retain copyright of their work when posting to a preprint server.")</f>
        <v>BMJ places no restrictions on the licence chosen when posting a preprint version of work (eg authors may choose CC BY or CC BY NC), but authors must retain copyright of their work when posting to a preprint server.</v>
      </c>
      <c r="AN27" t="str">
        <f ca="1">IFERROR(__xludf.DUMMYFUNCTION("""COMPUTED_VALUE"""),"")</f>
        <v/>
      </c>
      <c r="AO27" t="str">
        <f ca="1">IFERROR(__xludf.DUMMYFUNCTION("""COMPUTED_VALUE"""),"")</f>
        <v/>
      </c>
      <c r="AP27" t="str">
        <f ca="1">IFERROR(__xludf.DUMMYFUNCTION("""COMPUTED_VALUE"""),"Regarding PR - this states it is an OPR journal, and OPR is defined as ""Reviewer and author are known to each other. These journals publish the reviewer comments and previous versions of the manuscript alongside the accepted paper."" here: https://author"&amp;"s.bmj.com/after-submitting/peer-review-process/")</f>
        <v>Regarding PR - this states it is an OPR journal, and OPR is defined as "Reviewer and author are known to each other. These journals publish the reviewer comments and previous versions of the manuscript alongside the accepted paper." here: https://authors.bmj.com/after-submitting/peer-review-process/</v>
      </c>
      <c r="AQ27" t="str">
        <f ca="1">IFERROR(__xludf.DUMMYFUNCTION("""COMPUTED_VALUE"""),"")</f>
        <v/>
      </c>
      <c r="AR27" t="str">
        <f ca="1">IFERROR(__xludf.DUMMYFUNCTION("""COMPUTED_VALUE"""),"")</f>
        <v/>
      </c>
    </row>
    <row r="28" spans="1:44" ht="13">
      <c r="A28" s="34" t="str">
        <f ca="1">IFERROR(__xludf.DUMMYFUNCTION("""COMPUTED_VALUE"""),"NP")</f>
        <v>NP</v>
      </c>
      <c r="B28" s="28">
        <f ca="1">IFERROR(__xludf.DUMMYFUNCTION("""COMPUTED_VALUE"""),43483)</f>
        <v>43483</v>
      </c>
      <c r="C28" t="str">
        <f ca="1">IFERROR(__xludf.DUMMYFUNCTION("""COMPUTED_VALUE"""),"TRH")</f>
        <v>TRH</v>
      </c>
      <c r="D28" s="28">
        <f ca="1">IFERROR(__xludf.DUMMYFUNCTION("""COMPUTED_VALUE"""),43575)</f>
        <v>43575</v>
      </c>
      <c r="E28" t="str">
        <f ca="1">IFERROR(__xludf.DUMMYFUNCTION("""COMPUTED_VALUE"""),"JP")</f>
        <v>JP</v>
      </c>
      <c r="F28" s="32">
        <f ca="1">IFERROR(__xludf.DUMMYFUNCTION("""COMPUTED_VALUE"""),43581)</f>
        <v>43581</v>
      </c>
      <c r="G28" t="str">
        <f ca="1">IFERROR(__xludf.DUMMYFUNCTION("""COMPUTED_VALUE"""),"")</f>
        <v/>
      </c>
      <c r="H28" t="str">
        <f ca="1">IFERROR(__xludf.DUMMYFUNCTION("""COMPUTED_VALUE"""),"1535-6108")</f>
        <v>1535-6108</v>
      </c>
      <c r="I28" t="str">
        <f ca="1">IFERROR(__xludf.DUMMYFUNCTION("""COMPUTED_VALUE"""),"Cancer Cell")</f>
        <v>Cancer Cell</v>
      </c>
      <c r="J28" t="str">
        <f ca="1">IFERROR(__xludf.DUMMYFUNCTION("""COMPUTED_VALUE"""),"")</f>
        <v/>
      </c>
      <c r="K28" t="str">
        <f ca="1">IFERROR(__xludf.DUMMYFUNCTION("""COMPUTED_VALUE"""),"CellPress (Elsevier)")</f>
        <v>CellPress (Elsevier)</v>
      </c>
      <c r="L28" t="str">
        <f ca="1">IFERROR(__xludf.DUMMYFUNCTION("""COMPUTED_VALUE"""),"Single blind")</f>
        <v>Single blind</v>
      </c>
      <c r="M28" s="93" t="str">
        <f ca="1">IFERROR(__xludf.DUMMYFUNCTION("""COMPUTED_VALUE"""),"https://www.cell.com/reviewers")</f>
        <v>https://www.cell.com/reviewers</v>
      </c>
      <c r="N28" t="str">
        <f ca="1">IFERROR(__xludf.DUMMYFUNCTION("""COMPUTED_VALUE"""),"")</f>
        <v/>
      </c>
      <c r="O28" t="str">
        <f ca="1">IFERROR(__xludf.DUMMYFUNCTION("""COMPUTED_VALUE"""),"")</f>
        <v/>
      </c>
      <c r="P28" t="str">
        <f ca="1">IFERROR(__xludf.DUMMYFUNCTION("""COMPUTED_VALUE"""),"Unsure")</f>
        <v>Unsure</v>
      </c>
      <c r="Q28" t="str">
        <f ca="1">IFERROR(__xludf.DUMMYFUNCTION("""COMPUTED_VALUE"""),"Relationship between Cell Press Journals
Cosubmission
If you think your paper might be suitable for two Cell Press journals, you can submit the paper for joint consideration. To do this, upload your manuscript to one of the journals. In your cover letter,"&amp;" indicate that you are seeking co-consideration and mention the name of the other journal. Each journal will evaluate the paper independently. If both journals decide to review the paper, they will agree on reviewers and will make independent decisions ba"&amp;"sed on feedback from those reviewers.
Transfer of Papers between Cell Press Journals
We know it can be time consuming to serially submit your paper to multiple journals, restarting the review process each time. Cell Press publishes many journals, and we "&amp;"give you the opportunity to transfer your paper, along with the reviews and the reviewers' identities, from one journal to another. If you have questions about the suitability of your paper for transfer, please contact the editor of the receiving journal."&amp;" If you have general questions about the transfer process, please refer to our FAQs on article transfers. Often, the Editor of the target journal will be able to reach a decision based on the existing reviews. Occasionally, the Editor may seek comments fr"&amp;"om additional reviewers. If you transfer your paper using our online system, you will have a chance to edit your files before they are sent to the receiving journal. You can always submit your paper to another Cell Press journal without mentioning the fir"&amp;"st review process. In this case, the manuscript will be evaluated as a regular new submission.")</f>
        <v>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28" s="93" t="str">
        <f ca="1">IFERROR(__xludf.DUMMYFUNCTION("""COMPUTED_VALUE"""),"https://www.cell.com/cancer-cell/articletransfer")</f>
        <v>https://www.cell.com/cancer-cell/articletransfer</v>
      </c>
      <c r="S28" t="str">
        <f ca="1">IFERROR(__xludf.DUMMYFUNCTION("""COMPUTED_VALUE"""),"Not specified")</f>
        <v>Not specified</v>
      </c>
      <c r="T28" t="str">
        <f ca="1">IFERROR(__xludf.DUMMYFUNCTION("""COMPUTED_VALUE"""),"Not specified")</f>
        <v>Not specified</v>
      </c>
      <c r="U28" t="str">
        <f ca="1">IFERROR(__xludf.DUMMYFUNCTION("""COMPUTED_VALUE"""),"Not specified")</f>
        <v>Not specified</v>
      </c>
      <c r="V28" t="str">
        <f ca="1">IFERROR(__xludf.DUMMYFUNCTION("""COMPUTED_VALUE"""),"Not specified")</f>
        <v>Not specified</v>
      </c>
      <c r="W28" t="str">
        <f ca="1">IFERROR(__xludf.DUMMYFUNCTION("""COMPUTED_VALUE"""),"No")</f>
        <v>No</v>
      </c>
      <c r="X28" t="str">
        <f ca="1">IFERROR(__xludf.DUMMYFUNCTION("""COMPUTED_VALUE"""),"No")</f>
        <v>No</v>
      </c>
      <c r="Y28" t="str">
        <f ca="1">IFERROR(__xludf.DUMMYFUNCTION("""COMPUTED_VALUE"""),"Not specified")</f>
        <v>Not specified</v>
      </c>
      <c r="Z28" t="str">
        <f ca="1">IFERROR(__xludf.DUMMYFUNCTION("""COMPUTED_VALUE"""),"Not specified")</f>
        <v>Not specified</v>
      </c>
      <c r="AA28" s="93" t="str">
        <f ca="1">IFERROR(__xludf.DUMMYFUNCTION("""COMPUTED_VALUE"""),"Peer review activity but not full reviews may be posted to Publons according to entry at Publons — https://publons.com/journal/573/cancer-cell")</f>
        <v>Peer review activity but not full reviews may be posted to Publons according to entry at Publons — https://publons.com/journal/573/cancer-cell</v>
      </c>
      <c r="AB28" t="str">
        <f ca="1">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28" s="93" t="str">
        <f ca="1">IFERROR(__xludf.DUMMYFUNCTION("""COMPUTED_VALUE"""),"https://www.cell.com/reviewers")</f>
        <v>https://www.cell.com/reviewers</v>
      </c>
      <c r="AD28" t="str">
        <f ca="1">IFERROR(__xludf.DUMMYFUNCTION("""COMPUTED_VALUE"""),"Yes")</f>
        <v>Yes</v>
      </c>
      <c r="AE28" t="str">
        <f ca="1">IFERROR(__xludf.DUMMYFUNCTION("""COMPUTED_VALUE"""),"Unsure")</f>
        <v>Unsure</v>
      </c>
      <c r="AF28" t="str">
        <f ca="1">IFERROR(__xludf.DUMMYFUNCTION("""COMPUTED_VALUE"""),"Unsure")</f>
        <v>Unsure</v>
      </c>
      <c r="AG28" s="93" t="str">
        <f ca="1">IFERROR(__xludf.DUMMYFUNCTION("""COMPUTED_VALUE"""),"https://www.cell.com/cancer-cell/authors")</f>
        <v>https://www.cell.com/cancer-cell/authors</v>
      </c>
      <c r="AH28" t="str">
        <f ca="1">IFERROR(__xludf.DUMMYFUNCTION("""COMPUTED_VALUE"""),"First submission only (before peer review)")</f>
        <v>First submission only (before peer review)</v>
      </c>
      <c r="AI28" s="93" t="str">
        <f ca="1">IFERROR(__xludf.DUMMYFUNCTION("""COMPUTED_VALUE"""),"“We will consider papers previously posted on preprint servers like arXiv, bioRxiv, BioRN, ChemRxiv, or ChemRN.""")</f>
        <v>“We will consider papers previously posted on preprint servers like arXiv, bioRxiv, BioRN, ChemRxiv, or ChemRN."</v>
      </c>
      <c r="AJ28" t="str">
        <f ca="1">IFERROR(__xludf.DUMMYFUNCTION("""COMPUTED_VALUE"""),"Not specified")</f>
        <v>Not specified</v>
      </c>
      <c r="AK28" t="str">
        <f ca="1">IFERROR(__xludf.DUMMYFUNCTION("""COMPUTED_VALUE"""),"Unsure")</f>
        <v>Unsure</v>
      </c>
      <c r="AL28" s="93" t="str">
        <f ca="1">IFERROR(__xludf.DUMMYFUNCTION("""COMPUTED_VALUE"""),"""we ask that you refrain from talking to the media until one week prior to the online publication date of the paper… we ask that you not discuss the findings with the media beyond the formal presentation. This policy covers work that is intended for subm"&amp;"ission, currently under consideration, or in press at a Cell Press journal… Additionally, before your paper is published, please do not discuss it or cite it as in press in review articles.“ https://www.cell.com/cancer-cell/authors#prepub")</f>
        <v>"we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v>
      </c>
      <c r="AM28" t="str">
        <f ca="1">IFERROR(__xludf.DUMMYFUNCTION("""COMPUTED_VALUE"""),"")</f>
        <v/>
      </c>
      <c r="AN28" t="str">
        <f ca="1">IFERROR(__xludf.DUMMYFUNCTION("""COMPUTED_VALUE"""),"")</f>
        <v/>
      </c>
      <c r="AO28" t="str">
        <f ca="1">IFERROR(__xludf.DUMMYFUNCTION("""COMPUTED_VALUE"""),"")</f>
        <v/>
      </c>
      <c r="AP28" t="str">
        <f ca="1">IFERROR(__xludf.DUMMYFUNCTION("""COMPUTED_VALUE"""),"OPR options are listed as ""not specified"" as no information is given, but the answer is known to be No")</f>
        <v>OPR options are listed as "not specified" as no information is given, but the answer is known to be No</v>
      </c>
      <c r="AQ28" t="str">
        <f ca="1">IFERROR(__xludf.DUMMYFUNCTION("""COMPUTED_VALUE"""),"")</f>
        <v/>
      </c>
      <c r="AR28" t="str">
        <f ca="1">IFERROR(__xludf.DUMMYFUNCTION("""COMPUTED_VALUE"""),"")</f>
        <v/>
      </c>
    </row>
    <row r="29" spans="1:44" ht="13">
      <c r="A29" s="34" t="str">
        <f ca="1">IFERROR(__xludf.DUMMYFUNCTION("""COMPUTED_VALUE"""),"NP")</f>
        <v>NP</v>
      </c>
      <c r="B29" s="28">
        <f ca="1">IFERROR(__xludf.DUMMYFUNCTION("""COMPUTED_VALUE"""),43483)</f>
        <v>43483</v>
      </c>
      <c r="C29" t="str">
        <f ca="1">IFERROR(__xludf.DUMMYFUNCTION("""COMPUTED_VALUE"""),"TRH")</f>
        <v>TRH</v>
      </c>
      <c r="D29" s="28">
        <f ca="1">IFERROR(__xludf.DUMMYFUNCTION("""COMPUTED_VALUE"""),43575)</f>
        <v>43575</v>
      </c>
      <c r="E29" t="str">
        <f ca="1">IFERROR(__xludf.DUMMYFUNCTION("""COMPUTED_VALUE"""),"JP")</f>
        <v>JP</v>
      </c>
      <c r="F29" s="28">
        <f ca="1">IFERROR(__xludf.DUMMYFUNCTION("""COMPUTED_VALUE"""),43581)</f>
        <v>43581</v>
      </c>
      <c r="G29" t="str">
        <f ca="1">IFERROR(__xludf.DUMMYFUNCTION("""COMPUTED_VALUE"""),"")</f>
        <v/>
      </c>
      <c r="H29" t="str">
        <f ca="1">IFERROR(__xludf.DUMMYFUNCTION("""COMPUTED_VALUE"""),"0099-7013")</f>
        <v>0099-7013</v>
      </c>
      <c r="I29" t="str">
        <f ca="1">IFERROR(__xludf.DUMMYFUNCTION("""COMPUTED_VALUE"""),"Cancer Research")</f>
        <v>Cancer Research</v>
      </c>
      <c r="J29" t="str">
        <f ca="1">IFERROR(__xludf.DUMMYFUNCTION("""COMPUTED_VALUE"""),"")</f>
        <v/>
      </c>
      <c r="K29" t="str">
        <f ca="1">IFERROR(__xludf.DUMMYFUNCTION("""COMPUTED_VALUE"""),"American Association for Cancer Research (AACR)")</f>
        <v>American Association for Cancer Research (AACR)</v>
      </c>
      <c r="L29" t="str">
        <f ca="1">IFERROR(__xludf.DUMMYFUNCTION("""COMPUTED_VALUE"""),"Unsure")</f>
        <v>Unsure</v>
      </c>
      <c r="M29" s="93" t="str">
        <f ca="1">IFERROR(__xludf.DUMMYFUNCTION("""COMPUTED_VALUE"""),"http://aacrjournals.org/content/authors/editorial-process#peerrev")</f>
        <v>http://aacrjournals.org/content/authors/editorial-process#peerrev</v>
      </c>
      <c r="N29" t="str">
        <f ca="1">IFERROR(__xludf.DUMMYFUNCTION("""COMPUTED_VALUE"""),"Not found")</f>
        <v>Not found</v>
      </c>
      <c r="O29" s="93" t="str">
        <f ca="1">IFERROR(__xludf.DUMMYFUNCTION("""COMPUTED_VALUE"""),"http://aacrjournals.org/site/Info/Reviewers.xhtml")</f>
        <v>http://aacrjournals.org/site/Info/Reviewers.xhtml</v>
      </c>
      <c r="P29" t="str">
        <f ca="1">IFERROR(__xludf.DUMMYFUNCTION("""COMPUTED_VALUE"""),"Unsure")</f>
        <v>Unsure</v>
      </c>
      <c r="Q29" t="str">
        <f ca="1">IFERROR(__xludf.DUMMYFUNCTION("""COMPUTED_VALUE"""),"Internal: “For authors of Research Articles that have been declined for publication at an AACR journal, the AACR offers the corresponding author the option to easily transfer his or her manuscript files and supporting information, such as peer review comm"&amp;"ents and reviewer identities, to a second AACR journal of his or her choice for consideration.”")</f>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R29" s="93" t="str">
        <f ca="1">IFERROR(__xludf.DUMMYFUNCTION("""COMPUTED_VALUE"""),"http://aacrjournals.org/content/authors/manuscript-transfer")</f>
        <v>http://aacrjournals.org/content/authors/manuscript-transfer</v>
      </c>
      <c r="S29" t="str">
        <f ca="1">IFERROR(__xludf.DUMMYFUNCTION("""COMPUTED_VALUE"""),"Not specified")</f>
        <v>Not specified</v>
      </c>
      <c r="T29" t="str">
        <f ca="1">IFERROR(__xludf.DUMMYFUNCTION("""COMPUTED_VALUE"""),"Not specified")</f>
        <v>Not specified</v>
      </c>
      <c r="U29" t="str">
        <f ca="1">IFERROR(__xludf.DUMMYFUNCTION("""COMPUTED_VALUE"""),"Not specified")</f>
        <v>Not specified</v>
      </c>
      <c r="V29" t="str">
        <f ca="1">IFERROR(__xludf.DUMMYFUNCTION("""COMPUTED_VALUE"""),"Not specified")</f>
        <v>Not specified</v>
      </c>
      <c r="W29" t="str">
        <f ca="1">IFERROR(__xludf.DUMMYFUNCTION("""COMPUTED_VALUE"""),"Not specified")</f>
        <v>Not specified</v>
      </c>
      <c r="X29" t="str">
        <f ca="1">IFERROR(__xludf.DUMMYFUNCTION("""COMPUTED_VALUE"""),"Not specified")</f>
        <v>Not specified</v>
      </c>
      <c r="Y29" t="str">
        <f ca="1">IFERROR(__xludf.DUMMYFUNCTION("""COMPUTED_VALUE"""),"Not specified")</f>
        <v>Not specified</v>
      </c>
      <c r="Z29" t="str">
        <f ca="1">IFERROR(__xludf.DUMMYFUNCTION("""COMPUTED_VALUE"""),"Not specified")</f>
        <v>Not specified</v>
      </c>
      <c r="AA29" t="str">
        <f ca="1">IFERROR(__xludf.DUMMYFUNCTION("""COMPUTED_VALUE"""),"")</f>
        <v/>
      </c>
      <c r="AB29" t="str">
        <f ca="1">IFERROR(__xludf.DUMMYFUNCTION("""COMPUTED_VALUE"""),"Not found")</f>
        <v>Not found</v>
      </c>
      <c r="AC29" t="str">
        <f ca="1">IFERROR(__xludf.DUMMYFUNCTION("""COMPUTED_VALUE"""),"Not found")</f>
        <v>Not found</v>
      </c>
      <c r="AD29" t="str">
        <f ca="1">IFERROR(__xludf.DUMMYFUNCTION("""COMPUTED_VALUE"""),"Unsure")</f>
        <v>Unsure</v>
      </c>
      <c r="AE29" t="str">
        <f ca="1">IFERROR(__xludf.DUMMYFUNCTION("""COMPUTED_VALUE"""),"Unsure")</f>
        <v>Unsure</v>
      </c>
      <c r="AF29" t="str">
        <f ca="1">IFERROR(__xludf.DUMMYFUNCTION("""COMPUTED_VALUE"""),"Unsure")</f>
        <v>Unsure</v>
      </c>
      <c r="AG29" s="93" t="str">
        <f ca="1">IFERROR(__xludf.DUMMYFUNCTION("""COMPUTED_VALUE"""),"http://aacrjournals.org/content/authors/editorial-policies")</f>
        <v>http://aacrjournals.org/content/authors/editorial-policies</v>
      </c>
      <c r="AH29" t="str">
        <f ca="1">IFERROR(__xludf.DUMMYFUNCTION("""COMPUTED_VALUE"""),"First submission only (before peer review)")</f>
        <v>First submission only (before peer review)</v>
      </c>
      <c r="AI29" t="str">
        <f ca="1">IFERROR(__xludf.DUMMYFUNCTION("""COMPUTED_VALUE"""),"“Posting of manuscripts on institutional websites or on recognized community preprint servers, such as bioRxiv, is permitted under our publication policy.”")</f>
        <v>“Posting of manuscripts on institutional websites or on recognized community preprint servers, such as bioRxiv, is permitted under our publication policy.”</v>
      </c>
      <c r="AJ29" t="str">
        <f ca="1">IFERROR(__xludf.DUMMYFUNCTION("""COMPUTED_VALUE"""),"Not specified")</f>
        <v>Not specified</v>
      </c>
      <c r="AK29" t="str">
        <f ca="1">IFERROR(__xludf.DUMMYFUNCTION("""COMPUTED_VALUE"""),"Unsure")</f>
        <v>Unsure</v>
      </c>
      <c r="AL29" t="str">
        <f ca="1">IFERROR(__xludf.DUMMYFUNCTION("""COMPUTED_VALUE"""),"Not specified for preprints, but general media policy: ""press coverage and presentation at scientific conferences can sometimes affect consideration of submissions. For example, reporting the main findings of a manuscript in the mass media can compromise"&amp;" the novelty of the work and thus its appropriateness for publication by the AACR. Therefore, authors should feel free to present their data at scientific meetings but should not intentionally seek media attention or give copies of the figures or data fro"&amp;"m their manuscript to any reporter. If a reporter attends an author's session at a meeting and writes a story based only on the presentation, such coverage will not affect consideration of the author's manuscript.”")</f>
        <v>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v>
      </c>
      <c r="AM29" t="str">
        <f ca="1">IFERROR(__xludf.DUMMYFUNCTION("""COMPUTED_VALUE"""),"Not specified")</f>
        <v>Not specified</v>
      </c>
      <c r="AN29" t="str">
        <f ca="1">IFERROR(__xludf.DUMMYFUNCTION("""COMPUTED_VALUE"""),"Not specified")</f>
        <v>Not specified</v>
      </c>
      <c r="AO29" t="str">
        <f ca="1">IFERROR(__xludf.DUMMYFUNCTION("""COMPUTED_VALUE"""),"Not specified")</f>
        <v>Not specified</v>
      </c>
      <c r="AP29" t="str">
        <f ca="1">IFERROR(__xludf.DUMMYFUNCTION("""COMPUTED_VALUE"""),"")</f>
        <v/>
      </c>
      <c r="AQ29" t="str">
        <f ca="1">IFERROR(__xludf.DUMMYFUNCTION("""COMPUTED_VALUE"""),"")</f>
        <v/>
      </c>
      <c r="AR29" t="str">
        <f ca="1">IFERROR(__xludf.DUMMYFUNCTION("""COMPUTED_VALUE"""),"")</f>
        <v/>
      </c>
    </row>
    <row r="30" spans="1:44" ht="13">
      <c r="A30" s="34" t="str">
        <f ca="1">IFERROR(__xludf.DUMMYFUNCTION("""COMPUTED_VALUE"""),"NP")</f>
        <v>NP</v>
      </c>
      <c r="B30" s="28">
        <f ca="1">IFERROR(__xludf.DUMMYFUNCTION("""COMPUTED_VALUE"""),43483)</f>
        <v>43483</v>
      </c>
      <c r="C30" t="str">
        <f ca="1">IFERROR(__xludf.DUMMYFUNCTION("""COMPUTED_VALUE"""),"TRH")</f>
        <v>TRH</v>
      </c>
      <c r="D30" s="28">
        <f ca="1">IFERROR(__xludf.DUMMYFUNCTION("""COMPUTED_VALUE"""),43575)</f>
        <v>43575</v>
      </c>
      <c r="E30" t="str">
        <f ca="1">IFERROR(__xludf.DUMMYFUNCTION("""COMPUTED_VALUE"""),"JP")</f>
        <v>JP</v>
      </c>
      <c r="F30" s="28">
        <f ca="1">IFERROR(__xludf.DUMMYFUNCTION("""COMPUTED_VALUE"""),43581)</f>
        <v>43581</v>
      </c>
      <c r="G30" t="str">
        <f ca="1">IFERROR(__xludf.DUMMYFUNCTION("""COMPUTED_VALUE"""),"Review identity to author to optional, whole quote for coreviewers, who are asked to be identified in comments to editor (so assuming there is no dedicated form), added additional text to preprint media policies")</f>
        <v>Review identity to author to optional, whole quote for coreviewers, who are asked to be identified in comments to editor (so assuming there is no dedicated form), added additional text to preprint media policies</v>
      </c>
      <c r="H30" t="str">
        <f ca="1">IFERROR(__xludf.DUMMYFUNCTION("""COMPUTED_VALUE"""),"1097-4172")</f>
        <v>1097-4172</v>
      </c>
      <c r="I30" t="str">
        <f ca="1">IFERROR(__xludf.DUMMYFUNCTION("""COMPUTED_VALUE"""),"Cell")</f>
        <v>Cell</v>
      </c>
      <c r="J30" t="str">
        <f ca="1">IFERROR(__xludf.DUMMYFUNCTION("""COMPUTED_VALUE"""),"Health &amp; Medical Sciences, Life Sciences &amp; Earth Sciences")</f>
        <v>Health &amp; Medical Sciences, Life Sciences &amp; Earth Sciences</v>
      </c>
      <c r="K30" t="str">
        <f ca="1">IFERROR(__xludf.DUMMYFUNCTION("""COMPUTED_VALUE"""),"CellPress (Elsevier)")</f>
        <v>CellPress (Elsevier)</v>
      </c>
      <c r="L30" t="str">
        <f ca="1">IFERROR(__xludf.DUMMYFUNCTION("""COMPUTED_VALUE"""),"Single blind")</f>
        <v>Single blind</v>
      </c>
      <c r="M30" s="93" t="str">
        <f ca="1">IFERROR(__xludf.DUMMYFUNCTION("""COMPUTED_VALUE"""),"https://www.cell.com/reviewers")</f>
        <v>https://www.cell.com/reviewers</v>
      </c>
      <c r="N30" t="str">
        <f ca="1">IFERROR(__xludf.DUMMYFUNCTION("""COMPUTED_VALUE"""),"Not found")</f>
        <v>Not found</v>
      </c>
      <c r="O30" t="str">
        <f ca="1">IFERROR(__xludf.DUMMYFUNCTION("""COMPUTED_VALUE"""),"Not found")</f>
        <v>Not found</v>
      </c>
      <c r="P30" t="str">
        <f ca="1">IFERROR(__xludf.DUMMYFUNCTION("""COMPUTED_VALUE"""),"Unsure")</f>
        <v>Unsure</v>
      </c>
      <c r="Q30" t="str">
        <f ca="1">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0" s="93" t="str">
        <f ca="1">IFERROR(__xludf.DUMMYFUNCTION("""COMPUTED_VALUE"""),"https://www.cell.com/cell/articletransfer")</f>
        <v>https://www.cell.com/cell/articletransfer</v>
      </c>
      <c r="S30" t="str">
        <f ca="1">IFERROR(__xludf.DUMMYFUNCTION("""COMPUTED_VALUE"""),"Not specified")</f>
        <v>Not specified</v>
      </c>
      <c r="T30" t="str">
        <f ca="1">IFERROR(__xludf.DUMMYFUNCTION("""COMPUTED_VALUE"""),"Not specified")</f>
        <v>Not specified</v>
      </c>
      <c r="U30" t="str">
        <f ca="1">IFERROR(__xludf.DUMMYFUNCTION("""COMPUTED_VALUE"""),"Not specified")</f>
        <v>Not specified</v>
      </c>
      <c r="V30" t="str">
        <f ca="1">IFERROR(__xludf.DUMMYFUNCTION("""COMPUTED_VALUE"""),"Not specified")</f>
        <v>Not specified</v>
      </c>
      <c r="W30" t="str">
        <f ca="1">IFERROR(__xludf.DUMMYFUNCTION("""COMPUTED_VALUE"""),"No")</f>
        <v>No</v>
      </c>
      <c r="X30" t="str">
        <f ca="1">IFERROR(__xludf.DUMMYFUNCTION("""COMPUTED_VALUE"""),"Optional")</f>
        <v>Optional</v>
      </c>
      <c r="Y30" t="str">
        <f ca="1">IFERROR(__xludf.DUMMYFUNCTION("""COMPUTED_VALUE"""),"Not specified")</f>
        <v>Not specified</v>
      </c>
      <c r="Z30" t="str">
        <f ca="1">IFERROR(__xludf.DUMMYFUNCTION("""COMPUTED_VALUE"""),"Not specified")</f>
        <v>Not specified</v>
      </c>
      <c r="AA30" t="str">
        <f ca="1">IFERROR(__xludf.DUMMYFUNCTION("""COMPUTED_VALUE"""),"Peer review activity but not full reviews may be posted to Publons according to entry at Publons — https://publons.com/journal/270/cell
""Cell Press will not disclose any reviewer’s identity except at the specific reviewer’s request."" - https://www.cell."&amp;"com/reviewers")</f>
        <v>Peer review activity but not full reviews may be posted to Publons according to entry at Publons — https://publons.com/journal/270/cell
"Cell Press will not disclose any reviewer’s identity except at the specific reviewer’s request." - https://www.cell.com/reviewers</v>
      </c>
      <c r="AB30" t="str">
        <f ca="1">IFERROR(__xludf.DUMMYFUNCTION("""COMPUTED_VALUE"""),""" In some instances, reviewers may feel that it would be helpful to obtain additional advice from a colleague. In such cases, we ask that the reviewer contact the editor in advance to ensure that the editor has the opportunity to take additional informat"&amp;"ion into account before permitting communications that have the potential to violate confidentiality. It is not appropriate to discuss unpublished manuscripts at laboratory meetings or journal clubs. Reviewers can collaborate with trainees (graduate stude"&amp;"nts and post-docs) in the evaluation of manuscripts, and we appreciate that such collaboration functions as an important training exercise. However, we ask that reviewers keep the number of collaborators to a minimum and include the identities of all the "&amp;"individuals involved in the “comments to the editors” component of their review. Regardless, the person originally invited to review the manuscript is ultimately responsible for maintaining confidentiality and for the content and accuracy of the report. W"&amp;"e encourage referees to inform collaborating reviewers about appropriate guidelines and ethics for peer review, as outlined in this document.""")</f>
        <v>"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C30" s="93" t="str">
        <f ca="1">IFERROR(__xludf.DUMMYFUNCTION("""COMPUTED_VALUE"""),"https://www.cell.com/reviewers")</f>
        <v>https://www.cell.com/reviewers</v>
      </c>
      <c r="AD30" t="str">
        <f ca="1">IFERROR(__xludf.DUMMYFUNCTION("""COMPUTED_VALUE"""),"Yes")</f>
        <v>Yes</v>
      </c>
      <c r="AE30" t="str">
        <f ca="1">IFERROR(__xludf.DUMMYFUNCTION("""COMPUTED_VALUE"""),"No")</f>
        <v>No</v>
      </c>
      <c r="AF30" t="str">
        <f ca="1">IFERROR(__xludf.DUMMYFUNCTION("""COMPUTED_VALUE"""),"Unsure")</f>
        <v>Unsure</v>
      </c>
      <c r="AG30" s="93" t="str">
        <f ca="1">IFERROR(__xludf.DUMMYFUNCTION("""COMPUTED_VALUE"""),"https://www.cell.com/cell/authors")</f>
        <v>https://www.cell.com/cell/authors</v>
      </c>
      <c r="AH30" t="str">
        <f ca="1">IFERROR(__xludf.DUMMYFUNCTION("""COMPUTED_VALUE"""),"First submission only (before peer review)")</f>
        <v>First submission only (before peer review)</v>
      </c>
      <c r="AI30" s="93" t="str">
        <f ca="1">IFERROR(__xludf.DUMMYFUNCTION("""COMPUTED_VALUE"""),"“We will consider papers previously posted on preprint servers like arXiv, bioRxiv, BioRN, ChemRxiv, or ChemRN.""")</f>
        <v>“We will consider papers previously posted on preprint servers like arXiv, bioRxiv, BioRN, ChemRxiv, or ChemRN."</v>
      </c>
      <c r="AJ30" t="str">
        <f ca="1">IFERROR(__xludf.DUMMYFUNCTION("""COMPUTED_VALUE"""),"Not specified")</f>
        <v>Not specified</v>
      </c>
      <c r="AK30" t="str">
        <f ca="1">IFERROR(__xludf.DUMMYFUNCTION("""COMPUTED_VALUE"""),"Unsure")</f>
        <v>Unsure</v>
      </c>
      <c r="AL30" t="str">
        <f ca="1">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https://www.cell.co"&amp;"m/cell/authors
""Also, our prepublication publicity policies with regard to coverage in the broader media still apply to studies posted on preprint servers."" — https://www.cell.com/cell/authors")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v>
      </c>
      <c r="AM30" t="str">
        <f ca="1">IFERROR(__xludf.DUMMYFUNCTION("""COMPUTED_VALUE"""),"Not specified")</f>
        <v>Not specified</v>
      </c>
      <c r="AN30" t="str">
        <f ca="1">IFERROR(__xludf.DUMMYFUNCTION("""COMPUTED_VALUE"""),"Not specified")</f>
        <v>Not specified</v>
      </c>
      <c r="AO30" t="str">
        <f ca="1">IFERROR(__xludf.DUMMYFUNCTION("""COMPUTED_VALUE"""),"Not specified")</f>
        <v>Not specified</v>
      </c>
      <c r="AP30" t="str">
        <f ca="1">IFERROR(__xludf.DUMMYFUNCTION("""COMPUTED_VALUE"""),"")</f>
        <v/>
      </c>
      <c r="AQ30" t="str">
        <f ca="1">IFERROR(__xludf.DUMMYFUNCTION("""COMPUTED_VALUE"""),"")</f>
        <v/>
      </c>
      <c r="AR30" t="str">
        <f ca="1">IFERROR(__xludf.DUMMYFUNCTION("""COMPUTED_VALUE"""),"")</f>
        <v/>
      </c>
    </row>
    <row r="31" spans="1:44" ht="13">
      <c r="A31" s="34" t="str">
        <f ca="1">IFERROR(__xludf.DUMMYFUNCTION("""COMPUTED_VALUE"""),"NP")</f>
        <v>NP</v>
      </c>
      <c r="B31" s="28">
        <f ca="1">IFERROR(__xludf.DUMMYFUNCTION("""COMPUTED_VALUE"""),43483)</f>
        <v>43483</v>
      </c>
      <c r="C31" t="str">
        <f ca="1">IFERROR(__xludf.DUMMYFUNCTION("""COMPUTED_VALUE"""),"TRH")</f>
        <v>TRH</v>
      </c>
      <c r="D31" s="28">
        <f ca="1">IFERROR(__xludf.DUMMYFUNCTION("""COMPUTED_VALUE"""),43576)</f>
        <v>43576</v>
      </c>
      <c r="E31" t="str">
        <f ca="1">IFERROR(__xludf.DUMMYFUNCTION("""COMPUTED_VALUE"""),"JP")</f>
        <v>JP</v>
      </c>
      <c r="F31" s="28">
        <f ca="1">IFERROR(__xludf.DUMMYFUNCTION("""COMPUTED_VALUE"""),43581)</f>
        <v>43581</v>
      </c>
      <c r="G31" t="str">
        <f ca="1">IFERROR(__xludf.DUMMYFUNCTION("""COMPUTED_VALUE"""),"Review identity to author to optional, whole quote for coreviewers, who are asked to be identified in comments to editor (so assuming there is no dedicated form), corrected links in preprint media policy &amp; added additional text")</f>
        <v>Review identity to author to optional, whole quote for coreviewers, who are asked to be identified in comments to editor (so assuming there is no dedicated form), corrected links in preprint media policy &amp; added additional text</v>
      </c>
      <c r="H31" t="str">
        <f ca="1">IFERROR(__xludf.DUMMYFUNCTION("""COMPUTED_VALUE"""),"1550-4131")</f>
        <v>1550-4131</v>
      </c>
      <c r="I31" t="str">
        <f ca="1">IFERROR(__xludf.DUMMYFUNCTION("""COMPUTED_VALUE"""),"Cell Metabolism")</f>
        <v>Cell Metabolism</v>
      </c>
      <c r="J31" t="str">
        <f ca="1">IFERROR(__xludf.DUMMYFUNCTION("""COMPUTED_VALUE"""),"Life Sciences &amp; Earth Sciences")</f>
        <v>Life Sciences &amp; Earth Sciences</v>
      </c>
      <c r="K31" t="str">
        <f ca="1">IFERROR(__xludf.DUMMYFUNCTION("""COMPUTED_VALUE"""),"CellPress (Elsevier)")</f>
        <v>CellPress (Elsevier)</v>
      </c>
      <c r="L31" t="str">
        <f ca="1">IFERROR(__xludf.DUMMYFUNCTION("""COMPUTED_VALUE"""),"Single blind")</f>
        <v>Single blind</v>
      </c>
      <c r="M31" s="93" t="str">
        <f ca="1">IFERROR(__xludf.DUMMYFUNCTION("""COMPUTED_VALUE"""),"https://www.cell.com/reviewers")</f>
        <v>https://www.cell.com/reviewers</v>
      </c>
      <c r="N31" t="str">
        <f ca="1">IFERROR(__xludf.DUMMYFUNCTION("""COMPUTED_VALUE"""),"Not found")</f>
        <v>Not found</v>
      </c>
      <c r="O31" t="str">
        <f ca="1">IFERROR(__xludf.DUMMYFUNCTION("""COMPUTED_VALUE"""),"Not found")</f>
        <v>Not found</v>
      </c>
      <c r="P31" t="str">
        <f ca="1">IFERROR(__xludf.DUMMYFUNCTION("""COMPUTED_VALUE"""),"Unsure")</f>
        <v>Unsure</v>
      </c>
      <c r="Q31" t="str">
        <f ca="1">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1" s="93" t="str">
        <f ca="1">IFERROR(__xludf.DUMMYFUNCTION("""COMPUTED_VALUE"""),"https://www.cell.com/cell-metabolism/articletransfer")</f>
        <v>https://www.cell.com/cell-metabolism/articletransfer</v>
      </c>
      <c r="S31" t="str">
        <f ca="1">IFERROR(__xludf.DUMMYFUNCTION("""COMPUTED_VALUE"""),"Not specified")</f>
        <v>Not specified</v>
      </c>
      <c r="T31" t="str">
        <f ca="1">IFERROR(__xludf.DUMMYFUNCTION("""COMPUTED_VALUE"""),"Not specified")</f>
        <v>Not specified</v>
      </c>
      <c r="U31" t="str">
        <f ca="1">IFERROR(__xludf.DUMMYFUNCTION("""COMPUTED_VALUE"""),"Not specified")</f>
        <v>Not specified</v>
      </c>
      <c r="V31" t="str">
        <f ca="1">IFERROR(__xludf.DUMMYFUNCTION("""COMPUTED_VALUE"""),"Not specified")</f>
        <v>Not specified</v>
      </c>
      <c r="W31" t="str">
        <f ca="1">IFERROR(__xludf.DUMMYFUNCTION("""COMPUTED_VALUE"""),"No")</f>
        <v>No</v>
      </c>
      <c r="X31" t="str">
        <f ca="1">IFERROR(__xludf.DUMMYFUNCTION("""COMPUTED_VALUE"""),"Optional")</f>
        <v>Optional</v>
      </c>
      <c r="Y31" t="str">
        <f ca="1">IFERROR(__xludf.DUMMYFUNCTION("""COMPUTED_VALUE"""),"Not specified")</f>
        <v>Not specified</v>
      </c>
      <c r="Z31" t="str">
        <f ca="1">IFERROR(__xludf.DUMMYFUNCTION("""COMPUTED_VALUE"""),"Not specified")</f>
        <v>Not specified</v>
      </c>
      <c r="AA31" t="str">
        <f ca="1">IFERROR(__xludf.DUMMYFUNCTION("""COMPUTED_VALUE"""),"Peer review activity but not full reviews may be posted to Publons according to entry at Publons — https://publons.com/journal/628/cell-metabolism
""Cell Press will not disclose any reviewer’s identity except at the specific reviewer’s request."" - https:"&amp;"//www.cell.com/reviewers")</f>
        <v>Peer review activity but not full reviews may be posted to Publons according to entry at Publons — https://publons.com/journal/628/cell-metabolism
"Cell Press will not disclose any reviewer’s identity except at the specific reviewer’s request." - https://www.cell.com/reviewers</v>
      </c>
      <c r="AB31" t="str">
        <f ca="1">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31" s="93" t="str">
        <f ca="1">IFERROR(__xludf.DUMMYFUNCTION("""COMPUTED_VALUE"""),"https://www.cell.com/reviewers")</f>
        <v>https://www.cell.com/reviewers</v>
      </c>
      <c r="AD31" t="str">
        <f ca="1">IFERROR(__xludf.DUMMYFUNCTION("""COMPUTED_VALUE"""),"Yes")</f>
        <v>Yes</v>
      </c>
      <c r="AE31" t="str">
        <f ca="1">IFERROR(__xludf.DUMMYFUNCTION("""COMPUTED_VALUE"""),"No")</f>
        <v>No</v>
      </c>
      <c r="AF31" t="str">
        <f ca="1">IFERROR(__xludf.DUMMYFUNCTION("""COMPUTED_VALUE"""),"Unsure")</f>
        <v>Unsure</v>
      </c>
      <c r="AG31" s="93" t="str">
        <f ca="1">IFERROR(__xludf.DUMMYFUNCTION("""COMPUTED_VALUE"""),"https://www.cell.com/cell-metabolism/authors")</f>
        <v>https://www.cell.com/cell-metabolism/authors</v>
      </c>
      <c r="AH31" t="str">
        <f ca="1">IFERROR(__xludf.DUMMYFUNCTION("""COMPUTED_VALUE"""),"First submission only (before peer review)")</f>
        <v>First submission only (before peer review)</v>
      </c>
      <c r="AI31" s="93" t="str">
        <f ca="1">IFERROR(__xludf.DUMMYFUNCTION("""COMPUTED_VALUE"""),"“We will consider papers previously posted on preprint servers like arXiv, bioRxiv, BioRN, ChemRxiv, or ChemRN.""")</f>
        <v>“We will consider papers previously posted on preprint servers like arXiv, bioRxiv, BioRN, ChemRxiv, or ChemRN."</v>
      </c>
      <c r="AJ31" t="str">
        <f ca="1">IFERROR(__xludf.DUMMYFUNCTION("""COMPUTED_VALUE"""),"Not specified")</f>
        <v>Not specified</v>
      </c>
      <c r="AK31" t="str">
        <f ca="1">IFERROR(__xludf.DUMMYFUNCTION("""COMPUTED_VALUE"""),"Unsure")</f>
        <v>Unsure</v>
      </c>
      <c r="AL31" t="str">
        <f ca="1">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https://www.cell.co"&amp;"m/cell-metabolism/authors
""Also, our prepublication publicity policies with regard to coverage in the broader media still apply to studies posted on preprint servers."" — https://www.cell.com/cell-metabolism/authors")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v>
      </c>
      <c r="AM31" t="str">
        <f ca="1">IFERROR(__xludf.DUMMYFUNCTION("""COMPUTED_VALUE"""),"Not specified")</f>
        <v>Not specified</v>
      </c>
      <c r="AN31" t="str">
        <f ca="1">IFERROR(__xludf.DUMMYFUNCTION("""COMPUTED_VALUE"""),"Not specified")</f>
        <v>Not specified</v>
      </c>
      <c r="AO31" t="str">
        <f ca="1">IFERROR(__xludf.DUMMYFUNCTION("""COMPUTED_VALUE"""),"Not specified")</f>
        <v>Not specified</v>
      </c>
      <c r="AP31" t="str">
        <f ca="1">IFERROR(__xludf.DUMMYFUNCTION("""COMPUTED_VALUE"""),"")</f>
        <v/>
      </c>
      <c r="AQ31" t="str">
        <f ca="1">IFERROR(__xludf.DUMMYFUNCTION("""COMPUTED_VALUE"""),"")</f>
        <v/>
      </c>
      <c r="AR31" t="str">
        <f ca="1">IFERROR(__xludf.DUMMYFUNCTION("""COMPUTED_VALUE"""),"")</f>
        <v/>
      </c>
    </row>
    <row r="32" spans="1:44" ht="13">
      <c r="A32" t="str">
        <f ca="1">IFERROR(__xludf.DUMMYFUNCTION("""COMPUTED_VALUE"""),"NP")</f>
        <v>NP</v>
      </c>
      <c r="B32" s="28">
        <f ca="1">IFERROR(__xludf.DUMMYFUNCTION("""COMPUTED_VALUE"""),43483)</f>
        <v>43483</v>
      </c>
      <c r="C32" t="str">
        <f ca="1">IFERROR(__xludf.DUMMYFUNCTION("""COMPUTED_VALUE"""),"TRH")</f>
        <v>TRH</v>
      </c>
      <c r="D32" s="28">
        <f ca="1">IFERROR(__xludf.DUMMYFUNCTION("""COMPUTED_VALUE"""),43576)</f>
        <v>43576</v>
      </c>
      <c r="E32" t="str">
        <f ca="1">IFERROR(__xludf.DUMMYFUNCTION("""COMPUTED_VALUE"""),"JP")</f>
        <v>JP</v>
      </c>
      <c r="F32" s="28">
        <f ca="1">IFERROR(__xludf.DUMMYFUNCTION("""COMPUTED_VALUE"""),43581)</f>
        <v>43581</v>
      </c>
      <c r="G32" t="str">
        <f ca="1">IFERROR(__xludf.DUMMYFUNCTION("""COMPUTED_VALUE"""),"Review identity to author to optional, whole quote for coreviewers, who are asked to be identified in comments to editor (so assuming there is no dedicated form), corrected links in preprint media policy &amp; added additional text")</f>
        <v>Review identity to author to optional, whole quote for coreviewers, who are asked to be identified in comments to editor (so assuming there is no dedicated form), corrected links in preprint media policy &amp; added additional text</v>
      </c>
      <c r="H32" t="str">
        <f ca="1">IFERROR(__xludf.DUMMYFUNCTION("""COMPUTED_VALUE"""),"1934-5909")</f>
        <v>1934-5909</v>
      </c>
      <c r="I32" t="str">
        <f ca="1">IFERROR(__xludf.DUMMYFUNCTION("""COMPUTED_VALUE"""),"Cell Stem Cell")</f>
        <v>Cell Stem Cell</v>
      </c>
      <c r="J32" t="str">
        <f ca="1">IFERROR(__xludf.DUMMYFUNCTION("""COMPUTED_VALUE"""),"Life Sciences &amp; Earth Sciences")</f>
        <v>Life Sciences &amp; Earth Sciences</v>
      </c>
      <c r="K32" t="str">
        <f ca="1">IFERROR(__xludf.DUMMYFUNCTION("""COMPUTED_VALUE"""),"CellPress (Elsevier)")</f>
        <v>CellPress (Elsevier)</v>
      </c>
      <c r="L32" t="str">
        <f ca="1">IFERROR(__xludf.DUMMYFUNCTION("""COMPUTED_VALUE"""),"Single blind")</f>
        <v>Single blind</v>
      </c>
      <c r="M32" s="93" t="str">
        <f ca="1">IFERROR(__xludf.DUMMYFUNCTION("""COMPUTED_VALUE"""),"https://www.cell.com/reviewers")</f>
        <v>https://www.cell.com/reviewers</v>
      </c>
      <c r="N32" t="str">
        <f ca="1">IFERROR(__xludf.DUMMYFUNCTION("""COMPUTED_VALUE"""),"Not found")</f>
        <v>Not found</v>
      </c>
      <c r="O32" t="str">
        <f ca="1">IFERROR(__xludf.DUMMYFUNCTION("""COMPUTED_VALUE"""),"Not found")</f>
        <v>Not found</v>
      </c>
      <c r="P32" t="str">
        <f ca="1">IFERROR(__xludf.DUMMYFUNCTION("""COMPUTED_VALUE"""),"Unsure")</f>
        <v>Unsure</v>
      </c>
      <c r="Q32" t="str">
        <f ca="1">IFERROR(__xludf.DUMMYFUNCTION("""COMPUTED_VALUE"""),"Internal: Peer review reports may be shared by author when transferring to another journal in CellPress family or direct transfer may be invited by the editor. “The following materials will be made available to your new target journal: … The reviewer iden"&amp;"tities (note: reviewer identities are not transferred for EBiomedicine)… The peer review comments provided to you and cover comments to editor”")</f>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R32" s="93" t="str">
        <f ca="1">IFERROR(__xludf.DUMMYFUNCTION("""COMPUTED_VALUE"""),"https://www.cell.com/cell-stem-cell/articletransfer")</f>
        <v>https://www.cell.com/cell-stem-cell/articletransfer</v>
      </c>
      <c r="S32" t="str">
        <f ca="1">IFERROR(__xludf.DUMMYFUNCTION("""COMPUTED_VALUE"""),"Not specified")</f>
        <v>Not specified</v>
      </c>
      <c r="T32" t="str">
        <f ca="1">IFERROR(__xludf.DUMMYFUNCTION("""COMPUTED_VALUE"""),"Not specified")</f>
        <v>Not specified</v>
      </c>
      <c r="U32" t="str">
        <f ca="1">IFERROR(__xludf.DUMMYFUNCTION("""COMPUTED_VALUE"""),"Not specified")</f>
        <v>Not specified</v>
      </c>
      <c r="V32" t="str">
        <f ca="1">IFERROR(__xludf.DUMMYFUNCTION("""COMPUTED_VALUE"""),"Not specified")</f>
        <v>Not specified</v>
      </c>
      <c r="W32" t="str">
        <f ca="1">IFERROR(__xludf.DUMMYFUNCTION("""COMPUTED_VALUE"""),"No")</f>
        <v>No</v>
      </c>
      <c r="X32" t="str">
        <f ca="1">IFERROR(__xludf.DUMMYFUNCTION("""COMPUTED_VALUE"""),"Optional")</f>
        <v>Optional</v>
      </c>
      <c r="Y32" t="str">
        <f ca="1">IFERROR(__xludf.DUMMYFUNCTION("""COMPUTED_VALUE"""),"Not specified")</f>
        <v>Not specified</v>
      </c>
      <c r="Z32" t="str">
        <f ca="1">IFERROR(__xludf.DUMMYFUNCTION("""COMPUTED_VALUE"""),"Not specified")</f>
        <v>Not specified</v>
      </c>
      <c r="AA32" t="str">
        <f ca="1">IFERROR(__xludf.DUMMYFUNCTION("""COMPUTED_VALUE"""),"Peer review activity but not full reviews may be posted to Publons according to entry at Publons — https://publons.com/journal/586/cell-stem-cell
""Cell Press will not disclose any reviewer’s identity except at the specific reviewer’s request."" - https:/"&amp;"/www.cell.com/reviewers")</f>
        <v>Peer review activity but not full reviews may be posted to Publons according to entry at Publons — https://publons.com/journal/586/cell-stem-cell
"Cell Press will not disclose any reviewer’s identity except at the specific reviewer’s request." - https://www.cell.com/reviewers</v>
      </c>
      <c r="AB32" t="str">
        <f ca="1">IFERROR(__xludf.DUMMYFUNCTION("""COMPUTED_VALUE"""),"“In some instances, reviewers may feel that it would be helpful to obtain additional advice from a colleague. … In such cases, we ask that the reviewer contact the editor in advance to ensure that the editor has the opportunity to take additional informat"&amp;"ion into account before permitting communications that have the potential to violate confidentiality. …Reviewers can collaborate with trainees (graduate students and post-docs) in the evaluation of manuscripts… However, we ask that reviewers keep the numb"&amp;"er of collaborators to a minimum and include the identities of all the individuals involved in the “comments to the editors” component of their review. Regardless, the person originally invited to review the manuscript is ultimately responsible for mainta"&amp;"ining confidentiality and for the content and accuracy of the report.”")</f>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C32" s="93" t="str">
        <f ca="1">IFERROR(__xludf.DUMMYFUNCTION("""COMPUTED_VALUE"""),"https://www.cell.com/reviewers")</f>
        <v>https://www.cell.com/reviewers</v>
      </c>
      <c r="AD32" t="str">
        <f ca="1">IFERROR(__xludf.DUMMYFUNCTION("""COMPUTED_VALUE"""),"Yes")</f>
        <v>Yes</v>
      </c>
      <c r="AE32" t="str">
        <f ca="1">IFERROR(__xludf.DUMMYFUNCTION("""COMPUTED_VALUE"""),"No")</f>
        <v>No</v>
      </c>
      <c r="AF32" t="str">
        <f ca="1">IFERROR(__xludf.DUMMYFUNCTION("""COMPUTED_VALUE"""),"Unsure")</f>
        <v>Unsure</v>
      </c>
      <c r="AG32" s="93" t="str">
        <f ca="1">IFERROR(__xludf.DUMMYFUNCTION("""COMPUTED_VALUE"""),"https://www.cell.com/cell-stem-cell/authors")</f>
        <v>https://www.cell.com/cell-stem-cell/authors</v>
      </c>
      <c r="AH32" t="str">
        <f ca="1">IFERROR(__xludf.DUMMYFUNCTION("""COMPUTED_VALUE"""),"First submission only (before peer review)")</f>
        <v>First submission only (before peer review)</v>
      </c>
      <c r="AI32" s="93" t="str">
        <f ca="1">IFERROR(__xludf.DUMMYFUNCTION("""COMPUTED_VALUE"""),"“We will consider papers previously posted on preprint servers like arXiv, bioRxiv, BioRN, ChemRxiv, or ChemRN.""")</f>
        <v>“We will consider papers previously posted on preprint servers like arXiv, bioRxiv, BioRN, ChemRxiv, or ChemRN."</v>
      </c>
      <c r="AJ32" t="str">
        <f ca="1">IFERROR(__xludf.DUMMYFUNCTION("""COMPUTED_VALUE"""),"Not specified")</f>
        <v>Not specified</v>
      </c>
      <c r="AK32" t="str">
        <f ca="1">IFERROR(__xludf.DUMMYFUNCTION("""COMPUTED_VALUE"""),"Unsure")</f>
        <v>Unsure</v>
      </c>
      <c r="AL32" t="str">
        <f ca="1">IFERROR(__xludf.DUMMYFUNCTION("""COMPUTED_VALUE"""),"“Work intended for submission to a Cell Press journal, currently under consideration at a Cell Press journal, or in press at a Cell Press journal may not be discussed with the media or other scientific journals until one week before publication. If author"&amp;"s choose to make their work available to the scientific community before publication, through presentation at a scientific meeting or posting online, we ask that they and their institutions refrain from actively seeking media attention for the work and av"&amp;"oid participating in interviews about it. Coverage that results from pre-publication communication can impact media interest in a paper at the time of publication and affect our ability to support responsible scientific journalism. “ — https://www.cell.co"&amp;"m/cell-stem-cell/authors
""Also, our prepublication publicity policies with regard to coverage in the broader media still apply to studies posted on preprint servers."" — https://www.cell.com/cell-stem-cell/authors")</f>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v>
      </c>
      <c r="AM32" t="str">
        <f ca="1">IFERROR(__xludf.DUMMYFUNCTION("""COMPUTED_VALUE"""),"Not specified")</f>
        <v>Not specified</v>
      </c>
      <c r="AN32" t="str">
        <f ca="1">IFERROR(__xludf.DUMMYFUNCTION("""COMPUTED_VALUE"""),"Not specified")</f>
        <v>Not specified</v>
      </c>
      <c r="AO32" t="str">
        <f ca="1">IFERROR(__xludf.DUMMYFUNCTION("""COMPUTED_VALUE"""),"Not specified")</f>
        <v>Not specified</v>
      </c>
      <c r="AP32" t="str">
        <f ca="1">IFERROR(__xludf.DUMMYFUNCTION("""COMPUTED_VALUE"""),"")</f>
        <v/>
      </c>
      <c r="AQ32" t="str">
        <f ca="1">IFERROR(__xludf.DUMMYFUNCTION("""COMPUTED_VALUE"""),"")</f>
        <v/>
      </c>
      <c r="AR32" t="str">
        <f ca="1">IFERROR(__xludf.DUMMYFUNCTION("""COMPUTED_VALUE"""),"")</f>
        <v/>
      </c>
    </row>
    <row r="33" spans="1:44" ht="13">
      <c r="A33" t="str">
        <f ca="1">IFERROR(__xludf.DUMMYFUNCTION("""COMPUTED_VALUE"""),"NP")</f>
        <v>NP</v>
      </c>
      <c r="B33" s="28">
        <f ca="1">IFERROR(__xludf.DUMMYFUNCTION("""COMPUTED_VALUE"""),43483)</f>
        <v>43483</v>
      </c>
      <c r="C33" t="str">
        <f ca="1">IFERROR(__xludf.DUMMYFUNCTION("""COMPUTED_VALUE"""),"TRH")</f>
        <v>TRH</v>
      </c>
      <c r="D33" s="28">
        <f ca="1">IFERROR(__xludf.DUMMYFUNCTION("""COMPUTED_VALUE"""),43576)</f>
        <v>43576</v>
      </c>
      <c r="E33" t="str">
        <f ca="1">IFERROR(__xludf.DUMMYFUNCTION("""COMPUTED_VALUE"""),"JP")</f>
        <v>JP</v>
      </c>
      <c r="F33" s="28">
        <f ca="1">IFERROR(__xludf.DUMMYFUNCTION("""COMPUTED_VALUE"""),43581)</f>
        <v>43581</v>
      </c>
      <c r="G33" t="str">
        <f ca="1">IFERROR(__xludf.DUMMYFUNCTION("""COMPUTED_VALUE"""),"")</f>
        <v/>
      </c>
      <c r="H33" t="str">
        <f ca="1">IFERROR(__xludf.DUMMYFUNCTION("""COMPUTED_VALUE"""),"0144-557X")</f>
        <v>0144-557X</v>
      </c>
      <c r="I33" t="str">
        <f ca="1">IFERROR(__xludf.DUMMYFUNCTION("""COMPUTED_VALUE"""),"Chemical communications (Cambridge, England)")</f>
        <v>Chemical communications (Cambridge, England)</v>
      </c>
      <c r="J33" t="str">
        <f ca="1">IFERROR(__xludf.DUMMYFUNCTION("""COMPUTED_VALUE"""),"Chemical &amp; Materials Sciences")</f>
        <v>Chemical &amp; Materials Sciences</v>
      </c>
      <c r="K33" t="str">
        <f ca="1">IFERROR(__xludf.DUMMYFUNCTION("""COMPUTED_VALUE"""),"Royal Society of Chemistry")</f>
        <v>Royal Society of Chemistry</v>
      </c>
      <c r="L33" t="str">
        <f ca="1">IFERROR(__xludf.DUMMYFUNCTION("""COMPUTED_VALUE"""),"Single blind, Double blind (optional)")</f>
        <v>Single blind, Double blind (optional)</v>
      </c>
      <c r="M33" s="93" t="str">
        <f ca="1">IFERROR(__xludf.DUMMYFUNCTION("""COMPUTED_VALUE"""),"http://www.rsc.org/journals-books-databases/journal-authors-reviewers/reviewer-responsibilities/")</f>
        <v>http://www.rsc.org/journals-books-databases/journal-authors-reviewers/reviewer-responsibilities/</v>
      </c>
      <c r="N33" t="str">
        <f ca="1">IFERROR(__xludf.DUMMYFUNCTION("""COMPUTED_VALUE"""),"Not found")</f>
        <v>Not found</v>
      </c>
      <c r="O33" s="93" t="str">
        <f ca="1">IFERROR(__xludf.DUMMYFUNCTION("""COMPUTED_VALUE"""),"http://www.rsc.org/journals-books-databases/journal-authors-reviewers/reviewer-responsibilities/#becoming-reviewer")</f>
        <v>http://www.rsc.org/journals-books-databases/journal-authors-reviewers/reviewer-responsibilities/#becoming-reviewer</v>
      </c>
      <c r="P33" t="str">
        <f ca="1">IFERROR(__xludf.DUMMYFUNCTION("""COMPUTED_VALUE"""),"Yes - Publons")</f>
        <v>Yes - Publons</v>
      </c>
      <c r="Q33" t="str">
        <f ca="1">IFERROR(__xludf.DUMMYFUNCTION("""COMPUTED_VALUE"""),"Internal: “When a paper is to be rejected from one Royal Society of Chemistry journal, then we would offer the author(s) the option to transfer the paper to one of our other journals for consideration, when this is appropriate…. If the manuscript already "&amp;"has reports from reviewers then the author will be asked to upload the revised files. These files should include a summary of any new work added and a point by point response to the reviewers’ comments. Authors should be aware that the reviewers’ comments"&amp;" are transferred to the editor of the receiving journal together with the manuscript files.”")</f>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R33" s="93" t="str">
        <f ca="1">IFERROR(__xludf.DUMMYFUNCTION("""COMPUTED_VALUE"""),"http://www.rsc.org/journals-books-databases/journal-authors-reviewers/processes-policies/#transfers")</f>
        <v>http://www.rsc.org/journals-books-databases/journal-authors-reviewers/processes-policies/#transfers</v>
      </c>
      <c r="S33" t="str">
        <f ca="1">IFERROR(__xludf.DUMMYFUNCTION("""COMPUTED_VALUE"""),"No")</f>
        <v>No</v>
      </c>
      <c r="T33" t="str">
        <f ca="1">IFERROR(__xludf.DUMMYFUNCTION("""COMPUTED_VALUE"""),"Not specified")</f>
        <v>Not specified</v>
      </c>
      <c r="U33" t="str">
        <f ca="1">IFERROR(__xludf.DUMMYFUNCTION("""COMPUTED_VALUE"""),"Not specified")</f>
        <v>Not specified</v>
      </c>
      <c r="V33" t="str">
        <f ca="1">IFERROR(__xludf.DUMMYFUNCTION("""COMPUTED_VALUE"""),"Not specified")</f>
        <v>Not specified</v>
      </c>
      <c r="W33" t="str">
        <f ca="1">IFERROR(__xludf.DUMMYFUNCTION("""COMPUTED_VALUE"""),"Optional")</f>
        <v>Optional</v>
      </c>
      <c r="X33" t="str">
        <f ca="1">IFERROR(__xludf.DUMMYFUNCTION("""COMPUTED_VALUE"""),"Optional")</f>
        <v>Optional</v>
      </c>
      <c r="Y33" t="str">
        <f ca="1">IFERROR(__xludf.DUMMYFUNCTION("""COMPUTED_VALUE"""),"Not specified")</f>
        <v>Not specified</v>
      </c>
      <c r="Z33" t="str">
        <f ca="1">IFERROR(__xludf.DUMMYFUNCTION("""COMPUTED_VALUE"""),"Not specified")</f>
        <v>Not specified</v>
      </c>
      <c r="AA33" t="str">
        <f ca="1">IFERROR(__xludf.DUMMYFUNCTION("""COMPUTED_VALUE"""),"Sharing review reports: “Reviewers may disclose publicly that they have served as a reviewer for a named Royal Society of Chemistry journal. However, a reviewer must not identify himself/herself as the reviewer of a specific manuscript nor disclose the co"&amp;"ntents of the submitted review to any individual or organization. This expectation of peer review confidentiality and anonymity applies both during and after the peer review process, without time limit.“; Reviewer identity: “The anonymity of reviewers is "&amp;"strictly preserved from the authors, unless a reviewer voluntarily signs their comments to authors.”")</f>
        <v>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B33" t="str">
        <f ca="1">IFERROR(__xludf.DUMMYFUNCTION("""COMPUTED_VALUE"""),"Not found")</f>
        <v>Not found</v>
      </c>
      <c r="AC33" t="str">
        <f ca="1">IFERROR(__xludf.DUMMYFUNCTION("""COMPUTED_VALUE"""),"Not found")</f>
        <v>Not found</v>
      </c>
      <c r="AD33" t="str">
        <f ca="1">IFERROR(__xludf.DUMMYFUNCTION("""COMPUTED_VALUE"""),"Unsure")</f>
        <v>Unsure</v>
      </c>
      <c r="AE33" t="str">
        <f ca="1">IFERROR(__xludf.DUMMYFUNCTION("""COMPUTED_VALUE"""),"Unsure")</f>
        <v>Unsure</v>
      </c>
      <c r="AF33" t="str">
        <f ca="1">IFERROR(__xludf.DUMMYFUNCTION("""COMPUTED_VALUE"""),"Unsure")</f>
        <v>Unsure</v>
      </c>
      <c r="AG33" s="93" t="str">
        <f ca="1">IFERROR(__xludf.DUMMYFUNCTION("""COMPUTED_VALUE"""),"http://www.rsc.org/journals-books-databases/journal-authors-reviewers/processes-policies/#prior-publication")</f>
        <v>http://www.rsc.org/journals-books-databases/journal-authors-reviewers/processes-policies/#prior-publication</v>
      </c>
      <c r="AH33" t="str">
        <f ca="1">IFERROR(__xludf.DUMMYFUNCTION("""COMPUTED_VALUE"""),"Unsure (preprints are allowed, but it's not clear what version)")</f>
        <v>Unsure (preprints are allowed, but it's not clear what version)</v>
      </c>
      <c r="AI33" t="str">
        <f ca="1">IFERROR(__xludf.DUMMYFUNCTION("""COMPUTED_VALUE"""),"“Authors publishing in our journals may present their research ahead of publication… Through the deposition of a preprint version of the article in non-commercial repositories (eg ArXiv, ChemRxiv), institutional repositories or authors’ individual website"&amp;"s - a preprint is defined here as an un-refereed author version of the article; a non-commercial repository is defined here as any platform or archiving service that makes digital content free to deposit and access“")</f>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33" t="str">
        <f ca="1">IFERROR(__xludf.DUMMYFUNCTION("""COMPUTED_VALUE"""),"Yes, in the reference list")</f>
        <v>Yes, in the reference list</v>
      </c>
      <c r="AK33" t="str">
        <f ca="1">IFERROR(__xludf.DUMMYFUNCTION("""COMPUTED_VALUE"""),"Unsure")</f>
        <v>Unsure</v>
      </c>
      <c r="AL33" t="str">
        <f ca="1">IFERROR(__xludf.DUMMYFUNCTION("""COMPUTED_VALUE"""),"Unsure")</f>
        <v>Unsure</v>
      </c>
      <c r="AM33" t="str">
        <f ca="1">IFERROR(__xludf.DUMMYFUNCTION("""COMPUTED_VALUE"""),"Not specified")</f>
        <v>Not specified</v>
      </c>
      <c r="AN33" t="str">
        <f ca="1">IFERROR(__xludf.DUMMYFUNCTION("""COMPUTED_VALUE"""),"Not specified")</f>
        <v>Not specified</v>
      </c>
      <c r="AO33" t="str">
        <f ca="1">IFERROR(__xludf.DUMMYFUNCTION("""COMPUTED_VALUE"""),"Not specified")</f>
        <v>Not specified</v>
      </c>
      <c r="AP33" t="str">
        <f ca="1">IFERROR(__xludf.DUMMYFUNCTION("""COMPUTED_VALUE"""),"")</f>
        <v/>
      </c>
      <c r="AQ33" t="str">
        <f ca="1">IFERROR(__xludf.DUMMYFUNCTION("""COMPUTED_VALUE"""),"")</f>
        <v/>
      </c>
      <c r="AR33" t="str">
        <f ca="1">IFERROR(__xludf.DUMMYFUNCTION("""COMPUTED_VALUE"""),"")</f>
        <v/>
      </c>
    </row>
    <row r="34" spans="1:44" ht="13">
      <c r="A34" t="str">
        <f ca="1">IFERROR(__xludf.DUMMYFUNCTION("""COMPUTED_VALUE"""),"NP")</f>
        <v>NP</v>
      </c>
      <c r="B34" s="28">
        <f ca="1">IFERROR(__xludf.DUMMYFUNCTION("""COMPUTED_VALUE"""),43483)</f>
        <v>43483</v>
      </c>
      <c r="C34" t="str">
        <f ca="1">IFERROR(__xludf.DUMMYFUNCTION("""COMPUTED_VALUE"""),"TRH")</f>
        <v>TRH</v>
      </c>
      <c r="D34" s="28">
        <f ca="1">IFERROR(__xludf.DUMMYFUNCTION("""COMPUTED_VALUE"""),43576)</f>
        <v>43576</v>
      </c>
      <c r="E34" t="str">
        <f ca="1">IFERROR(__xludf.DUMMYFUNCTION("""COMPUTED_VALUE"""),"JP")</f>
        <v>JP</v>
      </c>
      <c r="F34" s="28">
        <f ca="1">IFERROR(__xludf.DUMMYFUNCTION("""COMPUTED_VALUE"""),43581)</f>
        <v>43581</v>
      </c>
      <c r="G34" t="str">
        <f ca="1">IFERROR(__xludf.DUMMYFUNCTION("""COMPUTED_VALUE"""),"")</f>
        <v/>
      </c>
      <c r="H34" t="str">
        <f ca="1">IFERROR(__xludf.DUMMYFUNCTION("""COMPUTED_VALUE"""),"1520-6890")</f>
        <v>1520-6890</v>
      </c>
      <c r="I34" t="str">
        <f ca="1">IFERROR(__xludf.DUMMYFUNCTION("""COMPUTED_VALUE"""),"Chemical Reviews")</f>
        <v>Chemical Reviews</v>
      </c>
      <c r="J34" t="str">
        <f ca="1">IFERROR(__xludf.DUMMYFUNCTION("""COMPUTED_VALUE"""),"Chemical &amp; Materials Sciences")</f>
        <v>Chemical &amp; Materials Sciences</v>
      </c>
      <c r="K34" t="str">
        <f ca="1">IFERROR(__xludf.DUMMYFUNCTION("""COMPUTED_VALUE"""),"American Chemical Society (ACS)")</f>
        <v>American Chemical Society (ACS)</v>
      </c>
      <c r="L34" t="str">
        <f ca="1">IFERROR(__xludf.DUMMYFUNCTION("""COMPUTED_VALUE"""),"Unsure")</f>
        <v>Unsure</v>
      </c>
      <c r="M34" s="93" t="str">
        <f ca="1">IFERROR(__xludf.DUMMYFUNCTION("""COMPUTED_VALUE"""),"https://pubs.acs.org/page/chreay/submission/reviewers.html")</f>
        <v>https://pubs.acs.org/page/chreay/submission/reviewers.html</v>
      </c>
      <c r="N34" t="str">
        <f ca="1">IFERROR(__xludf.DUMMYFUNCTION("""COMPUTED_VALUE"""),"Not found")</f>
        <v>Not found</v>
      </c>
      <c r="O34" t="str">
        <f ca="1">IFERROR(__xludf.DUMMYFUNCTION("""COMPUTED_VALUE"""),"Not found")</f>
        <v>Not found</v>
      </c>
      <c r="P34" t="str">
        <f ca="1">IFERROR(__xludf.DUMMYFUNCTION("""COMPUTED_VALUE"""),"Unsure")</f>
        <v>Unsure</v>
      </c>
      <c r="Q34" t="str">
        <f ca="1">IFERROR(__xludf.DUMMYFUNCTION("""COMPUTED_VALUE"""),"Internal: “Sometimes an ACS journal editor finds that a submitted manuscript is more suitable for a different ACS journal. The Manuscript Transfer Service allows the author(s) to transfer the manuscript and submission details to another ACS journal withou"&amp;"t restarting the entire submission process… For manuscripts that have been peer reviewed, the reviews, reviewer identities, and ACS editor’s decision letter will also be provided to the next journal… If authors do not wish to share the reviews, they shoul"&amp;"d decline the offer to transfer the submission.”")</f>
        <v>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R34" s="93" t="str">
        <f ca="1">IFERROR(__xludf.DUMMYFUNCTION("""COMPUTED_VALUE"""),"https://pubs.acs.org/page/policy/manuscript_transfer/index.html")</f>
        <v>https://pubs.acs.org/page/policy/manuscript_transfer/index.html</v>
      </c>
      <c r="S34" t="str">
        <f ca="1">IFERROR(__xludf.DUMMYFUNCTION("""COMPUTED_VALUE"""),"Not specified")</f>
        <v>Not specified</v>
      </c>
      <c r="T34" t="str">
        <f ca="1">IFERROR(__xludf.DUMMYFUNCTION("""COMPUTED_VALUE"""),"Not specified")</f>
        <v>Not specified</v>
      </c>
      <c r="U34" t="str">
        <f ca="1">IFERROR(__xludf.DUMMYFUNCTION("""COMPUTED_VALUE"""),"Not specified")</f>
        <v>Not specified</v>
      </c>
      <c r="V34" t="str">
        <f ca="1">IFERROR(__xludf.DUMMYFUNCTION("""COMPUTED_VALUE"""),"Not specified")</f>
        <v>Not specified</v>
      </c>
      <c r="W34" t="str">
        <f ca="1">IFERROR(__xludf.DUMMYFUNCTION("""COMPUTED_VALUE"""),"Not specified")</f>
        <v>Not specified</v>
      </c>
      <c r="X34" t="str">
        <f ca="1">IFERROR(__xludf.DUMMYFUNCTION("""COMPUTED_VALUE"""),"Not specified")</f>
        <v>Not specified</v>
      </c>
      <c r="Y34" t="str">
        <f ca="1">IFERROR(__xludf.DUMMYFUNCTION("""COMPUTED_VALUE"""),"Not specified")</f>
        <v>Not specified</v>
      </c>
      <c r="Z34" t="str">
        <f ca="1">IFERROR(__xludf.DUMMYFUNCTION("""COMPUTED_VALUE"""),"Not specified")</f>
        <v>Not specified</v>
      </c>
      <c r="AA34" t="str">
        <f ca="1">IFERROR(__xludf.DUMMYFUNCTION("""COMPUTED_VALUE"""),"Not specified")</f>
        <v>Not specified</v>
      </c>
      <c r="AB34" t="str">
        <f ca="1">IFERROR(__xludf.DUMMYFUNCTION("""COMPUTED_VALUE"""),"Not specified")</f>
        <v>Not specified</v>
      </c>
      <c r="AC34" t="str">
        <f ca="1">IFERROR(__xludf.DUMMYFUNCTION("""COMPUTED_VALUE"""),"Not found")</f>
        <v>Not found</v>
      </c>
      <c r="AD34" t="str">
        <f ca="1">IFERROR(__xludf.DUMMYFUNCTION("""COMPUTED_VALUE"""),"Unsure")</f>
        <v>Unsure</v>
      </c>
      <c r="AE34" t="str">
        <f ca="1">IFERROR(__xludf.DUMMYFUNCTION("""COMPUTED_VALUE"""),"Unsure")</f>
        <v>Unsure</v>
      </c>
      <c r="AF34" t="str">
        <f ca="1">IFERROR(__xludf.DUMMYFUNCTION("""COMPUTED_VALUE"""),"Unsure")</f>
        <v>Unsure</v>
      </c>
      <c r="AG34" s="93" t="str">
        <f ca="1">IFERROR(__xludf.DUMMYFUNCTION("""COMPUTED_VALUE"""),"https://pubs.acs.org/page/chreay/submission/prior.html")</f>
        <v>https://pubs.acs.org/page/chreay/submission/prior.html</v>
      </c>
      <c r="AH34" t="str">
        <f ca="1">IFERROR(__xludf.DUMMYFUNCTION("""COMPUTED_VALUE"""),"Other")</f>
        <v>Other</v>
      </c>
      <c r="AI34" t="str">
        <f ca="1">IFERROR(__xludf.DUMMYFUNCTION("""COMPUTED_VALUE"""),"Not specified")</f>
        <v>Not specified</v>
      </c>
      <c r="AJ34" t="str">
        <f ca="1">IFERROR(__xludf.DUMMYFUNCTION("""COMPUTED_VALUE"""),"No")</f>
        <v>No</v>
      </c>
      <c r="AK34" t="str">
        <f ca="1">IFERROR(__xludf.DUMMYFUNCTION("""COMPUTED_VALUE"""),"Unsure")</f>
        <v>Unsure</v>
      </c>
      <c r="AL34" t="str">
        <f ca="1">IFERROR(__xludf.DUMMYFUNCTION("""COMPUTED_VALUE"""),"Not specified")</f>
        <v>Not specified</v>
      </c>
      <c r="AM34" t="str">
        <f ca="1">IFERROR(__xludf.DUMMYFUNCTION("""COMPUTED_VALUE"""),"Not specified")</f>
        <v>Not specified</v>
      </c>
      <c r="AN34" t="str">
        <f ca="1">IFERROR(__xludf.DUMMYFUNCTION("""COMPUTED_VALUE"""),"Not specified")</f>
        <v>Not specified</v>
      </c>
      <c r="AO34" t="str">
        <f ca="1">IFERROR(__xludf.DUMMYFUNCTION("""COMPUTED_VALUE"""),"Not specified")</f>
        <v>Not specified</v>
      </c>
      <c r="AP34" t="str">
        <f ca="1">IFERROR(__xludf.DUMMYFUNCTION("""COMPUTED_VALUE"""),"")</f>
        <v/>
      </c>
      <c r="AQ34" t="str">
        <f ca="1">IFERROR(__xludf.DUMMYFUNCTION("""COMPUTED_VALUE"""),"")</f>
        <v/>
      </c>
      <c r="AR34" t="str">
        <f ca="1">IFERROR(__xludf.DUMMYFUNCTION("""COMPUTED_VALUE"""),"")</f>
        <v/>
      </c>
    </row>
    <row r="35" spans="1:44" ht="13">
      <c r="A35" t="str">
        <f ca="1">IFERROR(__xludf.DUMMYFUNCTION("""COMPUTED_VALUE"""),"NP")</f>
        <v>NP</v>
      </c>
      <c r="B35" s="28">
        <f ca="1">IFERROR(__xludf.DUMMYFUNCTION("""COMPUTED_VALUE"""),43483)</f>
        <v>43483</v>
      </c>
      <c r="C35" t="str">
        <f ca="1">IFERROR(__xludf.DUMMYFUNCTION("""COMPUTED_VALUE"""),"JP")</f>
        <v>JP</v>
      </c>
      <c r="D35" s="28">
        <f ca="1">IFERROR(__xludf.DUMMYFUNCTION("""COMPUTED_VALUE"""),43572)</f>
        <v>43572</v>
      </c>
      <c r="E35" t="str">
        <f ca="1">IFERROR(__xludf.DUMMYFUNCTION("""COMPUTED_VALUE"""),"TRH")</f>
        <v>TRH</v>
      </c>
      <c r="F35" s="28">
        <f ca="1">IFERROR(__xludf.DUMMYFUNCTION("""COMPUTED_VALUE"""),43580)</f>
        <v>43580</v>
      </c>
      <c r="G35" t="str">
        <f ca="1">IFERROR(__xludf.DUMMYFUNCTION("""COMPUTED_VALUE"""),"")</f>
        <v/>
      </c>
      <c r="H35" t="str">
        <f ca="1">IFERROR(__xludf.DUMMYFUNCTION("""COMPUTED_VALUE"""),"1460-4744")</f>
        <v>1460-4744</v>
      </c>
      <c r="I35" t="str">
        <f ca="1">IFERROR(__xludf.DUMMYFUNCTION("""COMPUTED_VALUE"""),"Chemical Society reviews")</f>
        <v>Chemical Society reviews</v>
      </c>
      <c r="J35" t="str">
        <f ca="1">IFERROR(__xludf.DUMMYFUNCTION("""COMPUTED_VALUE"""),"Chemical &amp; Materials Sciences")</f>
        <v>Chemical &amp; Materials Sciences</v>
      </c>
      <c r="K35" t="str">
        <f ca="1">IFERROR(__xludf.DUMMYFUNCTION("""COMPUTED_VALUE"""),"Royal Society of Chemistry")</f>
        <v>Royal Society of Chemistry</v>
      </c>
      <c r="L35" t="str">
        <f ca="1">IFERROR(__xludf.DUMMYFUNCTION("""COMPUTED_VALUE"""),"Unsure")</f>
        <v>Unsure</v>
      </c>
      <c r="M35" s="93" t="str">
        <f ca="1">IFERROR(__xludf.DUMMYFUNCTION("""COMPUTED_VALUE"""),"http://www.rsc.org/journals-books-databases/journal-authors-reviewers/reviewer-responsibilities/")</f>
        <v>http://www.rsc.org/journals-books-databases/journal-authors-reviewers/reviewer-responsibilities/</v>
      </c>
      <c r="N35" t="str">
        <f ca="1">IFERROR(__xludf.DUMMYFUNCTION("""COMPUTED_VALUE"""),"Not found")</f>
        <v>Not found</v>
      </c>
      <c r="O35" s="93" t="str">
        <f ca="1">IFERROR(__xludf.DUMMYFUNCTION("""COMPUTED_VALUE"""),"http://www.rsc.org/journals-books-databases/journal-authors-reviewers/reviewer-responsibilities/#becoming-reviewer")</f>
        <v>http://www.rsc.org/journals-books-databases/journal-authors-reviewers/reviewer-responsibilities/#becoming-reviewer</v>
      </c>
      <c r="P35" t="str">
        <f ca="1">IFERROR(__xludf.DUMMYFUNCTION("""COMPUTED_VALUE"""),"Yes - Publons")</f>
        <v>Yes - Publons</v>
      </c>
      <c r="Q35" t="str">
        <f ca="1">IFERROR(__xludf.DUMMYFUNCTION("""COMPUTED_VALUE"""),"Internal: “When a paper is to be rejected from one Royal Society of Chemistry journal, then we would offer the author(s) the option to transfer the paper to one of our other journals for consideration, when this is appropriate…. If the manuscript already "&amp;"has reports from reviewers then the author will be asked to upload the revised files. These files should include a summary of any new work added and a point by point response to the reviewers’ comments. Authors should be aware that the reviewers’ comments"&amp;" are transferred to the editor of the receiving journal together with the manuscript files.”")</f>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R35" s="93" t="str">
        <f ca="1">IFERROR(__xludf.DUMMYFUNCTION("""COMPUTED_VALUE"""),"http://www.rsc.org/journals-books-databases/journal-authors-reviewers/processes-policies/#transfers")</f>
        <v>http://www.rsc.org/journals-books-databases/journal-authors-reviewers/processes-policies/#transfers</v>
      </c>
      <c r="S35" t="str">
        <f ca="1">IFERROR(__xludf.DUMMYFUNCTION("""COMPUTED_VALUE"""),"No")</f>
        <v>No</v>
      </c>
      <c r="T35" t="str">
        <f ca="1">IFERROR(__xludf.DUMMYFUNCTION("""COMPUTED_VALUE"""),"Not specified")</f>
        <v>Not specified</v>
      </c>
      <c r="U35" t="str">
        <f ca="1">IFERROR(__xludf.DUMMYFUNCTION("""COMPUTED_VALUE"""),"Not specified")</f>
        <v>Not specified</v>
      </c>
      <c r="V35" t="str">
        <f ca="1">IFERROR(__xludf.DUMMYFUNCTION("""COMPUTED_VALUE"""),"Not specified")</f>
        <v>Not specified</v>
      </c>
      <c r="W35" t="str">
        <f ca="1">IFERROR(__xludf.DUMMYFUNCTION("""COMPUTED_VALUE"""),"Not specified")</f>
        <v>Not specified</v>
      </c>
      <c r="X35" t="str">
        <f ca="1">IFERROR(__xludf.DUMMYFUNCTION("""COMPUTED_VALUE"""),"Optional")</f>
        <v>Optional</v>
      </c>
      <c r="Y35" t="str">
        <f ca="1">IFERROR(__xludf.DUMMYFUNCTION("""COMPUTED_VALUE"""),"Not specified")</f>
        <v>Not specified</v>
      </c>
      <c r="Z35" t="str">
        <f ca="1">IFERROR(__xludf.DUMMYFUNCTION("""COMPUTED_VALUE"""),"Not specified")</f>
        <v>Not specified</v>
      </c>
      <c r="AA35" t="str">
        <f ca="1">IFERROR(__xludf.DUMMYFUNCTION("""COMPUTED_VALUE"""),"")</f>
        <v/>
      </c>
      <c r="AB35" t="str">
        <f ca="1">IFERROR(__xludf.DUMMYFUNCTION("""COMPUTED_VALUE"""),"The manuscript (or its existence) should not be shown to, disclosed to, or discussed with others, except in special cases, where specific scientific advice may be sought; in that event the editor must be informed and the identities of those consulted disc"&amp;"losed.")</f>
        <v>The manuscript (or its existence) should not be shown to, disclosed to, or discussed with others, except in special cases, where specific scientific advice may be sought; in that event the editor must be informed and the identities of those consulted disclosed.</v>
      </c>
      <c r="AC35" s="93" t="str">
        <f ca="1">IFERROR(__xludf.DUMMYFUNCTION("""COMPUTED_VALUE"""),"https://www.rsc.org/journals-books-databases/journal-authors-reviewers/reviewer-responsibilities/#ethical-responsibilities")</f>
        <v>https://www.rsc.org/journals-books-databases/journal-authors-reviewers/reviewer-responsibilities/#ethical-responsibilities</v>
      </c>
      <c r="AD35" t="str">
        <f ca="1">IFERROR(__xludf.DUMMYFUNCTION("""COMPUTED_VALUE"""),"Unsure")</f>
        <v>Unsure</v>
      </c>
      <c r="AE35" t="str">
        <f ca="1">IFERROR(__xludf.DUMMYFUNCTION("""COMPUTED_VALUE"""),"Unsure")</f>
        <v>Unsure</v>
      </c>
      <c r="AF35" t="str">
        <f ca="1">IFERROR(__xludf.DUMMYFUNCTION("""COMPUTED_VALUE"""),"Unsure")</f>
        <v>Unsure</v>
      </c>
      <c r="AG35" s="93" t="str">
        <f ca="1">IFERROR(__xludf.DUMMYFUNCTION("""COMPUTED_VALUE"""),"http://www.rsc.org/journals-books-databases/journal-authors-reviewers/processes-policies/#prior-publication")</f>
        <v>http://www.rsc.org/journals-books-databases/journal-authors-reviewers/processes-policies/#prior-publication</v>
      </c>
      <c r="AH35" t="str">
        <f ca="1">IFERROR(__xludf.DUMMYFUNCTION("""COMPUTED_VALUE"""),"First submission only (before peer review)")</f>
        <v>First submission only (before peer review)</v>
      </c>
      <c r="AI35" t="str">
        <f ca="1">IFERROR(__xludf.DUMMYFUNCTION("""COMPUTED_VALUE"""),"“Authors publishing in our journals may present their research ahead of publication… Through the deposition of a preprint version of the article in non-commercial repositories (eg ArXiv, ChemRxiv), institutional repositories or authors’ individual website"&amp;"s - a preprint is defined here as an un-refereed author version of the article; a non-commercial repository is defined here as any platform or archiving service that makes digital content free to deposit and access“")</f>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35" t="str">
        <f ca="1">IFERROR(__xludf.DUMMYFUNCTION("""COMPUTED_VALUE"""),"Yes, in the reference list")</f>
        <v>Yes, in the reference list</v>
      </c>
      <c r="AK35" t="str">
        <f ca="1">IFERROR(__xludf.DUMMYFUNCTION("""COMPUTED_VALUE"""),"Unsure")</f>
        <v>Unsure</v>
      </c>
      <c r="AL35" t="str">
        <f ca="1">IFERROR(__xludf.DUMMYFUNCTION("""COMPUTED_VALUE"""),"")</f>
        <v/>
      </c>
      <c r="AM35" t="str">
        <f ca="1">IFERROR(__xludf.DUMMYFUNCTION("""COMPUTED_VALUE"""),"")</f>
        <v/>
      </c>
      <c r="AN35" t="str">
        <f ca="1">IFERROR(__xludf.DUMMYFUNCTION("""COMPUTED_VALUE"""),"")</f>
        <v/>
      </c>
      <c r="AO35" t="str">
        <f ca="1">IFERROR(__xludf.DUMMYFUNCTION("""COMPUTED_VALUE"""),"")</f>
        <v/>
      </c>
      <c r="AP35" t="str">
        <f ca="1">IFERROR(__xludf.DUMMYFUNCTION("""COMPUTED_VALUE"""),"RSC-general policies copied from Chemical Communications, only type of peer review journal-specific. Peer review: assume single blind but not stated; general policy at http://www.rsc.org/journals-books-databases/about-journals/chemcomm/#%20journal-specifi"&amp;"c-guidelines; Preprints: citation style example at http://www.rsc.org/journals-books-databases/journal-authors-reviewers/prepare-your-article/#format-layout; Preprints: preprints permitted; VOR may not be shared but accepted manuscript may be after embarg"&amp;"o of 12 months — http://www.rsc.org/journals-books-databases/journal-authors-reviewers/licences-copyright-permissions/#deposition-sharing;  Sharing review reports: “Reviewers may disclose publicly that they have served as a reviewer for a named Royal Soci"&amp;"ety of Chemistry journal. However, a reviewer must not identify himself/herself as the reviewer of a specific manuscript nor disclose the contents of the submitted review to any individual or organization. This expectation of peer review confidentiality a"&amp;"nd anonymity applies both during and after the peer review process, without time limit.“; Reviewer identity: “The anonymity of reviewers is strictly preserved from the authors, unless a reviewer voluntarily signs their comments to authors.”")</f>
        <v>RSC-general policies copied from Chemical Communications, only type of peer review journal-specific. Peer review: assume single blind but not stated; general policy at http://www.rsc.org/journals-books-databases/about-journals/chemcomm/#%20journal-specific-guidelines; Preprints: citation style example at http://www.rsc.org/journals-books-databases/journal-authors-reviewers/prepare-your-article/#format-layout; Preprints: preprints permitted; VOR may not be shared but accepted manuscript may be after embargo of 12 months — http://www.rsc.org/journals-books-databases/journal-authors-reviewers/licences-copyright-permissions/#deposition-sharing;  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Q35" t="str">
        <f ca="1">IFERROR(__xludf.DUMMYFUNCTION("""COMPUTED_VALUE"""),"")</f>
        <v/>
      </c>
      <c r="AR35" t="str">
        <f ca="1">IFERROR(__xludf.DUMMYFUNCTION("""COMPUTED_VALUE"""),"")</f>
        <v/>
      </c>
    </row>
    <row r="36" spans="1:44" ht="13">
      <c r="A36" t="str">
        <f ca="1">IFERROR(__xludf.DUMMYFUNCTION("""COMPUTED_VALUE"""),"NP")</f>
        <v>NP</v>
      </c>
      <c r="B36" s="28">
        <f ca="1">IFERROR(__xludf.DUMMYFUNCTION("""COMPUTED_VALUE"""),43483)</f>
        <v>43483</v>
      </c>
      <c r="C36" t="str">
        <f ca="1">IFERROR(__xludf.DUMMYFUNCTION("""COMPUTED_VALUE"""),"JP")</f>
        <v>JP</v>
      </c>
      <c r="D36" s="28">
        <f ca="1">IFERROR(__xludf.DUMMYFUNCTION("""COMPUTED_VALUE"""),43572)</f>
        <v>43572</v>
      </c>
      <c r="E36" t="str">
        <f ca="1">IFERROR(__xludf.DUMMYFUNCTION("""COMPUTED_VALUE"""),"TRH")</f>
        <v>TRH</v>
      </c>
      <c r="F36" s="28">
        <f ca="1">IFERROR(__xludf.DUMMYFUNCTION("""COMPUTED_VALUE"""),43580)</f>
        <v>43580</v>
      </c>
      <c r="G36" t="str">
        <f ca="1">IFERROR(__xludf.DUMMYFUNCTION("""COMPUTED_VALUE"""),"")</f>
        <v/>
      </c>
      <c r="H36" t="str">
        <f ca="1">IFERROR(__xludf.DUMMYFUNCTION("""COMPUTED_VALUE"""),"1520-5002")</f>
        <v>1520-5002</v>
      </c>
      <c r="I36" t="str">
        <f ca="1">IFERROR(__xludf.DUMMYFUNCTION("""COMPUTED_VALUE"""),"Chemistry of Materials")</f>
        <v>Chemistry of Materials</v>
      </c>
      <c r="J36" t="str">
        <f ca="1">IFERROR(__xludf.DUMMYFUNCTION("""COMPUTED_VALUE"""),"Chemical &amp; Materials Sciences,
Engineering &amp; Computer Science")</f>
        <v>Chemical &amp; Materials Sciences,
Engineering &amp; Computer Science</v>
      </c>
      <c r="K36" t="str">
        <f ca="1">IFERROR(__xludf.DUMMYFUNCTION("""COMPUTED_VALUE"""),"American Chemical Society (ACS)")</f>
        <v>American Chemical Society (ACS)</v>
      </c>
      <c r="L36" t="str">
        <f ca="1">IFERROR(__xludf.DUMMYFUNCTION("""COMPUTED_VALUE"""),"Unsure")</f>
        <v>Unsure</v>
      </c>
      <c r="M36" s="93" t="str">
        <f ca="1">IFERROR(__xludf.DUMMYFUNCTION("""COMPUTED_VALUE"""),"https://pubs.acs.org/paragonplus/submission/cmatex/cmatex_scope.pdf")</f>
        <v>https://pubs.acs.org/paragonplus/submission/cmatex/cmatex_scope.pdf</v>
      </c>
      <c r="N36" t="str">
        <f ca="1">IFERROR(__xludf.DUMMYFUNCTION("""COMPUTED_VALUE"""),"")</f>
        <v/>
      </c>
      <c r="O36" t="str">
        <f ca="1">IFERROR(__xludf.DUMMYFUNCTION("""COMPUTED_VALUE"""),"")</f>
        <v/>
      </c>
      <c r="P36" t="str">
        <f ca="1">IFERROR(__xludf.DUMMYFUNCTION("""COMPUTED_VALUE"""),"Unsure")</f>
        <v>Unsure</v>
      </c>
      <c r="Q36" t="str">
        <f ca="1">IFERROR(__xludf.DUMMYFUNCTION("""COMPUTED_VALUE"""),"Sometimes an ACS journal editor finds that a submitted manuscript is more suitable for a different ACS journal. The Manuscript Transfer Service allows the author(s) to transfer the manuscript and submission details to another ACS journal without restartin"&amp;"g the entire submission process… For manuscripts that have been peer reviewed, the reviews, reviewer identities, and ACS editor’s decision letter will also be provided to the next journal… If authors do not wish to share the reviews, they should decline t"&amp;"he offer to transfer the submission.")</f>
        <v>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R36" s="93" t="str">
        <f ca="1">IFERROR(__xludf.DUMMYFUNCTION("""COMPUTED_VALUE"""),"https://pubs.acs.org/page/policy/manuscript_transfer/index.html")</f>
        <v>https://pubs.acs.org/page/policy/manuscript_transfer/index.html</v>
      </c>
      <c r="S36" t="str">
        <f ca="1">IFERROR(__xludf.DUMMYFUNCTION("""COMPUTED_VALUE"""),"Not specified")</f>
        <v>Not specified</v>
      </c>
      <c r="T36" t="str">
        <f ca="1">IFERROR(__xludf.DUMMYFUNCTION("""COMPUTED_VALUE"""),"Not specified")</f>
        <v>Not specified</v>
      </c>
      <c r="U36" t="str">
        <f ca="1">IFERROR(__xludf.DUMMYFUNCTION("""COMPUTED_VALUE"""),"Not specified")</f>
        <v>Not specified</v>
      </c>
      <c r="V36" t="str">
        <f ca="1">IFERROR(__xludf.DUMMYFUNCTION("""COMPUTED_VALUE"""),"Not specified")</f>
        <v>Not specified</v>
      </c>
      <c r="W36" t="str">
        <f ca="1">IFERROR(__xludf.DUMMYFUNCTION("""COMPUTED_VALUE"""),"Not specified")</f>
        <v>Not specified</v>
      </c>
      <c r="X36" t="str">
        <f ca="1">IFERROR(__xludf.DUMMYFUNCTION("""COMPUTED_VALUE"""),"Not specified")</f>
        <v>Not specified</v>
      </c>
      <c r="Y36" t="str">
        <f ca="1">IFERROR(__xludf.DUMMYFUNCTION("""COMPUTED_VALUE"""),"Not specified")</f>
        <v>Not specified</v>
      </c>
      <c r="Z36" t="str">
        <f ca="1">IFERROR(__xludf.DUMMYFUNCTION("""COMPUTED_VALUE"""),"Not specified")</f>
        <v>Not specified</v>
      </c>
      <c r="AA36" t="str">
        <f ca="1">IFERROR(__xludf.DUMMYFUNCTION("""COMPUTED_VALUE"""),"")</f>
        <v/>
      </c>
      <c r="AB36" t="str">
        <f ca="1">IFERROR(__xludf.DUMMYFUNCTION("""COMPUTED_VALUE"""),"")</f>
        <v/>
      </c>
      <c r="AC36" t="str">
        <f ca="1">IFERROR(__xludf.DUMMYFUNCTION("""COMPUTED_VALUE"""),"")</f>
        <v/>
      </c>
      <c r="AD36" t="str">
        <f ca="1">IFERROR(__xludf.DUMMYFUNCTION("""COMPUTED_VALUE"""),"Unsure")</f>
        <v>Unsure</v>
      </c>
      <c r="AE36" t="str">
        <f ca="1">IFERROR(__xludf.DUMMYFUNCTION("""COMPUTED_VALUE"""),"Unsure")</f>
        <v>Unsure</v>
      </c>
      <c r="AF36" t="str">
        <f ca="1">IFERROR(__xludf.DUMMYFUNCTION("""COMPUTED_VALUE"""),"Unsure")</f>
        <v>Unsure</v>
      </c>
      <c r="AG36" s="93" t="str">
        <f ca="1">IFERROR(__xludf.DUMMYFUNCTION("""COMPUTED_VALUE"""),"https://pubs.acs.org/page/cmatex/submission/prior.html")</f>
        <v>https://pubs.acs.org/page/cmatex/submission/prior.html</v>
      </c>
      <c r="AH36" t="str">
        <f ca="1">IFERROR(__xludf.DUMMYFUNCTION("""COMPUTED_VALUE"""),"First submission only (before peer review)")</f>
        <v>First submission only (before peer review)</v>
      </c>
      <c r="AI36" t="str">
        <f ca="1">IFERROR(__xludf.DUMMYFUNCTION("""COMPUTED_VALUE"""),"“Chemistry of Materials authors are allowed to deposit an initial draft of their manuscript in ChemRxiv, bioRxiv, and arXiv, prior to submission. Please note that the use of any other preprint server must be indicated in the cover letter and include a lin"&amp;"k to the preprint, and as appropriate, state how the manuscript has been adjusted/updated between deposition and submission. All other prior/redundant publication is forbidden.”")</f>
        <v>“Chemistry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v>
      </c>
      <c r="AJ36" t="str">
        <f ca="1">IFERROR(__xludf.DUMMYFUNCTION("""COMPUTED_VALUE"""),"Unsure")</f>
        <v>Unsure</v>
      </c>
      <c r="AK36" t="str">
        <f ca="1">IFERROR(__xludf.DUMMYFUNCTION("""COMPUTED_VALUE"""),"Unsure")</f>
        <v>Unsure</v>
      </c>
      <c r="AL36" t="str">
        <f ca="1">IFERROR(__xludf.DUMMYFUNCTION("""COMPUTED_VALUE"""),"")</f>
        <v/>
      </c>
      <c r="AM36" t="str">
        <f ca="1">IFERROR(__xludf.DUMMYFUNCTION("""COMPUTED_VALUE"""),"")</f>
        <v/>
      </c>
      <c r="AN36" t="str">
        <f ca="1">IFERROR(__xludf.DUMMYFUNCTION("""COMPUTED_VALUE"""),"")</f>
        <v/>
      </c>
      <c r="AO36" t="str">
        <f ca="1">IFERROR(__xludf.DUMMYFUNCTION("""COMPUTED_VALUE"""),"")</f>
        <v/>
      </c>
      <c r="AP36" s="93" t="str">
        <f ca="1">IFERROR(__xludf.DUMMYFUNCTION("""COMPUTED_VALUE"""),"Some info general to ACS journals, copied from Chemical Reviews. Preprints: only allowed for specified or permitted servers, version unclear; other URL (no additional info): https://pubs.acs.org/paragonplus/submission/cmatex/cmatex_authguide.pdf; https://"&amp;"pubs.acs.org/page/cmatex/submission/reviewers.html")</f>
        <v>Some info general to ACS journals, copied from Chemical Reviews. Preprints: only allowed for specified or permitted servers, version unclear; other URL (no additional info): https://pubs.acs.org/paragonplus/submission/cmatex/cmatex_authguide.pdf; https://pubs.acs.org/page/cmatex/submission/reviewers.html</v>
      </c>
      <c r="AQ36" t="str">
        <f ca="1">IFERROR(__xludf.DUMMYFUNCTION("""COMPUTED_VALUE"""),"")</f>
        <v/>
      </c>
      <c r="AR36" t="str">
        <f ca="1">IFERROR(__xludf.DUMMYFUNCTION("""COMPUTED_VALUE"""),"")</f>
        <v/>
      </c>
    </row>
    <row r="37" spans="1:44" ht="13">
      <c r="A37" t="str">
        <f ca="1">IFERROR(__xludf.DUMMYFUNCTION("""COMPUTED_VALUE"""),"NP")</f>
        <v>NP</v>
      </c>
      <c r="B37" s="28">
        <f ca="1">IFERROR(__xludf.DUMMYFUNCTION("""COMPUTED_VALUE"""),43483)</f>
        <v>43483</v>
      </c>
      <c r="C37" t="str">
        <f ca="1">IFERROR(__xludf.DUMMYFUNCTION("""COMPUTED_VALUE"""),"JP")</f>
        <v>JP</v>
      </c>
      <c r="D37" s="28">
        <f ca="1">IFERROR(__xludf.DUMMYFUNCTION("""COMPUTED_VALUE"""),43572)</f>
        <v>43572</v>
      </c>
      <c r="E37" t="str">
        <f ca="1">IFERROR(__xludf.DUMMYFUNCTION("""COMPUTED_VALUE"""),"TRH")</f>
        <v>TRH</v>
      </c>
      <c r="F37" s="28">
        <f ca="1">IFERROR(__xludf.DUMMYFUNCTION("""COMPUTED_VALUE"""),43580)</f>
        <v>43580</v>
      </c>
      <c r="G37" t="str">
        <f ca="1">IFERROR(__xludf.DUMMYFUNCTION("""COMPUTED_VALUE"""),"")</f>
        <v/>
      </c>
      <c r="H37" t="str">
        <f ca="1">IFERROR(__xludf.DUMMYFUNCTION("""COMPUTED_VALUE"""),"0009-7322")</f>
        <v>0009-7322</v>
      </c>
      <c r="I37" t="str">
        <f ca="1">IFERROR(__xludf.DUMMYFUNCTION("""COMPUTED_VALUE"""),"Circulation")</f>
        <v>Circulation</v>
      </c>
      <c r="J37" t="str">
        <f ca="1">IFERROR(__xludf.DUMMYFUNCTION("""COMPUTED_VALUE"""),"Health &amp; Medical Sciences")</f>
        <v>Health &amp; Medical Sciences</v>
      </c>
      <c r="K37" t="str">
        <f ca="1">IFERROR(__xludf.DUMMYFUNCTION("""COMPUTED_VALUE"""),"American Heart Association (AHA)")</f>
        <v>American Heart Association (AHA)</v>
      </c>
      <c r="L37" t="str">
        <f ca="1">IFERROR(__xludf.DUMMYFUNCTION("""COMPUTED_VALUE"""),"Single blind")</f>
        <v>Single blind</v>
      </c>
      <c r="M37" s="93" t="str">
        <f ca="1">IFERROR(__xludf.DUMMYFUNCTION("""COMPUTED_VALUE"""),"https://www.ahajournals.org/pb-assets/Ethical%20ConductPolicyApril2017finalWeb.pdf")</f>
        <v>https://www.ahajournals.org/pb-assets/Ethical%20ConductPolicyApril2017finalWeb.pdf</v>
      </c>
      <c r="N37" t="str">
        <f ca="1">IFERROR(__xludf.DUMMYFUNCTION("""COMPUTED_VALUE"""),"")</f>
        <v/>
      </c>
      <c r="O37" t="str">
        <f ca="1">IFERROR(__xludf.DUMMYFUNCTION("""COMPUTED_VALUE"""),"")</f>
        <v/>
      </c>
      <c r="P37" t="str">
        <f ca="1">IFERROR(__xludf.DUMMYFUNCTION("""COMPUTED_VALUE"""),"Unsure")</f>
        <v>Unsure</v>
      </c>
      <c r="Q37" t="str">
        <f ca="1">IFERROR(__xludf.DUMMYFUNCTION("""COMPUTED_VALUE"""),"")</f>
        <v/>
      </c>
      <c r="R37" t="str">
        <f ca="1">IFERROR(__xludf.DUMMYFUNCTION("""COMPUTED_VALUE"""),"")</f>
        <v/>
      </c>
      <c r="S37" t="str">
        <f ca="1">IFERROR(__xludf.DUMMYFUNCTION("""COMPUTED_VALUE"""),"Not specified")</f>
        <v>Not specified</v>
      </c>
      <c r="T37" t="str">
        <f ca="1">IFERROR(__xludf.DUMMYFUNCTION("""COMPUTED_VALUE"""),"Not specified")</f>
        <v>Not specified</v>
      </c>
      <c r="U37" t="str">
        <f ca="1">IFERROR(__xludf.DUMMYFUNCTION("""COMPUTED_VALUE"""),"Not specified")</f>
        <v>Not specified</v>
      </c>
      <c r="V37" t="str">
        <f ca="1">IFERROR(__xludf.DUMMYFUNCTION("""COMPUTED_VALUE"""),"Not specified")</f>
        <v>Not specified</v>
      </c>
      <c r="W37" t="str">
        <f ca="1">IFERROR(__xludf.DUMMYFUNCTION("""COMPUTED_VALUE"""),"Not specified")</f>
        <v>Not specified</v>
      </c>
      <c r="X37" t="str">
        <f ca="1">IFERROR(__xludf.DUMMYFUNCTION("""COMPUTED_VALUE"""),"Not specified")</f>
        <v>Not specified</v>
      </c>
      <c r="Y37" t="str">
        <f ca="1">IFERROR(__xludf.DUMMYFUNCTION("""COMPUTED_VALUE"""),"Not specified")</f>
        <v>Not specified</v>
      </c>
      <c r="Z37" t="str">
        <f ca="1">IFERROR(__xludf.DUMMYFUNCTION("""COMPUTED_VALUE"""),"Not specified")</f>
        <v>Not specified</v>
      </c>
      <c r="AA37" t="str">
        <f ca="1">IFERROR(__xludf.DUMMYFUNCTION("""COMPUTED_VALUE"""),"")</f>
        <v/>
      </c>
      <c r="AB37" t="str">
        <f ca="1">IFERROR(__xludf.DUMMYFUNCTION("""COMPUTED_VALUE"""),"""Peer reviewers are required to maintain confidentiality about the manuscripts they review and must not divulge any information about a specific manuscript or its content to any third party without prior permission from the journal editors.""")</f>
        <v>"Peer reviewers are required to maintain confidentiality about the manuscripts they review and must not divulge any information about a specific manuscript or its content to any third party without prior permission from the journal editors."</v>
      </c>
      <c r="AC37" t="str">
        <f ca="1">IFERROR(__xludf.DUMMYFUNCTION("""COMPUTED_VALUE"""),"")</f>
        <v/>
      </c>
      <c r="AD37" t="str">
        <f ca="1">IFERROR(__xludf.DUMMYFUNCTION("""COMPUTED_VALUE"""),"Unsure")</f>
        <v>Unsure</v>
      </c>
      <c r="AE37" t="str">
        <f ca="1">IFERROR(__xludf.DUMMYFUNCTION("""COMPUTED_VALUE"""),"Unsure")</f>
        <v>Unsure</v>
      </c>
      <c r="AF37" t="str">
        <f ca="1">IFERROR(__xludf.DUMMYFUNCTION("""COMPUTED_VALUE"""),"Unsure")</f>
        <v>Unsure</v>
      </c>
      <c r="AG37" s="93" t="str">
        <f ca="1">IFERROR(__xludf.DUMMYFUNCTION("""COMPUTED_VALUE"""),"https://www.ahajournals.org/prior-publication-policy")</f>
        <v>https://www.ahajournals.org/prior-publication-policy</v>
      </c>
      <c r="AH37" t="str">
        <f ca="1">IFERROR(__xludf.DUMMYFUNCTION("""COMPUTED_VALUE"""),"First submission only (before peer review)")</f>
        <v>First submission only (before peer review)</v>
      </c>
      <c r="AI37" t="str">
        <f ca="1">IFERROR(__xludf.DUMMYFUNCTION("""COMPUTED_VALUE"""),"“Posting of un-refereed manuscripts to a community pre-print server by the author will not be considered prior publication, provided that the following conditions are met: 1) During submission, authors must acknowledge pre-print server deposition and prov"&amp;"ide any associated accession numbers or DOIs; 2) Versions of a manuscript that have been altered as a result of the peer review process may not be deposited; 3) The pre-print version cannot itself have been indexed in MEDLINE or PubMed; 4) Upon publicatio"&amp;"n, authors are responsible for updating the archived pre-print with a DOI and link to the published version of the article.”")</f>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J37" t="str">
        <f ca="1">IFERROR(__xludf.DUMMYFUNCTION("""COMPUTED_VALUE"""),"No")</f>
        <v>No</v>
      </c>
      <c r="AK37" t="str">
        <f ca="1">IFERROR(__xludf.DUMMYFUNCTION("""COMPUTED_VALUE"""),"Unsure")</f>
        <v>Unsure</v>
      </c>
      <c r="AL37" t="str">
        <f ca="1">IFERROR(__xludf.DUMMYFUNCTION("""COMPUTED_VALUE"""),"Not specific to preprints: ""Direct release of information through press releases or media briefings may preclude publication”")</f>
        <v>Not specific to preprints: "Direct release of information through press releases or media briefings may preclude publication”</v>
      </c>
      <c r="AM37" t="str">
        <f ca="1">IFERROR(__xludf.DUMMYFUNCTION("""COMPUTED_VALUE"""),"")</f>
        <v/>
      </c>
      <c r="AN37" t="str">
        <f ca="1">IFERROR(__xludf.DUMMYFUNCTION("""COMPUTED_VALUE"""),"")</f>
        <v/>
      </c>
      <c r="AO37" t="str">
        <f ca="1">IFERROR(__xludf.DUMMYFUNCTION("""COMPUTED_VALUE"""),"")</f>
        <v/>
      </c>
      <c r="AP37" s="93" t="str">
        <f ca="1">IFERROR(__xludf.DUMMYFUNCTION("""COMPUTED_VALUE"""),"Peer review: type assumed single since reviewers asked to specify COI due to author relationship - https://www.ahajournals.org/pb-assets/Ethical%20ConductPolicyApril2017finalWeb.pdf: citation: “References must be from a full-length publication in a peer-r"&amp;"eviewed journal.” — https://www.ahajournals.org/circ/manuscript-preparation; other policy URL: https://www.ahajournals.org/pb-assets/Ethical%20ConductPolicyApril2017finalWeb.pdf")</f>
        <v>Peer review: type assumed single since reviewers asked to specify COI due to author relationship - https://www.ahajournals.org/pb-assets/Ethical%20ConductPolicyApril2017finalWeb.pdf: citation: “References must be from a full-length publication in a peer-reviewed journal.” — https://www.ahajournals.org/circ/manuscript-preparation; other policy URL: https://www.ahajournals.org/pb-assets/Ethical%20ConductPolicyApril2017finalWeb.pdf</v>
      </c>
      <c r="AQ37" t="str">
        <f ca="1">IFERROR(__xludf.DUMMYFUNCTION("""COMPUTED_VALUE"""),"")</f>
        <v/>
      </c>
      <c r="AR37" t="str">
        <f ca="1">IFERROR(__xludf.DUMMYFUNCTION("""COMPUTED_VALUE"""),"")</f>
        <v/>
      </c>
    </row>
    <row r="38" spans="1:44" ht="13">
      <c r="A38" t="str">
        <f ca="1">IFERROR(__xludf.DUMMYFUNCTION("""COMPUTED_VALUE"""),"NP")</f>
        <v>NP</v>
      </c>
      <c r="B38" s="28">
        <f ca="1">IFERROR(__xludf.DUMMYFUNCTION("""COMPUTED_VALUE"""),43483)</f>
        <v>43483</v>
      </c>
      <c r="C38" t="str">
        <f ca="1">IFERROR(__xludf.DUMMYFUNCTION("""COMPUTED_VALUE"""),"JP")</f>
        <v>JP</v>
      </c>
      <c r="D38" s="28">
        <f ca="1">IFERROR(__xludf.DUMMYFUNCTION("""COMPUTED_VALUE"""),43572)</f>
        <v>43572</v>
      </c>
      <c r="E38" t="str">
        <f ca="1">IFERROR(__xludf.DUMMYFUNCTION("""COMPUTED_VALUE"""),"TRH")</f>
        <v>TRH</v>
      </c>
      <c r="F38" s="28">
        <f ca="1">IFERROR(__xludf.DUMMYFUNCTION("""COMPUTED_VALUE"""),43580)</f>
        <v>43580</v>
      </c>
      <c r="G38" t="str">
        <f ca="1">IFERROR(__xludf.DUMMYFUNCTION("""COMPUTED_VALUE"""),"")</f>
        <v/>
      </c>
      <c r="H38" t="str">
        <f ca="1">IFERROR(__xludf.DUMMYFUNCTION("""COMPUTED_VALUE"""),"1524-4571")</f>
        <v>1524-4571</v>
      </c>
      <c r="I38" t="str">
        <f ca="1">IFERROR(__xludf.DUMMYFUNCTION("""COMPUTED_VALUE"""),"Circulation Research")</f>
        <v>Circulation Research</v>
      </c>
      <c r="J38" t="str">
        <f ca="1">IFERROR(__xludf.DUMMYFUNCTION("""COMPUTED_VALUE"""),"")</f>
        <v/>
      </c>
      <c r="K38" t="str">
        <f ca="1">IFERROR(__xludf.DUMMYFUNCTION("""COMPUTED_VALUE"""),"American Heart Association/American Stroke Association (AHA/ASA)")</f>
        <v>American Heart Association/American Stroke Association (AHA/ASA)</v>
      </c>
      <c r="L38" t="str">
        <f ca="1">IFERROR(__xludf.DUMMYFUNCTION("""COMPUTED_VALUE"""),"Single blind")</f>
        <v>Single blind</v>
      </c>
      <c r="M38" s="93" t="str">
        <f ca="1">IFERROR(__xludf.DUMMYFUNCTION("""COMPUTED_VALUE"""),"https://www.ahajournals.org/pb-assets/Ethical%20ConductPolicyApril2017finalWeb.pdf")</f>
        <v>https://www.ahajournals.org/pb-assets/Ethical%20ConductPolicyApril2017finalWeb.pdf</v>
      </c>
      <c r="N38" t="str">
        <f ca="1">IFERROR(__xludf.DUMMYFUNCTION("""COMPUTED_VALUE"""),"")</f>
        <v/>
      </c>
      <c r="O38" t="str">
        <f ca="1">IFERROR(__xludf.DUMMYFUNCTION("""COMPUTED_VALUE"""),"")</f>
        <v/>
      </c>
      <c r="P38" t="str">
        <f ca="1">IFERROR(__xludf.DUMMYFUNCTION("""COMPUTED_VALUE"""),"Unsure")</f>
        <v>Unsure</v>
      </c>
      <c r="Q38" t="str">
        <f ca="1">IFERROR(__xludf.DUMMYFUNCTION("""COMPUTED_VALUE"""),"")</f>
        <v/>
      </c>
      <c r="R38" t="str">
        <f ca="1">IFERROR(__xludf.DUMMYFUNCTION("""COMPUTED_VALUE"""),"")</f>
        <v/>
      </c>
      <c r="S38" t="str">
        <f ca="1">IFERROR(__xludf.DUMMYFUNCTION("""COMPUTED_VALUE"""),"Not specified")</f>
        <v>Not specified</v>
      </c>
      <c r="T38" t="str">
        <f ca="1">IFERROR(__xludf.DUMMYFUNCTION("""COMPUTED_VALUE"""),"Not specified")</f>
        <v>Not specified</v>
      </c>
      <c r="U38" t="str">
        <f ca="1">IFERROR(__xludf.DUMMYFUNCTION("""COMPUTED_VALUE"""),"Not specified")</f>
        <v>Not specified</v>
      </c>
      <c r="V38" t="str">
        <f ca="1">IFERROR(__xludf.DUMMYFUNCTION("""COMPUTED_VALUE"""),"Not specified")</f>
        <v>Not specified</v>
      </c>
      <c r="W38" t="str">
        <f ca="1">IFERROR(__xludf.DUMMYFUNCTION("""COMPUTED_VALUE"""),"Not specified")</f>
        <v>Not specified</v>
      </c>
      <c r="X38" t="str">
        <f ca="1">IFERROR(__xludf.DUMMYFUNCTION("""COMPUTED_VALUE"""),"Not specified")</f>
        <v>Not specified</v>
      </c>
      <c r="Y38" t="str">
        <f ca="1">IFERROR(__xludf.DUMMYFUNCTION("""COMPUTED_VALUE"""),"Not specified")</f>
        <v>Not specified</v>
      </c>
      <c r="Z38" t="str">
        <f ca="1">IFERROR(__xludf.DUMMYFUNCTION("""COMPUTED_VALUE"""),"Not specified")</f>
        <v>Not specified</v>
      </c>
      <c r="AA38" t="str">
        <f ca="1">IFERROR(__xludf.DUMMYFUNCTION("""COMPUTED_VALUE"""),"")</f>
        <v/>
      </c>
      <c r="AB38" t="str">
        <f ca="1">IFERROR(__xludf.DUMMYFUNCTION("""COMPUTED_VALUE"""),"Peer reviewers are required to maintain confidentiality about the manuscripts they review and must not divulge any information about a specific manuscript or its content to any third party without prior permission from the journal editors.")</f>
        <v>Peer reviewers are required to maintain confidentiality about the manuscripts they review and must not divulge any information about a specific manuscript or its content to any third party without prior permission from the journal editors.</v>
      </c>
      <c r="AC38" s="93" t="str">
        <f ca="1">IFERROR(__xludf.DUMMYFUNCTION("""COMPUTED_VALUE"""),"https://www.ahajournals.org/pb-assets/Ethical%20ConductPolicyApril2017finalWeb.pdf")</f>
        <v>https://www.ahajournals.org/pb-assets/Ethical%20ConductPolicyApril2017finalWeb.pdf</v>
      </c>
      <c r="AD38" t="str">
        <f ca="1">IFERROR(__xludf.DUMMYFUNCTION("""COMPUTED_VALUE"""),"Unsure")</f>
        <v>Unsure</v>
      </c>
      <c r="AE38" t="str">
        <f ca="1">IFERROR(__xludf.DUMMYFUNCTION("""COMPUTED_VALUE"""),"Unsure")</f>
        <v>Unsure</v>
      </c>
      <c r="AF38" t="str">
        <f ca="1">IFERROR(__xludf.DUMMYFUNCTION("""COMPUTED_VALUE"""),"Unsure")</f>
        <v>Unsure</v>
      </c>
      <c r="AG38" s="93" t="str">
        <f ca="1">IFERROR(__xludf.DUMMYFUNCTION("""COMPUTED_VALUE"""),"https://www.ahajournals.org/prior-publication-policy")</f>
        <v>https://www.ahajournals.org/prior-publication-policy</v>
      </c>
      <c r="AH38" t="str">
        <f ca="1">IFERROR(__xludf.DUMMYFUNCTION("""COMPUTED_VALUE"""),"First submission only (before peer review)")</f>
        <v>First submission only (before peer review)</v>
      </c>
      <c r="AI38" t="str">
        <f ca="1">IFERROR(__xludf.DUMMYFUNCTION("""COMPUTED_VALUE"""),"“Posting of un-refereed manuscripts to a community pre-print server by the author will not be considered prior publication, provided that the following conditions are met: 1) During submission, authors must acknowledge pre-print server deposition and prov"&amp;"ide any associated accession numbers or DOIs; 2) Versions of a manuscript that have been altered as a result of the peer review process may not be deposited; 3) The pre-print version cannot itself have been indexed in MEDLINE or PubMed; 4) Upon publicatio"&amp;"n, authors are responsible for updating the archived pre-print with a DOI and link to the published version of the article.”")</f>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J38" t="str">
        <f ca="1">IFERROR(__xludf.DUMMYFUNCTION("""COMPUTED_VALUE"""),"No")</f>
        <v>No</v>
      </c>
      <c r="AK38" t="str">
        <f ca="1">IFERROR(__xludf.DUMMYFUNCTION("""COMPUTED_VALUE"""),"Unsure")</f>
        <v>Unsure</v>
      </c>
      <c r="AL38" t="str">
        <f ca="1">IFERROR(__xludf.DUMMYFUNCTION("""COMPUTED_VALUE"""),"Not specific to preprints: ""Direct release of information through press releases or media briefings may preclude publication”")</f>
        <v>Not specific to preprints: "Direct release of information through press releases or media briefings may preclude publication”</v>
      </c>
      <c r="AM38" t="str">
        <f ca="1">IFERROR(__xludf.DUMMYFUNCTION("""COMPUTED_VALUE"""),"")</f>
        <v/>
      </c>
      <c r="AN38" t="str">
        <f ca="1">IFERROR(__xludf.DUMMYFUNCTION("""COMPUTED_VALUE"""),"")</f>
        <v/>
      </c>
      <c r="AO38" t="str">
        <f ca="1">IFERROR(__xludf.DUMMYFUNCTION("""COMPUTED_VALUE"""),"")</f>
        <v/>
      </c>
      <c r="AP38" s="93" t="str">
        <f ca="1">IFERROR(__xludf.DUMMYFUNCTION("""COMPUTED_VALUE"""),"Some policies general to AHA journals, copied from Circulation; Peer review: type assumed single since reviewers asked to specify COI due to author relationship - https://www.ahajournals.org/pb-assets/Ethical%20ConductPolicyApril2017finalWeb.pdf: citation"&amp;": “References must be from a full-length publication in a peer-reviewed journal.” — https://www.ahajournals.org/res/manuscript-preparation")</f>
        <v>Some policies general to AHA journals, copied from Circulation; Peer review: type assumed single since reviewers asked to specify COI due to author relationship - https://www.ahajournals.org/pb-assets/Ethical%20ConductPolicyApril2017finalWeb.pdf: citation: “References must be from a full-length publication in a peer-reviewed journal.” — https://www.ahajournals.org/res/manuscript-preparation</v>
      </c>
      <c r="AQ38" t="str">
        <f ca="1">IFERROR(__xludf.DUMMYFUNCTION("""COMPUTED_VALUE"""),"")</f>
        <v/>
      </c>
      <c r="AR38" t="str">
        <f ca="1">IFERROR(__xludf.DUMMYFUNCTION("""COMPUTED_VALUE"""),"")</f>
        <v/>
      </c>
    </row>
    <row r="39" spans="1:44" ht="13">
      <c r="A39" t="str">
        <f ca="1">IFERROR(__xludf.DUMMYFUNCTION("""COMPUTED_VALUE"""),"NP")</f>
        <v>NP</v>
      </c>
      <c r="B39" s="28">
        <f ca="1">IFERROR(__xludf.DUMMYFUNCTION("""COMPUTED_VALUE"""),43483)</f>
        <v>43483</v>
      </c>
      <c r="C39" t="str">
        <f ca="1">IFERROR(__xludf.DUMMYFUNCTION("""COMPUTED_VALUE"""),"SH")</f>
        <v>SH</v>
      </c>
      <c r="D39" s="39">
        <f ca="1">IFERROR(__xludf.DUMMYFUNCTION("""COMPUTED_VALUE"""),43570)</f>
        <v>43570</v>
      </c>
      <c r="E39" t="str">
        <f ca="1">IFERROR(__xludf.DUMMYFUNCTION("""COMPUTED_VALUE"""),"TRH")</f>
        <v>TRH</v>
      </c>
      <c r="F39" s="28">
        <f ca="1">IFERROR(__xludf.DUMMYFUNCTION("""COMPUTED_VALUE"""),43580)</f>
        <v>43580</v>
      </c>
      <c r="G39" t="str">
        <f ca="1">IFERROR(__xludf.DUMMYFUNCTION("""COMPUTED_VALUE"""),"")</f>
        <v/>
      </c>
      <c r="H39" t="str">
        <f ca="1">IFERROR(__xludf.DUMMYFUNCTION("""COMPUTED_VALUE"""),"1557-3265")</f>
        <v>1557-3265</v>
      </c>
      <c r="I39" t="str">
        <f ca="1">IFERROR(__xludf.DUMMYFUNCTION("""COMPUTED_VALUE"""),"Clinical Cancer Research")</f>
        <v>Clinical Cancer Research</v>
      </c>
      <c r="J39" t="str">
        <f ca="1">IFERROR(__xludf.DUMMYFUNCTION("""COMPUTED_VALUE"""),"")</f>
        <v/>
      </c>
      <c r="K39" t="str">
        <f ca="1">IFERROR(__xludf.DUMMYFUNCTION("""COMPUTED_VALUE"""),"American Association for Cancer Research (AACR)")</f>
        <v>American Association for Cancer Research (AACR)</v>
      </c>
      <c r="L39" t="str">
        <f ca="1">IFERROR(__xludf.DUMMYFUNCTION("""COMPUTED_VALUE"""),"Unsure")</f>
        <v>Unsure</v>
      </c>
      <c r="M39" s="93" t="str">
        <f ca="1">IFERROR(__xludf.DUMMYFUNCTION("""COMPUTED_VALUE"""),"http://aacrjournals.org/content/authors/editorial-process#peerrev")</f>
        <v>http://aacrjournals.org/content/authors/editorial-process#peerrev</v>
      </c>
      <c r="N39" t="str">
        <f ca="1">IFERROR(__xludf.DUMMYFUNCTION("""COMPUTED_VALUE"""),"")</f>
        <v/>
      </c>
      <c r="O39" s="93" t="str">
        <f ca="1">IFERROR(__xludf.DUMMYFUNCTION("""COMPUTED_VALUE"""),"http://aacrjournals.org/site/Info/Reviewers.xhtml")</f>
        <v>http://aacrjournals.org/site/Info/Reviewers.xhtml</v>
      </c>
      <c r="P39" t="str">
        <f ca="1">IFERROR(__xludf.DUMMYFUNCTION("""COMPUTED_VALUE"""),"Unsure")</f>
        <v>Unsure</v>
      </c>
      <c r="Q39" t="str">
        <f ca="1">IFERROR(__xludf.DUMMYFUNCTION("""COMPUTED_VALUE"""),"Internal: “For authors of Research Articles that have been declined for publication at an AACR journal, the AACR offers the corresponding author the option to easily transfer his or her manuscript files and supporting information, such as peer review comm"&amp;"ents and reviewer identities, to a second AACR journal of his or her choice for consideration.”")</f>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R39" s="93" t="str">
        <f ca="1">IFERROR(__xludf.DUMMYFUNCTION("""COMPUTED_VALUE"""),"http://aacrjournals.org/content/authors/manuscript-transfer")</f>
        <v>http://aacrjournals.org/content/authors/manuscript-transfer</v>
      </c>
      <c r="S39" t="str">
        <f ca="1">IFERROR(__xludf.DUMMYFUNCTION("""COMPUTED_VALUE"""),"Not specified")</f>
        <v>Not specified</v>
      </c>
      <c r="T39" t="str">
        <f ca="1">IFERROR(__xludf.DUMMYFUNCTION("""COMPUTED_VALUE"""),"Not specified")</f>
        <v>Not specified</v>
      </c>
      <c r="U39" t="str">
        <f ca="1">IFERROR(__xludf.DUMMYFUNCTION("""COMPUTED_VALUE"""),"Not specified")</f>
        <v>Not specified</v>
      </c>
      <c r="V39" t="str">
        <f ca="1">IFERROR(__xludf.DUMMYFUNCTION("""COMPUTED_VALUE"""),"Not specified")</f>
        <v>Not specified</v>
      </c>
      <c r="W39" t="str">
        <f ca="1">IFERROR(__xludf.DUMMYFUNCTION("""COMPUTED_VALUE"""),"Not specified")</f>
        <v>Not specified</v>
      </c>
      <c r="X39" t="str">
        <f ca="1">IFERROR(__xludf.DUMMYFUNCTION("""COMPUTED_VALUE"""),"Not specified")</f>
        <v>Not specified</v>
      </c>
      <c r="Y39" t="str">
        <f ca="1">IFERROR(__xludf.DUMMYFUNCTION("""COMPUTED_VALUE"""),"Not specified")</f>
        <v>Not specified</v>
      </c>
      <c r="Z39" t="str">
        <f ca="1">IFERROR(__xludf.DUMMYFUNCTION("""COMPUTED_VALUE"""),"Not specified")</f>
        <v>Not specified</v>
      </c>
      <c r="AA39" t="str">
        <f ca="1">IFERROR(__xludf.DUMMYFUNCTION("""COMPUTED_VALUE"""),"")</f>
        <v/>
      </c>
      <c r="AB39" t="str">
        <f ca="1">IFERROR(__xludf.DUMMYFUNCTION("""COMPUTED_VALUE"""),"""Please note also that if you agree to review this manuscript, the manuscript and its' contents must be kept confidential.  If you wish to have another expert co-review the manuscript with you, you must first obtain permission from the journal office.""")</f>
        <v>"Please note also that if you agree to review this manuscript, the manuscript and its' contents must be kept confidential.  If you wish to have another expert co-review the manuscript with you, you must first obtain permission from the journal office."</v>
      </c>
      <c r="AC39" s="93" t="str">
        <f ca="1">IFERROR(__xludf.DUMMYFUNCTION("""COMPUTED_VALUE"""),"https://ccr.msubmit.net/cgi-bin/main.plex?form_type=display_rev_instructions")</f>
        <v>https://ccr.msubmit.net/cgi-bin/main.plex?form_type=display_rev_instructions</v>
      </c>
      <c r="AD39" t="str">
        <f ca="1">IFERROR(__xludf.DUMMYFUNCTION("""COMPUTED_VALUE"""),"Yes")</f>
        <v>Yes</v>
      </c>
      <c r="AE39" t="str">
        <f ca="1">IFERROR(__xludf.DUMMYFUNCTION("""COMPUTED_VALUE"""),"Unsure")</f>
        <v>Unsure</v>
      </c>
      <c r="AF39" t="str">
        <f ca="1">IFERROR(__xludf.DUMMYFUNCTION("""COMPUTED_VALUE"""),"Unsure")</f>
        <v>Unsure</v>
      </c>
      <c r="AG39" s="93" t="str">
        <f ca="1">IFERROR(__xludf.DUMMYFUNCTION("""COMPUTED_VALUE"""),"http://aacrjournals.org/content/authors/editorial-policies")</f>
        <v>http://aacrjournals.org/content/authors/editorial-policies</v>
      </c>
      <c r="AH39" t="str">
        <f ca="1">IFERROR(__xludf.DUMMYFUNCTION("""COMPUTED_VALUE"""),"First submission only (before peer review)")</f>
        <v>First submission only (before peer review)</v>
      </c>
      <c r="AI39" t="str">
        <f ca="1">IFERROR(__xludf.DUMMYFUNCTION("""COMPUTED_VALUE"""),"“Posting of manuscripts on institutional websites or on recognized community preprint servers, such as bioRxiv, is permitted under our publication policy.”")</f>
        <v>“Posting of manuscripts on institutional websites or on recognized community preprint servers, such as bioRxiv, is permitted under our publication policy.”</v>
      </c>
      <c r="AJ39" t="str">
        <f ca="1">IFERROR(__xludf.DUMMYFUNCTION("""COMPUTED_VALUE"""),"Not specified")</f>
        <v>Not specified</v>
      </c>
      <c r="AK39" t="str">
        <f ca="1">IFERROR(__xludf.DUMMYFUNCTION("""COMPUTED_VALUE"""),"Unsure")</f>
        <v>Unsure</v>
      </c>
      <c r="AL39" t="str">
        <f ca="1">IFERROR(__xludf.DUMMYFUNCTION("""COMPUTED_VALUE"""),"")</f>
        <v/>
      </c>
      <c r="AM39" t="str">
        <f ca="1">IFERROR(__xludf.DUMMYFUNCTION("""COMPUTED_VALUE"""),"")</f>
        <v/>
      </c>
      <c r="AN39" t="str">
        <f ca="1">IFERROR(__xludf.DUMMYFUNCTION("""COMPUTED_VALUE"""),"")</f>
        <v/>
      </c>
      <c r="AO39" t="str">
        <f ca="1">IFERROR(__xludf.DUMMYFUNCTION("""COMPUTED_VALUE"""),"")</f>
        <v/>
      </c>
      <c r="AP39" s="93" t="str">
        <f ca="1">IFERROR(__xludf.DUMMYFUNCTION("""COMPUTED_VALUE"""),"Peer review: form mentioned but not linked at https://ccr.msubmit.net/cgi-bin/main.plex?form_type=display_rev_instructions; other URLs: http://aacrjournals.org/content/authors/editorial-policies, http://aacrjournals.org/site/Info/Reviewers.xhtml")</f>
        <v>Peer review: form mentioned but not linked at https://ccr.msubmit.net/cgi-bin/main.plex?form_type=display_rev_instructions; other URLs: http://aacrjournals.org/content/authors/editorial-policies, http://aacrjournals.org/site/Info/Reviewers.xhtml</v>
      </c>
      <c r="AQ39" t="str">
        <f ca="1">IFERROR(__xludf.DUMMYFUNCTION("""COMPUTED_VALUE"""),"")</f>
        <v/>
      </c>
      <c r="AR39" t="str">
        <f ca="1">IFERROR(__xludf.DUMMYFUNCTION("""COMPUTED_VALUE"""),"")</f>
        <v/>
      </c>
    </row>
    <row r="40" spans="1:44" ht="13">
      <c r="A40" t="str">
        <f ca="1">IFERROR(__xludf.DUMMYFUNCTION("""COMPUTED_VALUE"""),"NP")</f>
        <v>NP</v>
      </c>
      <c r="B40" s="28">
        <f ca="1">IFERROR(__xludf.DUMMYFUNCTION("""COMPUTED_VALUE"""),43483)</f>
        <v>43483</v>
      </c>
      <c r="C40" t="str">
        <f ca="1">IFERROR(__xludf.DUMMYFUNCTION("""COMPUTED_VALUE"""),"SH")</f>
        <v>SH</v>
      </c>
      <c r="D40" s="39">
        <f ca="1">IFERROR(__xludf.DUMMYFUNCTION("""COMPUTED_VALUE"""),43570)</f>
        <v>43570</v>
      </c>
      <c r="E40" t="str">
        <f ca="1">IFERROR(__xludf.DUMMYFUNCTION("""COMPUTED_VALUE"""),"TRH")</f>
        <v>TRH</v>
      </c>
      <c r="F40" s="28">
        <f ca="1">IFERROR(__xludf.DUMMYFUNCTION("""COMPUTED_VALUE"""),43580)</f>
        <v>43580</v>
      </c>
      <c r="G40" t="str">
        <f ca="1">IFERROR(__xludf.DUMMYFUNCTION("""COMPUTED_VALUE"""),"")</f>
        <v/>
      </c>
      <c r="H40" t="str">
        <f ca="1">IFERROR(__xludf.DUMMYFUNCTION("""COMPUTED_VALUE"""),"0360-1315")</f>
        <v>0360-1315</v>
      </c>
      <c r="I40" t="str">
        <f ca="1">IFERROR(__xludf.DUMMYFUNCTION("""COMPUTED_VALUE"""),"Computers &amp; Education")</f>
        <v>Computers &amp; Education</v>
      </c>
      <c r="J40" t="str">
        <f ca="1">IFERROR(__xludf.DUMMYFUNCTION("""COMPUTED_VALUE"""),"")</f>
        <v/>
      </c>
      <c r="K40" t="str">
        <f ca="1">IFERROR(__xludf.DUMMYFUNCTION("""COMPUTED_VALUE"""),"Elsevier")</f>
        <v>Elsevier</v>
      </c>
      <c r="L40" t="str">
        <f ca="1">IFERROR(__xludf.DUMMYFUNCTION("""COMPUTED_VALUE"""),"Double blind")</f>
        <v>Double blind</v>
      </c>
      <c r="M40" s="93" t="str">
        <f ca="1">IFERROR(__xludf.DUMMYFUNCTION("""COMPUTED_VALUE"""),"https://www.elsevier.com/journals/computers-and-education/0360-1315?generatepdf=true")</f>
        <v>https://www.elsevier.com/journals/computers-and-education/0360-1315?generatepdf=true</v>
      </c>
      <c r="N40" t="str">
        <f ca="1">IFERROR(__xludf.DUMMYFUNCTION("""COMPUTED_VALUE"""),"")</f>
        <v/>
      </c>
      <c r="O40" s="93" t="str">
        <f ca="1">IFERROR(__xludf.DUMMYFUNCTION("""COMPUTED_VALUE"""),"https://www.elsevier.com/reviewers/role#recognizing")</f>
        <v>https://www.elsevier.com/reviewers/role#recognizing</v>
      </c>
      <c r="P40" t="str">
        <f ca="1">IFERROR(__xludf.DUMMYFUNCTION("""COMPUTED_VALUE"""),"Unsure")</f>
        <v>Unsure</v>
      </c>
      <c r="Q40" s="93" t="str">
        <f ca="1">IFERROR(__xludf.DUMMYFUNCTION("""COMPUTED_VALUE"""),"Internal: “This journal is part of our Article Transfer Service.” - Author guide (PDF link in notes) &amp;&amp; “Elsevier authors can transfer their article submission from one journal to another for free if they are rejected, without the need to reformat, and of"&amp;"ten without needing further peer review. For this reason, reviewers are informed about the service and are asked for their consent for transferring their review report along with the manuscript to the receiver journal. Reviewers are given the option to re"&amp;"veal their identity to the editor of the receiver journal or stay anonymous.”")</f>
        <v>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v>
      </c>
      <c r="R40" s="93" t="str">
        <f ca="1">IFERROR(__xludf.DUMMYFUNCTION("""COMPUTED_VALUE"""),"https://www.elsevier.com/reviewers/what-is-peer-review")</f>
        <v>https://www.elsevier.com/reviewers/what-is-peer-review</v>
      </c>
      <c r="S40" t="str">
        <f ca="1">IFERROR(__xludf.DUMMYFUNCTION("""COMPUTED_VALUE"""),"Not specified")</f>
        <v>Not specified</v>
      </c>
      <c r="T40" t="str">
        <f ca="1">IFERROR(__xludf.DUMMYFUNCTION("""COMPUTED_VALUE"""),"Not specified")</f>
        <v>Not specified</v>
      </c>
      <c r="U40" t="str">
        <f ca="1">IFERROR(__xludf.DUMMYFUNCTION("""COMPUTED_VALUE"""),"Not specified")</f>
        <v>Not specified</v>
      </c>
      <c r="V40" t="str">
        <f ca="1">IFERROR(__xludf.DUMMYFUNCTION("""COMPUTED_VALUE"""),"Not specified")</f>
        <v>Not specified</v>
      </c>
      <c r="W40" t="str">
        <f ca="1">IFERROR(__xludf.DUMMYFUNCTION("""COMPUTED_VALUE"""),"Not specified")</f>
        <v>Not specified</v>
      </c>
      <c r="X40" t="str">
        <f ca="1">IFERROR(__xludf.DUMMYFUNCTION("""COMPUTED_VALUE"""),"Not specified")</f>
        <v>Not specified</v>
      </c>
      <c r="Y40" t="str">
        <f ca="1">IFERROR(__xludf.DUMMYFUNCTION("""COMPUTED_VALUE"""),"Not specified")</f>
        <v>Not specified</v>
      </c>
      <c r="Z40" t="str">
        <f ca="1">IFERROR(__xludf.DUMMYFUNCTION("""COMPUTED_VALUE"""),"Not specified")</f>
        <v>Not specified</v>
      </c>
      <c r="AA40" t="str">
        <f ca="1">IFERROR(__xludf.DUMMYFUNCTION("""COMPUTED_VALUE"""),"")</f>
        <v/>
      </c>
      <c r="AB40" t="str">
        <f ca="1">IFERROR(__xludf.DUMMYFUNCTION("""COMPUTED_VALUE"""),"")</f>
        <v/>
      </c>
      <c r="AC40" t="str">
        <f ca="1">IFERROR(__xludf.DUMMYFUNCTION("""COMPUTED_VALUE"""),"")</f>
        <v/>
      </c>
      <c r="AD40" t="str">
        <f ca="1">IFERROR(__xludf.DUMMYFUNCTION("""COMPUTED_VALUE"""),"Unsure")</f>
        <v>Unsure</v>
      </c>
      <c r="AE40" t="str">
        <f ca="1">IFERROR(__xludf.DUMMYFUNCTION("""COMPUTED_VALUE"""),"Unsure")</f>
        <v>Unsure</v>
      </c>
      <c r="AF40" t="str">
        <f ca="1">IFERROR(__xludf.DUMMYFUNCTION("""COMPUTED_VALUE"""),"Unsure")</f>
        <v>Unsure</v>
      </c>
      <c r="AG40" s="93" t="str">
        <f ca="1">IFERROR(__xludf.DUMMYFUNCTION("""COMPUTED_VALUE"""),"https://www.elsevier.com/journals/computers-and-education/0360-1315?generatepdf=true")</f>
        <v>https://www.elsevier.com/journals/computers-and-education/0360-1315?generatepdf=true</v>
      </c>
      <c r="AH40" t="str">
        <f ca="1">IFERROR(__xludf.DUMMYFUNCTION("""COMPUTED_VALUE"""),"Any")</f>
        <v>Any</v>
      </c>
      <c r="AI40" t="str">
        <f ca="1">IFERROR(__xludf.DUMMYFUNCTION("""COMPUTED_VALUE"""),"“Authors can share their preprint anywhere at any time, in line with Elsevier's sharing policy..”, From sharing policy: ""Authors can update their preprints on arXiv or RePEc with their accepted manuscript ."" https://www.elsevier.com/about/policies/shari"&amp;"ng")</f>
        <v>“Authors can share their preprint anywhere at any time, in line with Elsevier's sharing policy..”, From sharing policy: "Authors can update their preprints on arXiv or RePEc with their accepted manuscript ." https://www.elsevier.com/about/policies/sharing</v>
      </c>
      <c r="AJ40" t="str">
        <f ca="1">IFERROR(__xludf.DUMMYFUNCTION("""COMPUTED_VALUE"""),"Yes, but only in the text (not the reference list)")</f>
        <v>Yes, but only in the text (not the reference list)</v>
      </c>
      <c r="AK40" t="str">
        <f ca="1">IFERROR(__xludf.DUMMYFUNCTION("""COMPUTED_VALUE"""),"Unsure")</f>
        <v>Unsure</v>
      </c>
      <c r="AL40" t="str">
        <f ca="1">IFERROR(__xludf.DUMMYFUNCTION("""COMPUTED_VALUE"""),"")</f>
        <v/>
      </c>
      <c r="AM40" t="str">
        <f ca="1">IFERROR(__xludf.DUMMYFUNCTION("""COMPUTED_VALUE"""),"")</f>
        <v/>
      </c>
      <c r="AN40" t="str">
        <f ca="1">IFERROR(__xludf.DUMMYFUNCTION("""COMPUTED_VALUE"""),"")</f>
        <v/>
      </c>
      <c r="AO40" t="str">
        <f ca="1">IFERROR(__xludf.DUMMYFUNCTION("""COMPUTED_VALUE"""),"")</f>
        <v/>
      </c>
      <c r="AP40" s="93" t="str">
        <f ca="1">IFERROR(__xludf.DUMMYFUNCTION("""COMPUTED_VALUE"""),"https://www.elsevier.com/journals/computers-and-education/0360-1315/guide-for-authors; Preprint: “Authors can update their preprints on arXiv or RePEc with their accepted manuscript”, “Unpublished results and personal communications are not recommended in"&amp;" the reference list, but may be mentioned in the text.”")</f>
        <v>https://www.elsevier.com/journals/computers-and-education/0360-1315/guide-for-authors; Preprint: “Authors can update their preprints on arXiv or RePEc with their accepted manuscript”, “Unpublished results and personal communications are not recommended in the reference list, but may be mentioned in the text.”</v>
      </c>
      <c r="AQ40" t="str">
        <f ca="1">IFERROR(__xludf.DUMMYFUNCTION("""COMPUTED_VALUE"""),"")</f>
        <v/>
      </c>
      <c r="AR40" t="str">
        <f ca="1">IFERROR(__xludf.DUMMYFUNCTION("""COMPUTED_VALUE"""),"")</f>
        <v/>
      </c>
    </row>
    <row r="41" spans="1:44" ht="13">
      <c r="A41" t="str">
        <f ca="1">IFERROR(__xludf.DUMMYFUNCTION("""COMPUTED_VALUE"""),"NP")</f>
        <v>NP</v>
      </c>
      <c r="B41" s="28">
        <f ca="1">IFERROR(__xludf.DUMMYFUNCTION("""COMPUTED_VALUE"""),43483)</f>
        <v>43483</v>
      </c>
      <c r="C41" t="str">
        <f ca="1">IFERROR(__xludf.DUMMYFUNCTION("""COMPUTED_VALUE"""),"SH")</f>
        <v>SH</v>
      </c>
      <c r="D41" s="39">
        <f ca="1">IFERROR(__xludf.DUMMYFUNCTION("""COMPUTED_VALUE"""),43570)</f>
        <v>43570</v>
      </c>
      <c r="E41" t="str">
        <f ca="1">IFERROR(__xludf.DUMMYFUNCTION("""COMPUTED_VALUE"""),"TRH")</f>
        <v>TRH</v>
      </c>
      <c r="F41" s="28">
        <f ca="1">IFERROR(__xludf.DUMMYFUNCTION("""COMPUTED_VALUE"""),43580)</f>
        <v>43580</v>
      </c>
      <c r="G41" t="str">
        <f ca="1">IFERROR(__xludf.DUMMYFUNCTION("""COMPUTED_VALUE"""),"")</f>
        <v/>
      </c>
      <c r="H41" t="str">
        <f ca="1">IFERROR(__xludf.DUMMYFUNCTION("""COMPUTED_VALUE"""),"1935-5548")</f>
        <v>1935-5548</v>
      </c>
      <c r="I41" t="str">
        <f ca="1">IFERROR(__xludf.DUMMYFUNCTION("""COMPUTED_VALUE"""),"Diabetes Care")</f>
        <v>Diabetes Care</v>
      </c>
      <c r="J41" t="str">
        <f ca="1">IFERROR(__xludf.DUMMYFUNCTION("""COMPUTED_VALUE"""),"")</f>
        <v/>
      </c>
      <c r="K41" t="str">
        <f ca="1">IFERROR(__xludf.DUMMYFUNCTION("""COMPUTED_VALUE"""),"American Diabetes Association (ADA)")</f>
        <v>American Diabetes Association (ADA)</v>
      </c>
      <c r="L41" t="str">
        <f ca="1">IFERROR(__xludf.DUMMYFUNCTION("""COMPUTED_VALUE"""),"Single blind")</f>
        <v>Single blind</v>
      </c>
      <c r="M41" s="93" t="str">
        <f ca="1">IFERROR(__xludf.DUMMYFUNCTION("""COMPUTED_VALUE"""),"http://www.diabetesjournals.org/content/journal-policies#peerreview")</f>
        <v>http://www.diabetesjournals.org/content/journal-policies#peerreview</v>
      </c>
      <c r="N41" t="str">
        <f ca="1">IFERROR(__xludf.DUMMYFUNCTION("""COMPUTED_VALUE"""),"")</f>
        <v/>
      </c>
      <c r="O41" s="93" t="str">
        <f ca="1">IFERROR(__xludf.DUMMYFUNCTION("""COMPUTED_VALUE"""),"http://www.diabetesjournals.org/for-reviewers")</f>
        <v>http://www.diabetesjournals.org/for-reviewers</v>
      </c>
      <c r="P41" t="str">
        <f ca="1">IFERROR(__xludf.DUMMYFUNCTION("""COMPUTED_VALUE"""),"Unsure")</f>
        <v>Unsure</v>
      </c>
      <c r="Q41" t="str">
        <f ca="1">IFERROR(__xludf.DUMMYFUNCTION("""COMPUTED_VALUE"""),"")</f>
        <v/>
      </c>
      <c r="R41" t="str">
        <f ca="1">IFERROR(__xludf.DUMMYFUNCTION("""COMPUTED_VALUE"""),"")</f>
        <v/>
      </c>
      <c r="S41" t="str">
        <f ca="1">IFERROR(__xludf.DUMMYFUNCTION("""COMPUTED_VALUE"""),"Not specified")</f>
        <v>Not specified</v>
      </c>
      <c r="T41" t="str">
        <f ca="1">IFERROR(__xludf.DUMMYFUNCTION("""COMPUTED_VALUE"""),"Not specified")</f>
        <v>Not specified</v>
      </c>
      <c r="U41" t="str">
        <f ca="1">IFERROR(__xludf.DUMMYFUNCTION("""COMPUTED_VALUE"""),"Not specified")</f>
        <v>Not specified</v>
      </c>
      <c r="V41" t="str">
        <f ca="1">IFERROR(__xludf.DUMMYFUNCTION("""COMPUTED_VALUE"""),"Not specified")</f>
        <v>Not specified</v>
      </c>
      <c r="W41" t="str">
        <f ca="1">IFERROR(__xludf.DUMMYFUNCTION("""COMPUTED_VALUE"""),"Not specified")</f>
        <v>Not specified</v>
      </c>
      <c r="X41" t="str">
        <f ca="1">IFERROR(__xludf.DUMMYFUNCTION("""COMPUTED_VALUE"""),"Not specified")</f>
        <v>Not specified</v>
      </c>
      <c r="Y41" t="str">
        <f ca="1">IFERROR(__xludf.DUMMYFUNCTION("""COMPUTED_VALUE"""),"Not specified")</f>
        <v>Not specified</v>
      </c>
      <c r="Z41" t="str">
        <f ca="1">IFERROR(__xludf.DUMMYFUNCTION("""COMPUTED_VALUE"""),"Not specified")</f>
        <v>Not specified</v>
      </c>
      <c r="AA41" t="str">
        <f ca="1">IFERROR(__xludf.DUMMYFUNCTION("""COMPUTED_VALUE"""),"")</f>
        <v/>
      </c>
      <c r="AB41" t="str">
        <f ca="1">IFERROR(__xludf.DUMMYFUNCTION("""COMPUTED_VALUE"""),"""Manuscripts under review are strictly confidential. To protect the authors’ work as well as your anonymity, communications regarding the manuscript and its parts, including the abstract, may not be shared for any reason. Further, according to COPE guide"&amp;"lines, reviewers must refrain from using information obtained from the peer review process in any way and should not involve anyone else in the review of a manuscript without first obtaining permission from the journal.""")</f>
        <v>"Manuscripts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v>
      </c>
      <c r="AC41" s="93" t="str">
        <f ca="1">IFERROR(__xludf.DUMMYFUNCTION("""COMPUTED_VALUE"""),"http://www.diabetesjournals.org/for-reviewers")</f>
        <v>http://www.diabetesjournals.org/for-reviewers</v>
      </c>
      <c r="AD41" t="str">
        <f ca="1">IFERROR(__xludf.DUMMYFUNCTION("""COMPUTED_VALUE"""),"Unsure")</f>
        <v>Unsure</v>
      </c>
      <c r="AE41" t="str">
        <f ca="1">IFERROR(__xludf.DUMMYFUNCTION("""COMPUTED_VALUE"""),"Unsure")</f>
        <v>Unsure</v>
      </c>
      <c r="AF41" t="str">
        <f ca="1">IFERROR(__xludf.DUMMYFUNCTION("""COMPUTED_VALUE"""),"Unsure")</f>
        <v>Unsure</v>
      </c>
      <c r="AG41" s="93" t="str">
        <f ca="1">IFERROR(__xludf.DUMMYFUNCTION("""COMPUTED_VALUE"""),"http://www.diabetesjournals.org/content/journal-policies#originality")</f>
        <v>http://www.diabetesjournals.org/content/journal-policies#originality</v>
      </c>
      <c r="AH41" t="str">
        <f ca="1">IFERROR(__xludf.DUMMYFUNCTION("""COMPUTED_VALUE"""),"Unsure (preprints are allowed, but it's not clear what version)")</f>
        <v>Unsure (preprints are allowed, but it's not clear what version)</v>
      </c>
      <c r="AI41" t="str">
        <f ca="1">IFERROR(__xludf.DUMMYFUNCTION("""COMPUTED_VALUE"""),"“ADA does not consider previous presentation of a study at a meeting, previous publication of an abstract affiliated with the proceedings of meetings, or prior posting of a study on a recognized preprint server (e.g., bioRxiv) to constitute prior publicat"&amp;"ion. To be clear, ADA journals will still consider papers for publication if they are previously presented in these formats.”")</f>
        <v>“ADA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v>
      </c>
      <c r="AJ41" t="str">
        <f ca="1">IFERROR(__xludf.DUMMYFUNCTION("""COMPUTED_VALUE"""),"Not specified")</f>
        <v>Not specified</v>
      </c>
      <c r="AK41" t="str">
        <f ca="1">IFERROR(__xludf.DUMMYFUNCTION("""COMPUTED_VALUE"""),"Unsure")</f>
        <v>Unsure</v>
      </c>
      <c r="AL41" s="93" t="str">
        <f ca="1">IFERROR(__xludf.DUMMYFUNCTION("""COMPUTED_VALUE"""),"""If you are interested in reporting on a Diabetes Care article published online ahead of print, please specify in your news release that you are reporting on a preprint version of a study that is scheduled to be published in a future issue of Diabetes Ca"&amp;"re, currently available online at care.diabetesjournals.org/content/early/recent."" — http://care.diabetesjournals.org/content/instructions-for-authors#media")</f>
        <v>"If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v>
      </c>
      <c r="AM41" t="str">
        <f ca="1">IFERROR(__xludf.DUMMYFUNCTION("""COMPUTED_VALUE"""),"")</f>
        <v/>
      </c>
      <c r="AN41" t="str">
        <f ca="1">IFERROR(__xludf.DUMMYFUNCTION("""COMPUTED_VALUE"""),"")</f>
        <v/>
      </c>
      <c r="AO41" t="str">
        <f ca="1">IFERROR(__xludf.DUMMYFUNCTION("""COMPUTED_VALUE"""),"")</f>
        <v/>
      </c>
      <c r="AP41" t="str">
        <f ca="1">IFERROR(__xludf.DUMMYFUNCTION("""COMPUTED_VALUE"""),"")</f>
        <v/>
      </c>
      <c r="AQ41" t="str">
        <f ca="1">IFERROR(__xludf.DUMMYFUNCTION("""COMPUTED_VALUE"""),"")</f>
        <v/>
      </c>
      <c r="AR41" t="str">
        <f ca="1">IFERROR(__xludf.DUMMYFUNCTION("""COMPUTED_VALUE"""),"")</f>
        <v/>
      </c>
    </row>
    <row r="42" spans="1:44" ht="13">
      <c r="A42" t="str">
        <f ca="1">IFERROR(__xludf.DUMMYFUNCTION("""COMPUTED_VALUE"""),"NP")</f>
        <v>NP</v>
      </c>
      <c r="B42" s="28">
        <f ca="1">IFERROR(__xludf.DUMMYFUNCTION("""COMPUTED_VALUE"""),43483)</f>
        <v>43483</v>
      </c>
      <c r="C42" t="str">
        <f ca="1">IFERROR(__xludf.DUMMYFUNCTION("""COMPUTED_VALUE"""),"SH")</f>
        <v>SH</v>
      </c>
      <c r="D42" s="39">
        <f ca="1">IFERROR(__xludf.DUMMYFUNCTION("""COMPUTED_VALUE"""),43570)</f>
        <v>43570</v>
      </c>
      <c r="E42" t="str">
        <f ca="1">IFERROR(__xludf.DUMMYFUNCTION("""COMPUTED_VALUE"""),"TRH")</f>
        <v>TRH</v>
      </c>
      <c r="F42" s="28">
        <f ca="1">IFERROR(__xludf.DUMMYFUNCTION("""COMPUTED_VALUE"""),43580)</f>
        <v>43580</v>
      </c>
      <c r="G42" t="str">
        <f ca="1">IFERROR(__xludf.DUMMYFUNCTION("""COMPUTED_VALUE"""),"")</f>
        <v/>
      </c>
      <c r="H42" t="str">
        <f ca="1">IFERROR(__xludf.DUMMYFUNCTION("""COMPUTED_VALUE"""),"2167-082X")</f>
        <v>2167-082X</v>
      </c>
      <c r="I42" t="str">
        <f ca="1">IFERROR(__xludf.DUMMYFUNCTION("""COMPUTED_VALUE"""),"Digital Journalism")</f>
        <v>Digital Journalism</v>
      </c>
      <c r="J42" t="str">
        <f ca="1">IFERROR(__xludf.DUMMYFUNCTION("""COMPUTED_VALUE"""),"Humanities, Literature &amp; Arts")</f>
        <v>Humanities, Literature &amp; Arts</v>
      </c>
      <c r="K42" t="str">
        <f ca="1">IFERROR(__xludf.DUMMYFUNCTION("""COMPUTED_VALUE"""),"Taylor &amp; Francis")</f>
        <v>Taylor &amp; Francis</v>
      </c>
      <c r="L42" t="str">
        <f ca="1">IFERROR(__xludf.DUMMYFUNCTION("""COMPUTED_VALUE"""),"Double blind")</f>
        <v>Double blind</v>
      </c>
      <c r="M42" s="93" t="str">
        <f ca="1">IFERROR(__xludf.DUMMYFUNCTION("""COMPUTED_VALUE"""),"https://www.tandfonline.com/action/authorSubmission?journalCode=rdij20&amp;page=instructions#Peer_review")</f>
        <v>https://www.tandfonline.com/action/authorSubmission?journalCode=rdij20&amp;page=instructions#Peer_review</v>
      </c>
      <c r="N42" t="str">
        <f ca="1">IFERROR(__xludf.DUMMYFUNCTION("""COMPUTED_VALUE"""),"")</f>
        <v/>
      </c>
      <c r="O42" t="str">
        <f ca="1">IFERROR(__xludf.DUMMYFUNCTION("""COMPUTED_VALUE"""),"")</f>
        <v/>
      </c>
      <c r="P42" t="str">
        <f ca="1">IFERROR(__xludf.DUMMYFUNCTION("""COMPUTED_VALUE"""),"Unsure")</f>
        <v>Unsure</v>
      </c>
      <c r="Q42" t="str">
        <f ca="1">IFERROR(__xludf.DUMMYFUNCTION("""COMPUTED_VALUE"""),"")</f>
        <v/>
      </c>
      <c r="R42" t="str">
        <f ca="1">IFERROR(__xludf.DUMMYFUNCTION("""COMPUTED_VALUE"""),"")</f>
        <v/>
      </c>
      <c r="S42" t="str">
        <f ca="1">IFERROR(__xludf.DUMMYFUNCTION("""COMPUTED_VALUE"""),"Not specified")</f>
        <v>Not specified</v>
      </c>
      <c r="T42" t="str">
        <f ca="1">IFERROR(__xludf.DUMMYFUNCTION("""COMPUTED_VALUE"""),"Not specified")</f>
        <v>Not specified</v>
      </c>
      <c r="U42" t="str">
        <f ca="1">IFERROR(__xludf.DUMMYFUNCTION("""COMPUTED_VALUE"""),"Not specified")</f>
        <v>Not specified</v>
      </c>
      <c r="V42" t="str">
        <f ca="1">IFERROR(__xludf.DUMMYFUNCTION("""COMPUTED_VALUE"""),"Not specified")</f>
        <v>Not specified</v>
      </c>
      <c r="W42" t="str">
        <f ca="1">IFERROR(__xludf.DUMMYFUNCTION("""COMPUTED_VALUE"""),"Not specified")</f>
        <v>Not specified</v>
      </c>
      <c r="X42" t="str">
        <f ca="1">IFERROR(__xludf.DUMMYFUNCTION("""COMPUTED_VALUE"""),"Not specified")</f>
        <v>Not specified</v>
      </c>
      <c r="Y42" t="str">
        <f ca="1">IFERROR(__xludf.DUMMYFUNCTION("""COMPUTED_VALUE"""),"Not specified")</f>
        <v>Not specified</v>
      </c>
      <c r="Z42" t="str">
        <f ca="1">IFERROR(__xludf.DUMMYFUNCTION("""COMPUTED_VALUE"""),"Not specified")</f>
        <v>Not specified</v>
      </c>
      <c r="AA42" t="str">
        <f ca="1">IFERROR(__xludf.DUMMYFUNCTION("""COMPUTED_VALUE"""),"")</f>
        <v/>
      </c>
      <c r="AB42" t="str">
        <f ca="1">IFERROR(__xludf.DUMMYFUNCTION("""COMPUTED_VALUE"""),"")</f>
        <v/>
      </c>
      <c r="AC42" t="str">
        <f ca="1">IFERROR(__xludf.DUMMYFUNCTION("""COMPUTED_VALUE"""),"")</f>
        <v/>
      </c>
      <c r="AD42" t="str">
        <f ca="1">IFERROR(__xludf.DUMMYFUNCTION("""COMPUTED_VALUE"""),"Unsure")</f>
        <v>Unsure</v>
      </c>
      <c r="AE42" t="str">
        <f ca="1">IFERROR(__xludf.DUMMYFUNCTION("""COMPUTED_VALUE"""),"Unsure")</f>
        <v>Unsure</v>
      </c>
      <c r="AF42" t="str">
        <f ca="1">IFERROR(__xludf.DUMMYFUNCTION("""COMPUTED_VALUE"""),"Unsure")</f>
        <v>Unsure</v>
      </c>
      <c r="AG42" t="str">
        <f ca="1">IFERROR(__xludf.DUMMYFUNCTION("""COMPUTED_VALUE"""),"")</f>
        <v/>
      </c>
      <c r="AH42" t="str">
        <f ca="1">IFERROR(__xludf.DUMMYFUNCTION("""COMPUTED_VALUE"""),"No preprint policy")</f>
        <v>No preprint policy</v>
      </c>
      <c r="AI42" t="str">
        <f ca="1">IFERROR(__xludf.DUMMYFUNCTION("""COMPUTED_VALUE"""),"")</f>
        <v/>
      </c>
      <c r="AJ42" t="str">
        <f ca="1">IFERROR(__xludf.DUMMYFUNCTION("""COMPUTED_VALUE"""),"")</f>
        <v/>
      </c>
      <c r="AK42" t="str">
        <f ca="1">IFERROR(__xludf.DUMMYFUNCTION("""COMPUTED_VALUE"""),"Unsure")</f>
        <v>Unsure</v>
      </c>
      <c r="AL42" t="str">
        <f ca="1">IFERROR(__xludf.DUMMYFUNCTION("""COMPUTED_VALUE"""),"")</f>
        <v/>
      </c>
      <c r="AM42" t="str">
        <f ca="1">IFERROR(__xludf.DUMMYFUNCTION("""COMPUTED_VALUE"""),"")</f>
        <v/>
      </c>
      <c r="AN42" t="str">
        <f ca="1">IFERROR(__xludf.DUMMYFUNCTION("""COMPUTED_VALUE"""),"")</f>
        <v/>
      </c>
      <c r="AO42" t="str">
        <f ca="1">IFERROR(__xludf.DUMMYFUNCTION("""COMPUTED_VALUE"""),"")</f>
        <v/>
      </c>
      <c r="AP42" s="93" t="str">
        <f ca="1">IFERROR(__xludf.DUMMYFUNCTION("""COMPUTED_VALUE"""),"Very little explicit policy information found; readers instructed to find peer review policy in the aims &amp; scope section but all this says is ""All articles in Digital Journalism have undergone rigorous peer review, based on initial editor screening and a"&amp;"nonymised refereeing by two anonymous referees.”; Instructions for authors: https://www.tandfonline.com/action/authorSubmission?show=instructions&amp;journalCode=rdij20 -- no guidance on preprints; no info in https://authorservices.taylorandfrancis.com/what-t"&amp;"o-expect-during-peer-review/ or")</f>
        <v>Very little explicit policy information found; readers instructed to find peer review policy in the aims &amp; scope section but all this says is "All articles in Digital Journalism have undergone rigorous peer review, based on initial editor screening and anonymised refereeing by two anonymous referees.”; Instructions for authors: https://www.tandfonline.com/action/authorSubmission?show=instructions&amp;journalCode=rdij20 -- no guidance on preprints; no info in https://authorservices.taylorandfrancis.com/what-to-expect-during-peer-review/ or</v>
      </c>
      <c r="AQ42" t="str">
        <f ca="1">IFERROR(__xludf.DUMMYFUNCTION("""COMPUTED_VALUE"""),"")</f>
        <v/>
      </c>
      <c r="AR42" t="str">
        <f ca="1">IFERROR(__xludf.DUMMYFUNCTION("""COMPUTED_VALUE"""),"")</f>
        <v/>
      </c>
    </row>
    <row r="43" spans="1:44" ht="13">
      <c r="A43" t="str">
        <f ca="1">IFERROR(__xludf.DUMMYFUNCTION("""COMPUTED_VALUE"""),"NP")</f>
        <v>NP</v>
      </c>
      <c r="B43" s="28">
        <f ca="1">IFERROR(__xludf.DUMMYFUNCTION("""COMPUTED_VALUE"""),43483)</f>
        <v>43483</v>
      </c>
      <c r="C43" t="str">
        <f ca="1">IFERROR(__xludf.DUMMYFUNCTION("""COMPUTED_VALUE"""),"GMD")</f>
        <v>GMD</v>
      </c>
      <c r="D43" s="28">
        <f ca="1">IFERROR(__xludf.DUMMYFUNCTION("""COMPUTED_VALUE"""),43579)</f>
        <v>43579</v>
      </c>
      <c r="E43" t="str">
        <f ca="1">IFERROR(__xludf.DUMMYFUNCTION("""COMPUTED_VALUE"""),"JP")</f>
        <v>JP</v>
      </c>
      <c r="F43" s="28">
        <f ca="1">IFERROR(__xludf.DUMMYFUNCTION("""COMPUTED_VALUE"""),43583)</f>
        <v>43583</v>
      </c>
      <c r="G43" t="str">
        <f ca="1">IFERROR(__xludf.DUMMYFUNCTION("""COMPUTED_VALUE"""),"Added note about prior publication in preprint policy")</f>
        <v>Added note about prior publication in preprint policy</v>
      </c>
      <c r="H43" t="str">
        <f ca="1">IFERROR(__xludf.DUMMYFUNCTION("""COMPUTED_VALUE"""),"1468-0262")</f>
        <v>1468-0262</v>
      </c>
      <c r="I43" t="str">
        <f ca="1">IFERROR(__xludf.DUMMYFUNCTION("""COMPUTED_VALUE"""),"Econometrica")</f>
        <v>Econometrica</v>
      </c>
      <c r="J43" t="str">
        <f ca="1">IFERROR(__xludf.DUMMYFUNCTION("""COMPUTED_VALUE"""),"Business, Economics &amp; Management")</f>
        <v>Business, Economics &amp; Management</v>
      </c>
      <c r="K43" t="str">
        <f ca="1">IFERROR(__xludf.DUMMYFUNCTION("""COMPUTED_VALUE"""),"Wiley (for the Econometric Society)")</f>
        <v>Wiley (for the Econometric Society)</v>
      </c>
      <c r="L43" t="str">
        <f ca="1">IFERROR(__xludf.DUMMYFUNCTION("""COMPUTED_VALUE"""),"Unsure")</f>
        <v>Unsure</v>
      </c>
      <c r="M43" s="93" t="str">
        <f ca="1">IFERROR(__xludf.DUMMYFUNCTION("""COMPUTED_VALUE"""),"https://www.econometricsociety.org/publications/econometrica/information-authors/editorial-procedures-and-policies#reviewprocess")</f>
        <v>https://www.econometricsociety.org/publications/econometrica/information-authors/editorial-procedures-and-policies#reviewprocess</v>
      </c>
      <c r="N43" t="str">
        <f ca="1">IFERROR(__xludf.DUMMYFUNCTION("""COMPUTED_VALUE"""),"")</f>
        <v/>
      </c>
      <c r="O43" t="str">
        <f ca="1">IFERROR(__xludf.DUMMYFUNCTION("""COMPUTED_VALUE"""),"")</f>
        <v/>
      </c>
      <c r="P43" t="str">
        <f ca="1">IFERROR(__xludf.DUMMYFUNCTION("""COMPUTED_VALUE"""),"Unsure")</f>
        <v>Unsure</v>
      </c>
      <c r="Q43" t="str">
        <f ca="1">IFERROR(__xludf.DUMMYFUNCTION("""COMPUTED_VALUE"""),"Internal: “If an Econometric Society journal forwards to us a request from an author to transfer the editorial file of an Econometrica submission (listing our reference number for the submission and the title), we will send the material to the journal, i."&amp;"e., (i) the referee reports; (ii) decision letter; and - with the additional permission of individual referees - (iii) referees' names and (iv) cover letters. We ask the journals to honor our
 ""conflict of interest"" policies saying that referee reports "&amp;"on an author's paper should not be seen by co-editors”")</f>
        <v>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v>
      </c>
      <c r="R43" s="93" t="str">
        <f ca="1">IFERROR(__xludf.DUMMYFUNCTION("""COMPUTED_VALUE"""),"https://www.econometricsociety.org/publications/econometrica/information-authors/editorial-procedures-and-policies#sharing")</f>
        <v>https://www.econometricsociety.org/publications/econometrica/information-authors/editorial-procedures-and-policies#sharing</v>
      </c>
      <c r="S43" t="str">
        <f ca="1">IFERROR(__xludf.DUMMYFUNCTION("""COMPUTED_VALUE"""),"Not specified")</f>
        <v>Not specified</v>
      </c>
      <c r="T43" t="str">
        <f ca="1">IFERROR(__xludf.DUMMYFUNCTION("""COMPUTED_VALUE"""),"Not specified")</f>
        <v>Not specified</v>
      </c>
      <c r="U43" t="str">
        <f ca="1">IFERROR(__xludf.DUMMYFUNCTION("""COMPUTED_VALUE"""),"Not specified")</f>
        <v>Not specified</v>
      </c>
      <c r="V43" t="str">
        <f ca="1">IFERROR(__xludf.DUMMYFUNCTION("""COMPUTED_VALUE"""),"Not specified")</f>
        <v>Not specified</v>
      </c>
      <c r="W43" t="str">
        <f ca="1">IFERROR(__xludf.DUMMYFUNCTION("""COMPUTED_VALUE"""),"Not specified")</f>
        <v>Not specified</v>
      </c>
      <c r="X43" t="str">
        <f ca="1">IFERROR(__xludf.DUMMYFUNCTION("""COMPUTED_VALUE"""),"Not specified")</f>
        <v>Not specified</v>
      </c>
      <c r="Y43" t="str">
        <f ca="1">IFERROR(__xludf.DUMMYFUNCTION("""COMPUTED_VALUE"""),"Not specified")</f>
        <v>Not specified</v>
      </c>
      <c r="Z43" t="str">
        <f ca="1">IFERROR(__xludf.DUMMYFUNCTION("""COMPUTED_VALUE"""),"Not specified")</f>
        <v>Not specified</v>
      </c>
      <c r="AA43" t="str">
        <f ca="1">IFERROR(__xludf.DUMMYFUNCTION("""COMPUTED_VALUE"""),"Not specified")</f>
        <v>Not specified</v>
      </c>
      <c r="AB43" t="str">
        <f ca="1">IFERROR(__xludf.DUMMYFUNCTION("""COMPUTED_VALUE"""),"Not specified")</f>
        <v>Not specified</v>
      </c>
      <c r="AC43" t="str">
        <f ca="1">IFERROR(__xludf.DUMMYFUNCTION("""COMPUTED_VALUE"""),"")</f>
        <v/>
      </c>
      <c r="AD43" t="str">
        <f ca="1">IFERROR(__xludf.DUMMYFUNCTION("""COMPUTED_VALUE"""),"Unsure")</f>
        <v>Unsure</v>
      </c>
      <c r="AE43" t="str">
        <f ca="1">IFERROR(__xludf.DUMMYFUNCTION("""COMPUTED_VALUE"""),"Unsure")</f>
        <v>Unsure</v>
      </c>
      <c r="AF43" t="str">
        <f ca="1">IFERROR(__xludf.DUMMYFUNCTION("""COMPUTED_VALUE"""),"Unsure")</f>
        <v>Unsure</v>
      </c>
      <c r="AG43" s="93" t="str">
        <f ca="1">IFERROR(__xludf.DUMMYFUNCTION("""COMPUTED_VALUE"""),"https://www.econometricsociety.org/publications/econometrica/information-authors/editorial-procedures-and-policies#priorpublication")</f>
        <v>https://www.econometricsociety.org/publications/econometrica/information-authors/editorial-procedures-and-policies#priorpublication</v>
      </c>
      <c r="AH43" t="str">
        <f ca="1">IFERROR(__xludf.DUMMYFUNCTION("""COMPUTED_VALUE"""),"Other (references prior publication, but not preprints specifically; ""in any case this will be decided on a case-by-case basis"")")</f>
        <v>Other (references prior publication, but not preprints specifically; "in any case this will be decided on a case-by-case basis")</v>
      </c>
      <c r="AI43" t="str">
        <f ca="1">IFERROR(__xludf.DUMMYFUNCTION("""COMPUTED_VALUE"""),"")</f>
        <v/>
      </c>
      <c r="AJ43" t="str">
        <f ca="1">IFERROR(__xludf.DUMMYFUNCTION("""COMPUTED_VALUE"""),"Not specified")</f>
        <v>Not specified</v>
      </c>
      <c r="AK43" t="str">
        <f ca="1">IFERROR(__xludf.DUMMYFUNCTION("""COMPUTED_VALUE"""),"Unsure")</f>
        <v>Unsure</v>
      </c>
      <c r="AL43" t="str">
        <f ca="1">IFERROR(__xludf.DUMMYFUNCTION("""COMPUTED_VALUE"""),"")</f>
        <v/>
      </c>
      <c r="AM43" t="str">
        <f ca="1">IFERROR(__xludf.DUMMYFUNCTION("""COMPUTED_VALUE"""),"")</f>
        <v/>
      </c>
      <c r="AN43" t="str">
        <f ca="1">IFERROR(__xludf.DUMMYFUNCTION("""COMPUTED_VALUE"""),"")</f>
        <v/>
      </c>
      <c r="AO43" t="str">
        <f ca="1">IFERROR(__xludf.DUMMYFUNCTION("""COMPUTED_VALUE"""),"")</f>
        <v/>
      </c>
      <c r="AP43" t="str">
        <f ca="1">IFERROR(__xludf.DUMMYFUNCTION("""COMPUTED_VALUE"""),"")</f>
        <v/>
      </c>
      <c r="AQ43" t="str">
        <f ca="1">IFERROR(__xludf.DUMMYFUNCTION("""COMPUTED_VALUE"""),"")</f>
        <v/>
      </c>
      <c r="AR43" t="str">
        <f ca="1">IFERROR(__xludf.DUMMYFUNCTION("""COMPUTED_VALUE"""),"")</f>
        <v/>
      </c>
    </row>
    <row r="44" spans="1:44" ht="13">
      <c r="A44" t="str">
        <f ca="1">IFERROR(__xludf.DUMMYFUNCTION("""COMPUTED_VALUE"""),"SR")</f>
        <v>SR</v>
      </c>
      <c r="B44" s="41">
        <f ca="1">IFERROR(__xludf.DUMMYFUNCTION("""COMPUTED_VALUE"""),43441)</f>
        <v>43441</v>
      </c>
      <c r="C44" t="str">
        <f ca="1">IFERROR(__xludf.DUMMYFUNCTION("""COMPUTED_VALUE"""),"GMD")</f>
        <v>GMD</v>
      </c>
      <c r="D44" s="28">
        <f ca="1">IFERROR(__xludf.DUMMYFUNCTION("""COMPUTED_VALUE"""),43579)</f>
        <v>43579</v>
      </c>
      <c r="E44" t="str">
        <f ca="1">IFERROR(__xludf.DUMMYFUNCTION("""COMPUTED_VALUE"""),"JP")</f>
        <v>JP</v>
      </c>
      <c r="F44" s="28">
        <f ca="1">IFERROR(__xludf.DUMMYFUNCTION("""COMPUTED_VALUE"""),43583)</f>
        <v>43583</v>
      </c>
      <c r="G44" t="str">
        <f ca="1">IFERROR(__xludf.DUMMYFUNCTION("""COMPUTED_VALUE"""),"Changed preprint policy link page (previous entries focused on VOR)")</f>
        <v>Changed preprint policy link page (previous entries focused on VOR)</v>
      </c>
      <c r="H44" t="str">
        <f ca="1">IFERROR(__xludf.DUMMYFUNCTION("""COMPUTED_VALUE"""),"1754-5706")</f>
        <v>1754-5706</v>
      </c>
      <c r="I44" t="str">
        <f ca="1">IFERROR(__xludf.DUMMYFUNCTION("""COMPUTED_VALUE"""),"Energy and Environmental Science")</f>
        <v>Energy and Environmental Science</v>
      </c>
      <c r="J44" t="str">
        <f ca="1">IFERROR(__xludf.DUMMYFUNCTION("""COMPUTED_VALUE"""),"Chemical &amp; Materials Sciences, Engineering &amp; Computer Science")</f>
        <v>Chemical &amp; Materials Sciences, Engineering &amp; Computer Science</v>
      </c>
      <c r="K44" t="str">
        <f ca="1">IFERROR(__xludf.DUMMYFUNCTION("""COMPUTED_VALUE"""),"Royal Society of Chemistry")</f>
        <v>Royal Society of Chemistry</v>
      </c>
      <c r="L44" t="str">
        <f ca="1">IFERROR(__xludf.DUMMYFUNCTION("""COMPUTED_VALUE"""),"Single blind")</f>
        <v>Single blind</v>
      </c>
      <c r="M44" s="93" t="str">
        <f ca="1">IFERROR(__xludf.DUMMYFUNCTION("""COMPUTED_VALUE"""),"http://www.rsc.org/journals-books-databases/journal-authors-reviewers/reviewer-responsibilities/#review-procedure")</f>
        <v>http://www.rsc.org/journals-books-databases/journal-authors-reviewers/reviewer-responsibilities/#review-procedure</v>
      </c>
      <c r="N44" t="str">
        <f ca="1">IFERROR(__xludf.DUMMYFUNCTION("""COMPUTED_VALUE"""),"")</f>
        <v/>
      </c>
      <c r="O44" t="str">
        <f ca="1">IFERROR(__xludf.DUMMYFUNCTION("""COMPUTED_VALUE"""),"")</f>
        <v/>
      </c>
      <c r="P44" t="str">
        <f ca="1">IFERROR(__xludf.DUMMYFUNCTION("""COMPUTED_VALUE"""),"No")</f>
        <v>No</v>
      </c>
      <c r="Q44" t="str">
        <f ca="1">IFERROR(__xludf.DUMMYFUNCTION("""COMPUTED_VALUE"""),"When a paper is to be rejected from one Royal Society of Chemistry journal, then we would offer the author(s) the option to transfer the paper to one of our other journals for consideration, when this is appropriate. This offer may occur during the initia"&amp;"l assessment of a manuscript or after reports on it have been received from reviewers. As part of the peer review process, the reviewers are asked to comment whether the manuscript would be more appropriate for one of our other journals. If the manuscript"&amp;" already has reports from reviewers then the author will be asked to upload the revised files. These files should include a summary of any new work added and a point by point response to the reviewers’ comments. Authors should be aware that the reviewers’"&amp;" comments are transferred to the editor of the receiving journal together with the manuscript files. On submission to the new journal, the manuscript will then be assessed by an editor as to whether further peer review will be necessary. The transfer proc"&amp;"ess also reduces the burden on reviewers. A paper that has been rejected may be submitted by the author to another journal where it would undergo evaluation again. By transferring between journals here we would be able to consider the reports received alr"&amp;"eady, although some additional review may be necessary. Full peer review is not always necessary thereby reducing the number of reviews required and allowing a decision to be reached more quickly.")</f>
        <v>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v>
      </c>
      <c r="R44" s="93" t="str">
        <f ca="1">IFERROR(__xludf.DUMMYFUNCTION("""COMPUTED_VALUE"""),"https://www.rsc.org/journals-books-databases/journal-authors-reviewers/processes-policies/#transfers")</f>
        <v>https://www.rsc.org/journals-books-databases/journal-authors-reviewers/processes-policies/#transfers</v>
      </c>
      <c r="S44" t="str">
        <f ca="1">IFERROR(__xludf.DUMMYFUNCTION("""COMPUTED_VALUE"""),"Conditional")</f>
        <v>Conditional</v>
      </c>
      <c r="T44" t="str">
        <f ca="1">IFERROR(__xludf.DUMMYFUNCTION("""COMPUTED_VALUE"""),"Optional")</f>
        <v>Optional</v>
      </c>
      <c r="U44" t="str">
        <f ca="1">IFERROR(__xludf.DUMMYFUNCTION("""COMPUTED_VALUE"""),"Not specified")</f>
        <v>Not specified</v>
      </c>
      <c r="V44" t="str">
        <f ca="1">IFERROR(__xludf.DUMMYFUNCTION("""COMPUTED_VALUE"""),"Not specified")</f>
        <v>Not specified</v>
      </c>
      <c r="W44" t="str">
        <f ca="1">IFERROR(__xludf.DUMMYFUNCTION("""COMPUTED_VALUE"""),"Not specified")</f>
        <v>Not specified</v>
      </c>
      <c r="X44" t="str">
        <f ca="1">IFERROR(__xludf.DUMMYFUNCTION("""COMPUTED_VALUE"""),"Optional")</f>
        <v>Optional</v>
      </c>
      <c r="Y44" t="str">
        <f ca="1">IFERROR(__xludf.DUMMYFUNCTION("""COMPUTED_VALUE"""),"Not specified")</f>
        <v>Not specified</v>
      </c>
      <c r="Z44" t="str">
        <f ca="1">IFERROR(__xludf.DUMMYFUNCTION("""COMPUTED_VALUE"""),"Yes")</f>
        <v>Yes</v>
      </c>
      <c r="AA44" t="str">
        <f ca="1">IFERROR(__xludf.DUMMYFUNCTION("""COMPUTED_VALUE"""),"When the editor makes a decision on a manuscript, reviewers are typically notified of that decision and are provided with the comments from all reviewers on the manuscript. The reviewers’ anonymity is preserved unless the reviewer has voluntarily signed t"&amp;"heir report. Reviewers are informed at the point of invitation to review if their report will be shared in this way. The anonymity of reviewers is strictly preserved from the authors, unless a reviewer voluntarily signs their comments to authors. A review"&amp;"er should never communicate directly with an author, unless and until such action has been agreed by the Royal Society of Chemistry, through the editor. Reviewers may disclose publicly that they have served as a reviewer for a named Royal Society of Chemi"&amp;"stry journal. However, a reviewer must not identify himself/herself as the reviewer of a specific manuscript nor disclose the contents of the submitted review to any individual or organization. This expectation of peer review confidentiality and anonymity"&amp;" applies both during and after the peer review process, without time limit.")</f>
        <v>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v>
      </c>
      <c r="AB44" t="str">
        <f ca="1">IFERROR(__xludf.DUMMYFUNCTION("""COMPUTED_VALUE"""),"Not specified")</f>
        <v>Not specified</v>
      </c>
      <c r="AC44" t="str">
        <f ca="1">IFERROR(__xludf.DUMMYFUNCTION("""COMPUTED_VALUE"""),"")</f>
        <v/>
      </c>
      <c r="AD44" t="str">
        <f ca="1">IFERROR(__xludf.DUMMYFUNCTION("""COMPUTED_VALUE"""),"Unsure")</f>
        <v>Unsure</v>
      </c>
      <c r="AE44" t="str">
        <f ca="1">IFERROR(__xludf.DUMMYFUNCTION("""COMPUTED_VALUE"""),"Unsure")</f>
        <v>Unsure</v>
      </c>
      <c r="AF44" t="str">
        <f ca="1">IFERROR(__xludf.DUMMYFUNCTION("""COMPUTED_VALUE"""),"Unsure")</f>
        <v>Unsure</v>
      </c>
      <c r="AG44" s="93" t="str">
        <f ca="1">IFERROR(__xludf.DUMMYFUNCTION("""COMPUTED_VALUE"""),"https://www.rsc.org/journals-books-databases/journal-authors-reviewers/processes-policies/#prior-publication")</f>
        <v>https://www.rsc.org/journals-books-databases/journal-authors-reviewers/processes-policies/#prior-publication</v>
      </c>
      <c r="AH44" t="str">
        <f ca="1">IFERROR(__xludf.DUMMYFUNCTION("""COMPUTED_VALUE"""),"First submission only (before peer review)")</f>
        <v>First submission only (before peer review)</v>
      </c>
      <c r="AI44" t="str">
        <f ca="1">IFERROR(__xludf.DUMMYFUNCTION("""COMPUTED_VALUE"""),"Through the deposition of a preprint version of the article in non-commercial repositories (eg ArXiv, ChemRxiv), institutional repositories or authors’ individual websites - a preprint is defined here as an un-refereed author version of the article; a non"&amp;"-commercial repository is defined here as any platform or archiving service that makes digital content free to deposit and access")</f>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44" t="str">
        <f ca="1">IFERROR(__xludf.DUMMYFUNCTION("""COMPUTED_VALUE"""),"Not specified")</f>
        <v>Not specified</v>
      </c>
      <c r="AK44" t="str">
        <f ca="1">IFERROR(__xludf.DUMMYFUNCTION("""COMPUTED_VALUE"""),"Unsure")</f>
        <v>Unsure</v>
      </c>
      <c r="AL44" t="str">
        <f ca="1">IFERROR(__xludf.DUMMYFUNCTION("""COMPUTED_VALUE"""),"")</f>
        <v/>
      </c>
      <c r="AM44" t="str">
        <f ca="1">IFERROR(__xludf.DUMMYFUNCTION("""COMPUTED_VALUE"""),"")</f>
        <v/>
      </c>
      <c r="AN44" t="str">
        <f ca="1">IFERROR(__xludf.DUMMYFUNCTION("""COMPUTED_VALUE"""),"")</f>
        <v/>
      </c>
      <c r="AO44" t="str">
        <f ca="1">IFERROR(__xludf.DUMMYFUNCTION("""COMPUTED_VALUE"""),"")</f>
        <v/>
      </c>
      <c r="AP44" t="str">
        <f ca="1">IFERROR(__xludf.DUMMYFUNCTION("""COMPUTED_VALUE"""),"")</f>
        <v/>
      </c>
      <c r="AQ44" t="str">
        <f ca="1">IFERROR(__xludf.DUMMYFUNCTION("""COMPUTED_VALUE"""),"")</f>
        <v/>
      </c>
      <c r="AR44" t="str">
        <f ca="1">IFERROR(__xludf.DUMMYFUNCTION("""COMPUTED_VALUE"""),"")</f>
        <v/>
      </c>
    </row>
    <row r="45" spans="1:44" ht="13">
      <c r="A45" t="str">
        <f ca="1">IFERROR(__xludf.DUMMYFUNCTION("""COMPUTED_VALUE"""),"SR")</f>
        <v>SR</v>
      </c>
      <c r="B45" s="41">
        <f ca="1">IFERROR(__xludf.DUMMYFUNCTION("""COMPUTED_VALUE"""),43441)</f>
        <v>43441</v>
      </c>
      <c r="C45" t="str">
        <f ca="1">IFERROR(__xludf.DUMMYFUNCTION("""COMPUTED_VALUE"""),"GMD")</f>
        <v>GMD</v>
      </c>
      <c r="D45" s="28">
        <f ca="1">IFERROR(__xludf.DUMMYFUNCTION("""COMPUTED_VALUE"""),43579)</f>
        <v>43579</v>
      </c>
      <c r="E45" t="str">
        <f ca="1">IFERROR(__xludf.DUMMYFUNCTION("""COMPUTED_VALUE"""),"JP")</f>
        <v>JP</v>
      </c>
      <c r="F45" s="28">
        <f ca="1">IFERROR(__xludf.DUMMYFUNCTION("""COMPUTED_VALUE"""),43583)</f>
        <v>43583</v>
      </c>
      <c r="G45" t="str">
        <f ca="1">IFERROR(__xludf.DUMMYFUNCTION("""COMPUTED_VALUE"""),"Rearranged preprint info to fit fields; added source for preprint citation policy")</f>
        <v>Rearranged preprint info to fit fields; added source for preprint citation policy</v>
      </c>
      <c r="H45" t="str">
        <f ca="1">IFERROR(__xludf.DUMMYFUNCTION("""COMPUTED_VALUE"""),"0013-936X")</f>
        <v>0013-936X</v>
      </c>
      <c r="I45" t="str">
        <f ca="1">IFERROR(__xludf.DUMMYFUNCTION("""COMPUTED_VALUE"""),"Environmental Science &amp; Technology")</f>
        <v>Environmental Science &amp; Technology</v>
      </c>
      <c r="J45" t="str">
        <f ca="1">IFERROR(__xludf.DUMMYFUNCTION("""COMPUTED_VALUE"""),"Life Sciences &amp; Earth Sciences")</f>
        <v>Life Sciences &amp; Earth Sciences</v>
      </c>
      <c r="K45" t="str">
        <f ca="1">IFERROR(__xludf.DUMMYFUNCTION("""COMPUTED_VALUE"""),"ACS Publications")</f>
        <v>ACS Publications</v>
      </c>
      <c r="L45" t="str">
        <f ca="1">IFERROR(__xludf.DUMMYFUNCTION("""COMPUTED_VALUE"""),"Unsure")</f>
        <v>Unsure</v>
      </c>
      <c r="M45" s="93" t="str">
        <f ca="1">IFERROR(__xludf.DUMMYFUNCTION("""COMPUTED_VALUE"""),"https://pubs.acs.org/paragonplus/submission/esthag/esthag_authguide.pdf                ")</f>
        <v xml:space="preserve">https://pubs.acs.org/paragonplus/submission/esthag/esthag_authguide.pdf                </v>
      </c>
      <c r="N45" t="str">
        <f ca="1">IFERROR(__xludf.DUMMYFUNCTION("""COMPUTED_VALUE"""),"")</f>
        <v/>
      </c>
      <c r="O45" t="str">
        <f ca="1">IFERROR(__xludf.DUMMYFUNCTION("""COMPUTED_VALUE"""),"")</f>
        <v/>
      </c>
      <c r="P45" t="str">
        <f ca="1">IFERROR(__xludf.DUMMYFUNCTION("""COMPUTED_VALUE"""),"Unsure")</f>
        <v>Unsure</v>
      </c>
      <c r="Q45" t="str">
        <f ca="1">IFERROR(__xludf.DUMMYFUNCTION("""COMPUTED_VALUE"""),"Once a transfer is accepted, authors will then complete the submission to the new journal in ACS Paragon Plus. During the submission process, they will have the opportunity to revise the manuscript and address comments received from editors or reviewers. "&amp;"Requirements of the new journal may be different, so authors should also check the Author Guidelines for the new journal and make any needed revisions in order to conform to those requirements. Please keep in mind that the reviews, reviewer identities, an"&amp;"d decision letter will all be transferred to the new journal. Authors are encouraged to identify changes made to the manuscript in a cover letter for the new journal.")</f>
        <v>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v>
      </c>
      <c r="R45" s="93" t="str">
        <f ca="1">IFERROR(__xludf.DUMMYFUNCTION("""COMPUTED_VALUE"""),"https://pubs.acs.org/paragonplus/submission/esthag/esthag_authguide.pdf")</f>
        <v>https://pubs.acs.org/paragonplus/submission/esthag/esthag_authguide.pdf</v>
      </c>
      <c r="S45" t="str">
        <f ca="1">IFERROR(__xludf.DUMMYFUNCTION("""COMPUTED_VALUE"""),"Not specified")</f>
        <v>Not specified</v>
      </c>
      <c r="T45" t="str">
        <f ca="1">IFERROR(__xludf.DUMMYFUNCTION("""COMPUTED_VALUE"""),"Not specified")</f>
        <v>Not specified</v>
      </c>
      <c r="U45" t="str">
        <f ca="1">IFERROR(__xludf.DUMMYFUNCTION("""COMPUTED_VALUE"""),"Not specified")</f>
        <v>Not specified</v>
      </c>
      <c r="V45" t="str">
        <f ca="1">IFERROR(__xludf.DUMMYFUNCTION("""COMPUTED_VALUE"""),"Not specified")</f>
        <v>Not specified</v>
      </c>
      <c r="W45" t="str">
        <f ca="1">IFERROR(__xludf.DUMMYFUNCTION("""COMPUTED_VALUE"""),"Not specified")</f>
        <v>Not specified</v>
      </c>
      <c r="X45" t="str">
        <f ca="1">IFERROR(__xludf.DUMMYFUNCTION("""COMPUTED_VALUE"""),"Not specified")</f>
        <v>Not specified</v>
      </c>
      <c r="Y45" t="str">
        <f ca="1">IFERROR(__xludf.DUMMYFUNCTION("""COMPUTED_VALUE"""),"Not specified")</f>
        <v>Not specified</v>
      </c>
      <c r="Z45" t="str">
        <f ca="1">IFERROR(__xludf.DUMMYFUNCTION("""COMPUTED_VALUE"""),"Not specified")</f>
        <v>Not specified</v>
      </c>
      <c r="AA45" t="str">
        <f ca="1">IFERROR(__xludf.DUMMYFUNCTION("""COMPUTED_VALUE"""),"")</f>
        <v/>
      </c>
      <c r="AB45" t="str">
        <f ca="1">IFERROR(__xludf.DUMMYFUNCTION("""COMPUTED_VALUE"""),"")</f>
        <v/>
      </c>
      <c r="AC45" t="str">
        <f ca="1">IFERROR(__xludf.DUMMYFUNCTION("""COMPUTED_VALUE"""),"")</f>
        <v/>
      </c>
      <c r="AD45" t="str">
        <f ca="1">IFERROR(__xludf.DUMMYFUNCTION("""COMPUTED_VALUE"""),"Unsure")</f>
        <v>Unsure</v>
      </c>
      <c r="AE45" t="str">
        <f ca="1">IFERROR(__xludf.DUMMYFUNCTION("""COMPUTED_VALUE"""),"Unsure")</f>
        <v>Unsure</v>
      </c>
      <c r="AF45" t="str">
        <f ca="1">IFERROR(__xludf.DUMMYFUNCTION("""COMPUTED_VALUE"""),"Unsure")</f>
        <v>Unsure</v>
      </c>
      <c r="AG45" s="93" t="str">
        <f ca="1">IFERROR(__xludf.DUMMYFUNCTION("""COMPUTED_VALUE"""),"https://pubs.acs.org/page/esthag/submission/prior.html")</f>
        <v>https://pubs.acs.org/page/esthag/submission/prior.html</v>
      </c>
      <c r="AH45" t="str">
        <f ca="1">IFERROR(__xludf.DUMMYFUNCTION("""COMPUTED_VALUE"""),"Unsure (preprints are allowed, but it's not clear what version)")</f>
        <v>Unsure (preprints are allowed, but it's not clear what version)</v>
      </c>
      <c r="AI45" t="str">
        <f ca="1">IFERROR(__xludf.DUMMYFUNCTION("""COMPUTED_VALUE"""),"Posting of pre-prints to a pre-print server is considered acceptable but requires citing of the pre-print. Please note the use of a pre-print server in the cover letter, and as appropriate, state how the manuscript has been adjusted/updated between the pr"&amp;"e-print version and the version submitted to ES&amp;T.")</f>
        <v>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v>
      </c>
      <c r="AJ45" t="str">
        <f ca="1">IFERROR(__xludf.DUMMYFUNCTION("""COMPUTED_VALUE"""),"Other; Any references in publications that would be difficult for most reviewers to obtain or are
 unpublished should be uploaded as Information for Review Only. DOI numbers are helpful but not mandatory
 unless they are the only identifying information a"&amp;"vailable (e.g., for recently published articles). - https://pubs.acs.org/paragonplus/submission/esthag/esthag_authguide.pdf")</f>
        <v>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v>
      </c>
      <c r="AK45" t="str">
        <f ca="1">IFERROR(__xludf.DUMMYFUNCTION("""COMPUTED_VALUE"""),"Unsure")</f>
        <v>Unsure</v>
      </c>
      <c r="AL45" t="str">
        <f ca="1">IFERROR(__xludf.DUMMYFUNCTION("""COMPUTED_VALUE"""),"")</f>
        <v/>
      </c>
      <c r="AM45" t="str">
        <f ca="1">IFERROR(__xludf.DUMMYFUNCTION("""COMPUTED_VALUE"""),"")</f>
        <v/>
      </c>
      <c r="AN45" t="str">
        <f ca="1">IFERROR(__xludf.DUMMYFUNCTION("""COMPUTED_VALUE"""),"")</f>
        <v/>
      </c>
      <c r="AO45" t="str">
        <f ca="1">IFERROR(__xludf.DUMMYFUNCTION("""COMPUTED_VALUE"""),"")</f>
        <v/>
      </c>
      <c r="AP45" t="str">
        <f ca="1">IFERROR(__xludf.DUMMYFUNCTION("""COMPUTED_VALUE"""),"")</f>
        <v/>
      </c>
      <c r="AQ45" t="str">
        <f ca="1">IFERROR(__xludf.DUMMYFUNCTION("""COMPUTED_VALUE"""),"")</f>
        <v/>
      </c>
      <c r="AR45" t="str">
        <f ca="1">IFERROR(__xludf.DUMMYFUNCTION("""COMPUTED_VALUE"""),"")</f>
        <v/>
      </c>
    </row>
    <row r="46" spans="1:44" ht="13">
      <c r="A46" t="str">
        <f ca="1">IFERROR(__xludf.DUMMYFUNCTION("""COMPUTED_VALUE"""),"SR")</f>
        <v>SR</v>
      </c>
      <c r="B46" s="41">
        <f ca="1">IFERROR(__xludf.DUMMYFUNCTION("""COMPUTED_VALUE"""),43441)</f>
        <v>43441</v>
      </c>
      <c r="C46" t="str">
        <f ca="1">IFERROR(__xludf.DUMMYFUNCTION("""COMPUTED_VALUE"""),"GMD")</f>
        <v>GMD</v>
      </c>
      <c r="D46" s="28">
        <f ca="1">IFERROR(__xludf.DUMMYFUNCTION("""COMPUTED_VALUE"""),43579)</f>
        <v>43579</v>
      </c>
      <c r="E46" t="str">
        <f ca="1">IFERROR(__xludf.DUMMYFUNCTION("""COMPUTED_VALUE"""),"JP")</f>
        <v>JP</v>
      </c>
      <c r="F46" s="28">
        <f ca="1">IFERROR(__xludf.DUMMYFUNCTION("""COMPUTED_VALUE"""),43583)</f>
        <v>43583</v>
      </c>
      <c r="G46" t="str">
        <f ca="1">IFERROR(__xludf.DUMMYFUNCTION("""COMPUTED_VALUE"""),"Changed preprint policy to first submission only, citation policy to unsure")</f>
        <v>Changed preprint policy to first submission only, citation policy to unsure</v>
      </c>
      <c r="H46" t="str">
        <f ca="1">IFERROR(__xludf.DUMMYFUNCTION("""COMPUTED_VALUE"""),"1522-9645")</f>
        <v>1522-9645</v>
      </c>
      <c r="I46" t="str">
        <f ca="1">IFERROR(__xludf.DUMMYFUNCTION("""COMPUTED_VALUE"""),"European Heart Journal")</f>
        <v>European Heart Journal</v>
      </c>
      <c r="J46" t="str">
        <f ca="1">IFERROR(__xludf.DUMMYFUNCTION("""COMPUTED_VALUE"""),"Health &amp; Medical Sciences")</f>
        <v>Health &amp; Medical Sciences</v>
      </c>
      <c r="K46" t="str">
        <f ca="1">IFERROR(__xludf.DUMMYFUNCTION("""COMPUTED_VALUE"""),"Oxford Academic/European Society of Cardiology")</f>
        <v>Oxford Academic/European Society of Cardiology</v>
      </c>
      <c r="L46" t="str">
        <f ca="1">IFERROR(__xludf.DUMMYFUNCTION("""COMPUTED_VALUE"""),"Unsure")</f>
        <v>Unsure</v>
      </c>
      <c r="M46" s="93" t="str">
        <f ca="1">IFERROR(__xludf.DUMMYFUNCTION("""COMPUTED_VALUE"""),"https://academic.oup.com/eurheartj/pages/General_Instructions#3.1")</f>
        <v>https://academic.oup.com/eurheartj/pages/General_Instructions#3.1</v>
      </c>
      <c r="N46" t="str">
        <f ca="1">IFERROR(__xludf.DUMMYFUNCTION("""COMPUTED_VALUE"""),"")</f>
        <v/>
      </c>
      <c r="O46" t="str">
        <f ca="1">IFERROR(__xludf.DUMMYFUNCTION("""COMPUTED_VALUE"""),"")</f>
        <v/>
      </c>
      <c r="P46" t="str">
        <f ca="1">IFERROR(__xludf.DUMMYFUNCTION("""COMPUTED_VALUE"""),"Unsure")</f>
        <v>Unsure</v>
      </c>
      <c r="Q46" t="str">
        <f ca="1">IFERROR(__xludf.DUMMYFUNCTION("""COMPUTED_VALUE"""),"If a manuscript is peer-reviewed by an ESC journal, yet deemed more appropriate for another specialty journal, and if the authors agree to their manuscript being shared within the ESC Journal Family, there will be no need for resubmission and the applicab"&amp;"le reviewer comments will normally also be transferred, resulting in a reduced time to a decision.")</f>
        <v>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v>
      </c>
      <c r="R46" s="93" t="str">
        <f ca="1">IFERROR(__xludf.DUMMYFUNCTION("""COMPUTED_VALUE"""),"https://academic.oup.com/eurheartj/pages/Manuscript_Sharing")</f>
        <v>https://academic.oup.com/eurheartj/pages/Manuscript_Sharing</v>
      </c>
      <c r="S46" t="str">
        <f ca="1">IFERROR(__xludf.DUMMYFUNCTION("""COMPUTED_VALUE"""),"Not specified")</f>
        <v>Not specified</v>
      </c>
      <c r="T46" t="str">
        <f ca="1">IFERROR(__xludf.DUMMYFUNCTION("""COMPUTED_VALUE"""),"Not specified")</f>
        <v>Not specified</v>
      </c>
      <c r="U46" t="str">
        <f ca="1">IFERROR(__xludf.DUMMYFUNCTION("""COMPUTED_VALUE"""),"Not specified")</f>
        <v>Not specified</v>
      </c>
      <c r="V46" t="str">
        <f ca="1">IFERROR(__xludf.DUMMYFUNCTION("""COMPUTED_VALUE"""),"Not specified")</f>
        <v>Not specified</v>
      </c>
      <c r="W46" t="str">
        <f ca="1">IFERROR(__xludf.DUMMYFUNCTION("""COMPUTED_VALUE"""),"Not specified")</f>
        <v>Not specified</v>
      </c>
      <c r="X46" t="str">
        <f ca="1">IFERROR(__xludf.DUMMYFUNCTION("""COMPUTED_VALUE"""),"Not specified")</f>
        <v>Not specified</v>
      </c>
      <c r="Y46" t="str">
        <f ca="1">IFERROR(__xludf.DUMMYFUNCTION("""COMPUTED_VALUE"""),"Not specified")</f>
        <v>Not specified</v>
      </c>
      <c r="Z46" t="str">
        <f ca="1">IFERROR(__xludf.DUMMYFUNCTION("""COMPUTED_VALUE"""),"Not specified")</f>
        <v>Not specified</v>
      </c>
      <c r="AA46" t="str">
        <f ca="1">IFERROR(__xludf.DUMMYFUNCTION("""COMPUTED_VALUE"""),"")</f>
        <v/>
      </c>
      <c r="AB46" t="str">
        <f ca="1">IFERROR(__xludf.DUMMYFUNCTION("""COMPUTED_VALUE"""),"")</f>
        <v/>
      </c>
      <c r="AC46" t="str">
        <f ca="1">IFERROR(__xludf.DUMMYFUNCTION("""COMPUTED_VALUE"""),"")</f>
        <v/>
      </c>
      <c r="AD46" t="str">
        <f ca="1">IFERROR(__xludf.DUMMYFUNCTION("""COMPUTED_VALUE"""),"Unsure")</f>
        <v>Unsure</v>
      </c>
      <c r="AE46" t="str">
        <f ca="1">IFERROR(__xludf.DUMMYFUNCTION("""COMPUTED_VALUE"""),"Unsure")</f>
        <v>Unsure</v>
      </c>
      <c r="AF46" t="str">
        <f ca="1">IFERROR(__xludf.DUMMYFUNCTION("""COMPUTED_VALUE"""),"Unsure")</f>
        <v>Unsure</v>
      </c>
      <c r="AG46" s="93" t="str">
        <f ca="1">IFERROR(__xludf.DUMMYFUNCTION("""COMPUTED_VALUE"""),"https://academic.oup.com/journals/pages/access_purchase/rights_and_permissions/self_archiving_policy_b")</f>
        <v>https://academic.oup.com/journals/pages/access_purchase/rights_and_permissions/self_archiving_policy_b</v>
      </c>
      <c r="AH46" t="str">
        <f ca="1">IFERROR(__xludf.DUMMYFUNCTION("""COMPUTED_VALUE"""),"First submission only (before peer review)")</f>
        <v>First submission only (before peer review)</v>
      </c>
      <c r="AI46" t="str">
        <f ca="1">IFERROR(__xludf.DUMMYFUNCTION("""COMPUTED_VALUE"""),"This includes posting on their own personal websites, institutional or non-commercial subject based repositories, commercial platforms websites or repositories, or social media, provided that, upon acceptance, they acknowledge that the article has been ac"&amp;"cepted for publication as follows: 
This article has been accepted for publication in [Journal Title] Published by Oxford University Press. 
After publication we would also ask authors to update their AOV with the Digital Object Identifier (DOI), and in"&amp;"clude a link to the Version of Record.")</f>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46" t="str">
        <f ca="1">IFERROR(__xludf.DUMMYFUNCTION("""COMPUTED_VALUE"""),"Unsure - https://academic.oup.com/eurheartj/pages/General_Instructions#2.4")</f>
        <v>Unsure - https://academic.oup.com/eurheartj/pages/General_Instructions#2.4</v>
      </c>
      <c r="AK46" t="str">
        <f ca="1">IFERROR(__xludf.DUMMYFUNCTION("""COMPUTED_VALUE"""),"Unsure")</f>
        <v>Unsure</v>
      </c>
      <c r="AL46" t="str">
        <f ca="1">IFERROR(__xludf.DUMMYFUNCTION("""COMPUTED_VALUE"""),"")</f>
        <v/>
      </c>
      <c r="AM46" t="str">
        <f ca="1">IFERROR(__xludf.DUMMYFUNCTION("""COMPUTED_VALUE"""),"")</f>
        <v/>
      </c>
      <c r="AN46" t="str">
        <f ca="1">IFERROR(__xludf.DUMMYFUNCTION("""COMPUTED_VALUE"""),"")</f>
        <v/>
      </c>
      <c r="AO46" t="str">
        <f ca="1">IFERROR(__xludf.DUMMYFUNCTION("""COMPUTED_VALUE"""),"")</f>
        <v/>
      </c>
      <c r="AP46" t="str">
        <f ca="1">IFERROR(__xludf.DUMMYFUNCTION("""COMPUTED_VALUE"""),"")</f>
        <v/>
      </c>
      <c r="AQ46" t="str">
        <f ca="1">IFERROR(__xludf.DUMMYFUNCTION("""COMPUTED_VALUE"""),"")</f>
        <v/>
      </c>
      <c r="AR46" t="str">
        <f ca="1">IFERROR(__xludf.DUMMYFUNCTION("""COMPUTED_VALUE"""),"")</f>
        <v/>
      </c>
    </row>
    <row r="47" spans="1:44" ht="13">
      <c r="A47" t="str">
        <f ca="1">IFERROR(__xludf.DUMMYFUNCTION("""COMPUTED_VALUE"""),"SR")</f>
        <v>SR</v>
      </c>
      <c r="B47" s="41">
        <f ca="1">IFERROR(__xludf.DUMMYFUNCTION("""COMPUTED_VALUE"""),43441)</f>
        <v>43441</v>
      </c>
      <c r="C47" t="str">
        <f ca="1">IFERROR(__xludf.DUMMYFUNCTION("""COMPUTED_VALUE"""),"JP")</f>
        <v>JP</v>
      </c>
      <c r="D47" s="28">
        <f ca="1">IFERROR(__xludf.DUMMYFUNCTION("""COMPUTED_VALUE"""),43566)</f>
        <v>43566</v>
      </c>
      <c r="E47" t="str">
        <f ca="1">IFERROR(__xludf.DUMMYFUNCTION("""COMPUTED_VALUE"""),"TRH")</f>
        <v>TRH</v>
      </c>
      <c r="F47" s="28">
        <f ca="1">IFERROR(__xludf.DUMMYFUNCTION("""COMPUTED_VALUE"""),43580)</f>
        <v>43580</v>
      </c>
      <c r="G47" s="28" t="str">
        <f ca="1">IFERROR(__xludf.DUMMYFUNCTION("""COMPUTED_VALUE"""),"")</f>
        <v/>
      </c>
      <c r="H47" t="str">
        <f ca="1">IFERROR(__xludf.DUMMYFUNCTION("""COMPUTED_VALUE"""),"0302-2838")</f>
        <v>0302-2838</v>
      </c>
      <c r="I47" t="str">
        <f ca="1">IFERROR(__xludf.DUMMYFUNCTION("""COMPUTED_VALUE"""),"European Urology")</f>
        <v>European Urology</v>
      </c>
      <c r="J47" t="str">
        <f ca="1">IFERROR(__xludf.DUMMYFUNCTION("""COMPUTED_VALUE"""),"")</f>
        <v/>
      </c>
      <c r="K47" t="str">
        <f ca="1">IFERROR(__xludf.DUMMYFUNCTION("""COMPUTED_VALUE"""),"Elsevier")</f>
        <v>Elsevier</v>
      </c>
      <c r="L47" t="str">
        <f ca="1">IFERROR(__xludf.DUMMYFUNCTION("""COMPUTED_VALUE"""),"Single blind")</f>
        <v>Single blind</v>
      </c>
      <c r="M47" s="93" t="str">
        <f ca="1">IFERROR(__xludf.DUMMYFUNCTION("""COMPUTED_VALUE"""),"https://www.europeanurology.com/content/resources-for-authors")</f>
        <v>https://www.europeanurology.com/content/resources-for-authors</v>
      </c>
      <c r="N47" t="str">
        <f ca="1">IFERROR(__xludf.DUMMYFUNCTION("""COMPUTED_VALUE"""),"")</f>
        <v/>
      </c>
      <c r="O47" s="93" t="str">
        <f ca="1">IFERROR(__xludf.DUMMYFUNCTION("""COMPUTED_VALUE"""),"https://www.elsevier.com/reviewers/role#RRP")</f>
        <v>https://www.elsevier.com/reviewers/role#RRP</v>
      </c>
      <c r="P47" t="str">
        <f ca="1">IFERROR(__xludf.DUMMYFUNCTION("""COMPUTED_VALUE"""),"Unsure")</f>
        <v>Unsure</v>
      </c>
      <c r="Q47"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47" s="93" t="str">
        <f ca="1">IFERROR(__xludf.DUMMYFUNCTION("""COMPUTED_VALUE"""),"https://www.elsevier.com/reviewers/what-is-peer-review")</f>
        <v>https://www.elsevier.com/reviewers/what-is-peer-review</v>
      </c>
      <c r="S47" t="str">
        <f ca="1">IFERROR(__xludf.DUMMYFUNCTION("""COMPUTED_VALUE"""),"Not specified")</f>
        <v>Not specified</v>
      </c>
      <c r="T47" t="str">
        <f ca="1">IFERROR(__xludf.DUMMYFUNCTION("""COMPUTED_VALUE"""),"Not specified")</f>
        <v>Not specified</v>
      </c>
      <c r="U47" t="str">
        <f ca="1">IFERROR(__xludf.DUMMYFUNCTION("""COMPUTED_VALUE"""),"Not specified")</f>
        <v>Not specified</v>
      </c>
      <c r="V47" t="str">
        <f ca="1">IFERROR(__xludf.DUMMYFUNCTION("""COMPUTED_VALUE"""),"Not specified")</f>
        <v>Not specified</v>
      </c>
      <c r="W47" t="str">
        <f ca="1">IFERROR(__xludf.DUMMYFUNCTION("""COMPUTED_VALUE"""),"Not specified")</f>
        <v>Not specified</v>
      </c>
      <c r="X47" t="str">
        <f ca="1">IFERROR(__xludf.DUMMYFUNCTION("""COMPUTED_VALUE"""),"Not specified")</f>
        <v>Not specified</v>
      </c>
      <c r="Y47" t="str">
        <f ca="1">IFERROR(__xludf.DUMMYFUNCTION("""COMPUTED_VALUE"""),"Not specified")</f>
        <v>Not specified</v>
      </c>
      <c r="Z47" t="str">
        <f ca="1">IFERROR(__xludf.DUMMYFUNCTION("""COMPUTED_VALUE"""),"Not specified")</f>
        <v>Not specified</v>
      </c>
      <c r="AA47" t="str">
        <f ca="1">IFERROR(__xludf.DUMMYFUNCTION("""COMPUTED_VALUE"""),"The journal European Urology is not very specific with respect to the details of its peer review process.")</f>
        <v>The journal European Urology is not very specific with respect to the details of its peer review process.</v>
      </c>
      <c r="AB47" t="str">
        <f ca="1">IFERROR(__xludf.DUMMYFUNCTION("""COMPUTED_VALUE"""),"")</f>
        <v/>
      </c>
      <c r="AC47" t="str">
        <f ca="1">IFERROR(__xludf.DUMMYFUNCTION("""COMPUTED_VALUE"""),"")</f>
        <v/>
      </c>
      <c r="AD47" t="str">
        <f ca="1">IFERROR(__xludf.DUMMYFUNCTION("""COMPUTED_VALUE"""),"Unsure")</f>
        <v>Unsure</v>
      </c>
      <c r="AE47" t="str">
        <f ca="1">IFERROR(__xludf.DUMMYFUNCTION("""COMPUTED_VALUE"""),"Unsure")</f>
        <v>Unsure</v>
      </c>
      <c r="AF47" t="str">
        <f ca="1">IFERROR(__xludf.DUMMYFUNCTION("""COMPUTED_VALUE"""),"Unsure")</f>
        <v>Unsure</v>
      </c>
      <c r="AG47" t="str">
        <f ca="1">IFERROR(__xludf.DUMMYFUNCTION("""COMPUTED_VALUE"""),"")</f>
        <v/>
      </c>
      <c r="AH47" t="str">
        <f ca="1">IFERROR(__xludf.DUMMYFUNCTION("""COMPUTED_VALUE"""),"No preprint policy")</f>
        <v>No preprint policy</v>
      </c>
      <c r="AI47" t="str">
        <f ca="1">IFERROR(__xludf.DUMMYFUNCTION("""COMPUTED_VALUE"""),"")</f>
        <v/>
      </c>
      <c r="AJ47" t="str">
        <f ca="1">IFERROR(__xludf.DUMMYFUNCTION("""COMPUTED_VALUE"""),"Not specified")</f>
        <v>Not specified</v>
      </c>
      <c r="AK47" t="str">
        <f ca="1">IFERROR(__xludf.DUMMYFUNCTION("""COMPUTED_VALUE"""),"Unsure")</f>
        <v>Unsure</v>
      </c>
      <c r="AL47" t="str">
        <f ca="1">IFERROR(__xludf.DUMMYFUNCTION("""COMPUTED_VALUE"""),"")</f>
        <v/>
      </c>
      <c r="AM47" t="str">
        <f ca="1">IFERROR(__xludf.DUMMYFUNCTION("""COMPUTED_VALUE"""),"")</f>
        <v/>
      </c>
      <c r="AN47" t="str">
        <f ca="1">IFERROR(__xludf.DUMMYFUNCTION("""COMPUTED_VALUE"""),"")</f>
        <v/>
      </c>
      <c r="AO47" t="str">
        <f ca="1">IFERROR(__xludf.DUMMYFUNCTION("""COMPUTED_VALUE"""),"")</f>
        <v/>
      </c>
      <c r="AP47" t="str">
        <f ca="1">IFERROR(__xludf.DUMMYFUNCTION("""COMPUTED_VALUE"""),"The European Urology journal is published by Elsevier, so presumably many of Elsevier's general policies apply. However, the general information documents by Elsevier are not accessible (mostly) via the EU journal. Consequently, no information is provided"&amp;" on their peer review or pre-print policies, for instance.")</f>
        <v>The European Urology journal is published by Elsevier, so presumably many of Elsevier's general policies apply. However, the general information documents by Elsevier are not accessible (mostly) via the EU journal. Consequently, no information is provided on their peer review or pre-print policies, for instance.</v>
      </c>
      <c r="AQ47" t="str">
        <f ca="1">IFERROR(__xludf.DUMMYFUNCTION("""COMPUTED_VALUE"""),"")</f>
        <v/>
      </c>
      <c r="AR47" t="str">
        <f ca="1">IFERROR(__xludf.DUMMYFUNCTION("""COMPUTED_VALUE"""),"")</f>
        <v/>
      </c>
    </row>
    <row r="48" spans="1:44" ht="13">
      <c r="A48" t="str">
        <f ca="1">IFERROR(__xludf.DUMMYFUNCTION("""COMPUTED_VALUE"""),"SR")</f>
        <v>SR</v>
      </c>
      <c r="B48" s="41">
        <f ca="1">IFERROR(__xludf.DUMMYFUNCTION("""COMPUTED_VALUE"""),43438)</f>
        <v>43438</v>
      </c>
      <c r="C48" t="str">
        <f ca="1">IFERROR(__xludf.DUMMYFUNCTION("""COMPUTED_VALUE"""),"JP")</f>
        <v>JP</v>
      </c>
      <c r="D48" s="28">
        <f ca="1">IFERROR(__xludf.DUMMYFUNCTION("""COMPUTED_VALUE"""),43566)</f>
        <v>43566</v>
      </c>
      <c r="E48" t="str">
        <f ca="1">IFERROR(__xludf.DUMMYFUNCTION("""COMPUTED_VALUE"""),"TRH")</f>
        <v>TRH</v>
      </c>
      <c r="F48" s="28">
        <f ca="1">IFERROR(__xludf.DUMMYFUNCTION("""COMPUTED_VALUE"""),43580)</f>
        <v>43580</v>
      </c>
      <c r="G48" s="28" t="str">
        <f ca="1">IFERROR(__xludf.DUMMYFUNCTION("""COMPUTED_VALUE"""),"")</f>
        <v/>
      </c>
      <c r="H48" t="str">
        <f ca="1">IFERROR(__xludf.DUMMYFUNCTION("""COMPUTED_VALUE"""),"0016-5085")</f>
        <v>0016-5085</v>
      </c>
      <c r="I48" t="str">
        <f ca="1">IFERROR(__xludf.DUMMYFUNCTION("""COMPUTED_VALUE"""),"Gastroenterology")</f>
        <v>Gastroenterology</v>
      </c>
      <c r="J48" t="str">
        <f ca="1">IFERROR(__xludf.DUMMYFUNCTION("""COMPUTED_VALUE"""),"Health &amp; Medical Sciences")</f>
        <v>Health &amp; Medical Sciences</v>
      </c>
      <c r="K48" t="str">
        <f ca="1">IFERROR(__xludf.DUMMYFUNCTION("""COMPUTED_VALUE"""),"Elsevier/The American Gatsorenterological Association")</f>
        <v>Elsevier/The American Gatsorenterological Association</v>
      </c>
      <c r="L48" t="str">
        <f ca="1">IFERROR(__xludf.DUMMYFUNCTION("""COMPUTED_VALUE"""),"Single blind")</f>
        <v>Single blind</v>
      </c>
      <c r="M48" s="93" t="str">
        <f ca="1">IFERROR(__xludf.DUMMYFUNCTION("""COMPUTED_VALUE"""),"https://www.gastrojournal.org/content/authorinfo")</f>
        <v>https://www.gastrojournal.org/content/authorinfo</v>
      </c>
      <c r="N48" t="str">
        <f ca="1">IFERROR(__xludf.DUMMYFUNCTION("""COMPUTED_VALUE"""),"")</f>
        <v/>
      </c>
      <c r="O48" s="93" t="str">
        <f ca="1">IFERROR(__xludf.DUMMYFUNCTION("""COMPUTED_VALUE"""),"https://www.gastrojournal.org/content/authorinfo")</f>
        <v>https://www.gastrojournal.org/content/authorinfo</v>
      </c>
      <c r="P48" t="str">
        <f ca="1">IFERROR(__xludf.DUMMYFUNCTION("""COMPUTED_VALUE"""),"No")</f>
        <v>No</v>
      </c>
      <c r="Q48"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48" s="93" t="str">
        <f ca="1">IFERROR(__xludf.DUMMYFUNCTION("""COMPUTED_VALUE"""),"https://www.elsevier.com/reviewers/what-is-peer-review")</f>
        <v>https://www.elsevier.com/reviewers/what-is-peer-review</v>
      </c>
      <c r="S48" t="str">
        <f ca="1">IFERROR(__xludf.DUMMYFUNCTION("""COMPUTED_VALUE"""),"No")</f>
        <v>No</v>
      </c>
      <c r="T48" t="str">
        <f ca="1">IFERROR(__xludf.DUMMYFUNCTION("""COMPUTED_VALUE"""),"Not specified")</f>
        <v>Not specified</v>
      </c>
      <c r="U48" t="str">
        <f ca="1">IFERROR(__xludf.DUMMYFUNCTION("""COMPUTED_VALUE"""),"No")</f>
        <v>No</v>
      </c>
      <c r="V48" t="str">
        <f ca="1">IFERROR(__xludf.DUMMYFUNCTION("""COMPUTED_VALUE"""),"Not specified")</f>
        <v>Not specified</v>
      </c>
      <c r="W48" t="str">
        <f ca="1">IFERROR(__xludf.DUMMYFUNCTION("""COMPUTED_VALUE"""),"No")</f>
        <v>No</v>
      </c>
      <c r="X48" t="str">
        <f ca="1">IFERROR(__xludf.DUMMYFUNCTION("""COMPUTED_VALUE"""),"No")</f>
        <v>No</v>
      </c>
      <c r="Y48" t="str">
        <f ca="1">IFERROR(__xludf.DUMMYFUNCTION("""COMPUTED_VALUE"""),"Not specified")</f>
        <v>Not specified</v>
      </c>
      <c r="Z48" t="str">
        <f ca="1">IFERROR(__xludf.DUMMYFUNCTION("""COMPUTED_VALUE"""),"Not specified")</f>
        <v>Not specified</v>
      </c>
      <c r="AA48" t="str">
        <f ca="1">IFERROR(__xludf.DUMMYFUNCTION("""COMPUTED_VALUE"""),"")</f>
        <v/>
      </c>
      <c r="AB48" t="str">
        <f ca="1">IFERROR(__xludf.DUMMYFUNCTION("""COMPUTED_VALUE"""),"Reviewers provide comments for the editor and for the authors. The journal expects reviewers to treat manuscripts as confidential communications and not to use the content for their own purposes or make copies of the manuscripts. Reviewers are also expect"&amp;"ed to declare to the editor any possible conflicts of interest.")</f>
        <v>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v>
      </c>
      <c r="AC48" s="93" t="str">
        <f ca="1">IFERROR(__xludf.DUMMYFUNCTION("""COMPUTED_VALUE"""),"https://www.gastrojournal.org/content/authorinfo")</f>
        <v>https://www.gastrojournal.org/content/authorinfo</v>
      </c>
      <c r="AD48" t="str">
        <f ca="1">IFERROR(__xludf.DUMMYFUNCTION("""COMPUTED_VALUE"""),"Unsure")</f>
        <v>Unsure</v>
      </c>
      <c r="AE48" t="str">
        <f ca="1">IFERROR(__xludf.DUMMYFUNCTION("""COMPUTED_VALUE"""),"Unsure")</f>
        <v>Unsure</v>
      </c>
      <c r="AF48" t="str">
        <f ca="1">IFERROR(__xludf.DUMMYFUNCTION("""COMPUTED_VALUE"""),"No")</f>
        <v>No</v>
      </c>
      <c r="AG48" s="93" t="str">
        <f ca="1">IFERROR(__xludf.DUMMYFUNCTION("""COMPUTED_VALUE"""),"https://www.gastrojournal.org/content/authorinfo")</f>
        <v>https://www.gastrojournal.org/content/authorinfo</v>
      </c>
      <c r="AH48" t="str">
        <f ca="1">IFERROR(__xludf.DUMMYFUNCTION("""COMPUTED_VALUE"""),"No preprint policy")</f>
        <v>No preprint policy</v>
      </c>
      <c r="AI48" t="str">
        <f ca="1">IFERROR(__xludf.DUMMYFUNCTION("""COMPUTED_VALUE"""),"")</f>
        <v/>
      </c>
      <c r="AJ48" t="str">
        <f ca="1">IFERROR(__xludf.DUMMYFUNCTION("""COMPUTED_VALUE"""),"Not specified")</f>
        <v>Not specified</v>
      </c>
      <c r="AK48" t="str">
        <f ca="1">IFERROR(__xludf.DUMMYFUNCTION("""COMPUTED_VALUE"""),"Unsure")</f>
        <v>Unsure</v>
      </c>
      <c r="AL48" t="str">
        <f ca="1">IFERROR(__xludf.DUMMYFUNCTION("""COMPUTED_VALUE"""),"")</f>
        <v/>
      </c>
      <c r="AM48" t="str">
        <f ca="1">IFERROR(__xludf.DUMMYFUNCTION("""COMPUTED_VALUE"""),"")</f>
        <v/>
      </c>
      <c r="AN48" t="str">
        <f ca="1">IFERROR(__xludf.DUMMYFUNCTION("""COMPUTED_VALUE"""),"")</f>
        <v/>
      </c>
      <c r="AO48" t="str">
        <f ca="1">IFERROR(__xludf.DUMMYFUNCTION("""COMPUTED_VALUE"""),"")</f>
        <v/>
      </c>
      <c r="AP48" t="str">
        <f ca="1">IFERROR(__xludf.DUMMYFUNCTION("""COMPUTED_VALUE"""),"The journal ""Gastroenterology"" belongs to the American Gastroenterological Association but is published by Elsevier. Nevertheless, the journal website details the review procedures which sometimes depart from Elsevier's other journals. As with other jou"&amp;"rnals, the information the editors consider most important for authors concerns the topics and publication types admissible to the journal and the way editors expect (potential) authors to act. All the information available on the peer review process is c"&amp;"onveniently located in one single document/website.; Preprint-version: (Put ""No preprint policy"" because of sentences like this: ""The publication of abstracts or posters is not considered duplicate publication but should be disclosed in the cover lette"&amp;"r accompanying the manuscript submission."" )")</f>
        <v>The journal "Gastroenterology" belongs to the American Gastroenterological Association but is published by Elsevier. Nevertheless, the journal website details the review procedures which sometimes depart from Elsevier's other journals. As with other journals, the information the editors consider most important for authors concerns the topics and publication types admissible to the journal and the way editors expect (potential) authors to act. All the information available on the peer review process is conveniently located in one single document/website.; Preprint-version: (Put "No preprint policy" because of sentences like this: "The publication of abstracts or posters is not considered duplicate publication but should be disclosed in the cover letter accompanying the manuscript submission." )</v>
      </c>
      <c r="AQ48" t="str">
        <f ca="1">IFERROR(__xludf.DUMMYFUNCTION("""COMPUTED_VALUE"""),"")</f>
        <v/>
      </c>
      <c r="AR48" t="str">
        <f ca="1">IFERROR(__xludf.DUMMYFUNCTION("""COMPUTED_VALUE"""),"")</f>
        <v/>
      </c>
    </row>
    <row r="49" spans="1:44" ht="13">
      <c r="A49" t="str">
        <f ca="1">IFERROR(__xludf.DUMMYFUNCTION("""COMPUTED_VALUE"""),"SR")</f>
        <v>SR</v>
      </c>
      <c r="B49" s="41">
        <f ca="1">IFERROR(__xludf.DUMMYFUNCTION("""COMPUTED_VALUE"""),43438)</f>
        <v>43438</v>
      </c>
      <c r="C49" t="str">
        <f ca="1">IFERROR(__xludf.DUMMYFUNCTION("""COMPUTED_VALUE"""),"JP")</f>
        <v>JP</v>
      </c>
      <c r="D49" s="28">
        <f ca="1">IFERROR(__xludf.DUMMYFUNCTION("""COMPUTED_VALUE"""),43566)</f>
        <v>43566</v>
      </c>
      <c r="E49" t="str">
        <f ca="1">IFERROR(__xludf.DUMMYFUNCTION("""COMPUTED_VALUE"""),"TRH")</f>
        <v>TRH</v>
      </c>
      <c r="F49" s="28">
        <f ca="1">IFERROR(__xludf.DUMMYFUNCTION("""COMPUTED_VALUE"""),43580)</f>
        <v>43580</v>
      </c>
      <c r="G49" s="28" t="str">
        <f ca="1">IFERROR(__xludf.DUMMYFUNCTION("""COMPUTED_VALUE"""),"")</f>
        <v/>
      </c>
      <c r="H49" t="str">
        <f ca="1">IFERROR(__xludf.DUMMYFUNCTION("""COMPUTED_VALUE"""),"1552-3977")</f>
        <v>1552-3977</v>
      </c>
      <c r="I49" t="str">
        <f ca="1">IFERROR(__xludf.DUMMYFUNCTION("""COMPUTED_VALUE"""),"Gender &amp; Society")</f>
        <v>Gender &amp; Society</v>
      </c>
      <c r="J49" t="str">
        <f ca="1">IFERROR(__xludf.DUMMYFUNCTION("""COMPUTED_VALUE"""),"Humanities, Literature &amp; Arts")</f>
        <v>Humanities, Literature &amp; Arts</v>
      </c>
      <c r="K49" t="str">
        <f ca="1">IFERROR(__xludf.DUMMYFUNCTION("""COMPUTED_VALUE"""),"SAGE")</f>
        <v>SAGE</v>
      </c>
      <c r="L49" t="str">
        <f ca="1">IFERROR(__xludf.DUMMYFUNCTION("""COMPUTED_VALUE"""),"Double blind")</f>
        <v>Double blind</v>
      </c>
      <c r="M49" s="93" t="str">
        <f ca="1">IFERROR(__xludf.DUMMYFUNCTION("""COMPUTED_VALUE"""),"https://uk.sagepub.com/en-gb/eur/gender-society/journal200793#submission-guidelines")</f>
        <v>https://uk.sagepub.com/en-gb/eur/gender-society/journal200793#submission-guidelines</v>
      </c>
      <c r="N49" t="str">
        <f ca="1">IFERROR(__xludf.DUMMYFUNCTION("""COMPUTED_VALUE"""),"")</f>
        <v/>
      </c>
      <c r="O49" s="93" t="str">
        <f ca="1">IFERROR(__xludf.DUMMYFUNCTION("""COMPUTED_VALUE"""),"https://uk.sagepub.com/en-gb/eur/online-submission-peer-review-system")</f>
        <v>https://uk.sagepub.com/en-gb/eur/online-submission-peer-review-system</v>
      </c>
      <c r="P49" t="str">
        <f ca="1">IFERROR(__xludf.DUMMYFUNCTION("""COMPUTED_VALUE"""),"Yes")</f>
        <v>Yes</v>
      </c>
      <c r="Q49" t="str">
        <f ca="1">IFERROR(__xludf.DUMMYFUNCTION("""COMPUTED_VALUE"""),"")</f>
        <v/>
      </c>
      <c r="R49" t="str">
        <f ca="1">IFERROR(__xludf.DUMMYFUNCTION("""COMPUTED_VALUE"""),"")</f>
        <v/>
      </c>
      <c r="S49" t="str">
        <f ca="1">IFERROR(__xludf.DUMMYFUNCTION("""COMPUTED_VALUE"""),"Not specified")</f>
        <v>Not specified</v>
      </c>
      <c r="T49" t="str">
        <f ca="1">IFERROR(__xludf.DUMMYFUNCTION("""COMPUTED_VALUE"""),"Not specified")</f>
        <v>Not specified</v>
      </c>
      <c r="U49" t="str">
        <f ca="1">IFERROR(__xludf.DUMMYFUNCTION("""COMPUTED_VALUE"""),"Not specified")</f>
        <v>Not specified</v>
      </c>
      <c r="V49" t="str">
        <f ca="1">IFERROR(__xludf.DUMMYFUNCTION("""COMPUTED_VALUE"""),"Not specified")</f>
        <v>Not specified</v>
      </c>
      <c r="W49" t="str">
        <f ca="1">IFERROR(__xludf.DUMMYFUNCTION("""COMPUTED_VALUE"""),"Not specified")</f>
        <v>Not specified</v>
      </c>
      <c r="X49" t="str">
        <f ca="1">IFERROR(__xludf.DUMMYFUNCTION("""COMPUTED_VALUE"""),"Not specified")</f>
        <v>Not specified</v>
      </c>
      <c r="Y49" t="str">
        <f ca="1">IFERROR(__xludf.DUMMYFUNCTION("""COMPUTED_VALUE"""),"Not specified")</f>
        <v>Not specified</v>
      </c>
      <c r="Z49" t="str">
        <f ca="1">IFERROR(__xludf.DUMMYFUNCTION("""COMPUTED_VALUE"""),"Not specified")</f>
        <v>Not specified</v>
      </c>
      <c r="AA49" t="str">
        <f ca="1">IFERROR(__xludf.DUMMYFUNCTION("""COMPUTED_VALUE"""),"")</f>
        <v/>
      </c>
      <c r="AB49" t="str">
        <f ca="1">IFERROR(__xludf.DUMMYFUNCTION("""COMPUTED_VALUE"""),"")</f>
        <v/>
      </c>
      <c r="AC49" t="str">
        <f ca="1">IFERROR(__xludf.DUMMYFUNCTION("""COMPUTED_VALUE"""),"")</f>
        <v/>
      </c>
      <c r="AD49" t="str">
        <f ca="1">IFERROR(__xludf.DUMMYFUNCTION("""COMPUTED_VALUE"""),"Unsure")</f>
        <v>Unsure</v>
      </c>
      <c r="AE49" t="str">
        <f ca="1">IFERROR(__xludf.DUMMYFUNCTION("""COMPUTED_VALUE"""),"Unsure")</f>
        <v>Unsure</v>
      </c>
      <c r="AF49" t="str">
        <f ca="1">IFERROR(__xludf.DUMMYFUNCTION("""COMPUTED_VALUE"""),"Unsure")</f>
        <v>Unsure</v>
      </c>
      <c r="AG49" s="93" t="str">
        <f ca="1">IFERROR(__xludf.DUMMYFUNCTION("""COMPUTED_VALUE"""),"https://uk.sagepub.com/en-gb/eur/prior-publication")</f>
        <v>https://uk.sagepub.com/en-gb/eur/prior-publication</v>
      </c>
      <c r="AH49" t="str">
        <f ca="1">IFERROR(__xludf.DUMMYFUNCTION("""COMPUTED_VALUE"""),"After peer review (but not final, copyedited version)")</f>
        <v>After peer review (but not final, copyedited version)</v>
      </c>
      <c r="AI49" t="str">
        <f ca="1">IFERROR(__xludf.DUMMYFUNCTION("""COMPUTED_VALUE"""),"Servers should enable green open access (minimum)")</f>
        <v>Servers should enable green open access (minimum)</v>
      </c>
      <c r="AJ49" t="str">
        <f ca="1">IFERROR(__xludf.DUMMYFUNCTION("""COMPUTED_VALUE"""),"Not specified")</f>
        <v>Not specified</v>
      </c>
      <c r="AK49" t="str">
        <f ca="1">IFERROR(__xludf.DUMMYFUNCTION("""COMPUTED_VALUE"""),"Unsure")</f>
        <v>Unsure</v>
      </c>
      <c r="AL49" t="str">
        <f ca="1">IFERROR(__xludf.DUMMYFUNCTION("""COMPUTED_VALUE"""),"Working papers or versions of the paper posted on a pre-print server: authors should alert the Editor when submitting their paper if they have posted it on a pre-print server. Authors should not post an updated version of their paper on the pre-print serv"&amp;"er while it is being peer reviewed for possible publication in the journal. If the article is accepted for publication, the author may re-use their work according to the journal's self-archiving policy: SAGE’s standard self-archiving policy can be found o"&amp;"n our Author Gateway. Please note that individual journals may not accept for consideration papers that have been posted on pre-print servers. Please check the submission guidelines of the journal you are submitting to and confirm with the Editor or Edito"&amp;"rial Office directly.")</f>
        <v>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v>
      </c>
      <c r="AM49" t="str">
        <f ca="1">IFERROR(__xludf.DUMMYFUNCTION("""COMPUTED_VALUE"""),"")</f>
        <v/>
      </c>
      <c r="AN49" t="str">
        <f ca="1">IFERROR(__xludf.DUMMYFUNCTION("""COMPUTED_VALUE"""),"")</f>
        <v/>
      </c>
      <c r="AO49" t="str">
        <f ca="1">IFERROR(__xludf.DUMMYFUNCTION("""COMPUTED_VALUE"""),"")</f>
        <v/>
      </c>
      <c r="AP49" t="str">
        <f ca="1">IFERROR(__xludf.DUMMYFUNCTION("""COMPUTED_VALUE"""),"Gender &amp; Society is published by SAGE, but as with journal versus publisher policies generally, it is not clear which rules specified by SAGE apply to this particular journal. E.g. Concerning preprint policies, the SAGE website offers author information t"&amp;"hat is linked in a circular way to preprint policies (i.e. the preprint policy page refers to the author guidelines and vice versa).")</f>
        <v>Gender &amp; Society is published by SAGE, but as with journal versus publisher policies generally, it is not clear which rules specified by SAGE apply to this particular journal. E.g. Concerning preprint policies, the SAGE website offers author information that is linked in a circular way to preprint policies (i.e. the preprint policy page refers to the author guidelines and vice versa).</v>
      </c>
      <c r="AQ49" t="str">
        <f ca="1">IFERROR(__xludf.DUMMYFUNCTION("""COMPUTED_VALUE"""),"")</f>
        <v/>
      </c>
      <c r="AR49" t="str">
        <f ca="1">IFERROR(__xludf.DUMMYFUNCTION("""COMPUTED_VALUE"""),"")</f>
        <v/>
      </c>
    </row>
    <row r="50" spans="1:44" ht="13">
      <c r="A50" t="str">
        <f ca="1">IFERROR(__xludf.DUMMYFUNCTION("""COMPUTED_VALUE"""),"SR")</f>
        <v>SR</v>
      </c>
      <c r="B50" s="41">
        <f ca="1">IFERROR(__xludf.DUMMYFUNCTION("""COMPUTED_VALUE"""),43438)</f>
        <v>43438</v>
      </c>
      <c r="C50" t="str">
        <f ca="1">IFERROR(__xludf.DUMMYFUNCTION("""COMPUTED_VALUE"""),"JP")</f>
        <v>JP</v>
      </c>
      <c r="D50" s="28">
        <f ca="1">IFERROR(__xludf.DUMMYFUNCTION("""COMPUTED_VALUE"""),43566)</f>
        <v>43566</v>
      </c>
      <c r="E50" t="str">
        <f ca="1">IFERROR(__xludf.DUMMYFUNCTION("""COMPUTED_VALUE"""),"TRH")</f>
        <v>TRH</v>
      </c>
      <c r="F50" s="28">
        <f ca="1">IFERROR(__xludf.DUMMYFUNCTION("""COMPUTED_VALUE"""),43580)</f>
        <v>43580</v>
      </c>
      <c r="G50" s="28" t="str">
        <f ca="1">IFERROR(__xludf.DUMMYFUNCTION("""COMPUTED_VALUE"""),"")</f>
        <v/>
      </c>
      <c r="H50" t="str">
        <f ca="1">IFERROR(__xludf.DUMMYFUNCTION("""COMPUTED_VALUE"""),"1944-8007")</f>
        <v>1944-8007</v>
      </c>
      <c r="I50" t="str">
        <f ca="1">IFERROR(__xludf.DUMMYFUNCTION("""COMPUTED_VALUE"""),"Geophysical Research Letters")</f>
        <v>Geophysical Research Letters</v>
      </c>
      <c r="J50" t="str">
        <f ca="1">IFERROR(__xludf.DUMMYFUNCTION("""COMPUTED_VALUE"""),"Physics &amp; Mathematics")</f>
        <v>Physics &amp; Mathematics</v>
      </c>
      <c r="K50" t="str">
        <f ca="1">IFERROR(__xludf.DUMMYFUNCTION("""COMPUTED_VALUE"""),"Wiley/Advancing Earth and Space Science")</f>
        <v>Wiley/Advancing Earth and Space Science</v>
      </c>
      <c r="L50" t="str">
        <f ca="1">IFERROR(__xludf.DUMMYFUNCTION("""COMPUTED_VALUE"""),"Unsure")</f>
        <v>Unsure</v>
      </c>
      <c r="M50" s="93" t="str">
        <f ca="1">IFERROR(__xludf.DUMMYFUNCTION("""COMPUTED_VALUE"""),"https://publications.agu.org/author-resource-center/steps-to-publication/")</f>
        <v>https://publications.agu.org/author-resource-center/steps-to-publication/</v>
      </c>
      <c r="N50" t="str">
        <f ca="1">IFERROR(__xludf.DUMMYFUNCTION("""COMPUTED_VALUE"""),"")</f>
        <v/>
      </c>
      <c r="O50" s="93" t="str">
        <f ca="1">IFERROR(__xludf.DUMMYFUNCTION("""COMPUTED_VALUE"""),"https://publications.agu.org/reviewer-resources/")</f>
        <v>https://publications.agu.org/reviewer-resources/</v>
      </c>
      <c r="P50" t="str">
        <f ca="1">IFERROR(__xludf.DUMMYFUNCTION("""COMPUTED_VALUE"""),"No")</f>
        <v>No</v>
      </c>
      <c r="Q50" t="str">
        <f ca="1">IFERROR(__xludf.DUMMYFUNCTION("""COMPUTED_VALUE"""),"Not specified")</f>
        <v>Not specified</v>
      </c>
      <c r="R50" t="str">
        <f ca="1">IFERROR(__xludf.DUMMYFUNCTION("""COMPUTED_VALUE"""),"")</f>
        <v/>
      </c>
      <c r="S50" t="str">
        <f ca="1">IFERROR(__xludf.DUMMYFUNCTION("""COMPUTED_VALUE"""),"Not specified")</f>
        <v>Not specified</v>
      </c>
      <c r="T50" t="str">
        <f ca="1">IFERROR(__xludf.DUMMYFUNCTION("""COMPUTED_VALUE"""),"Not specified")</f>
        <v>Not specified</v>
      </c>
      <c r="U50" t="str">
        <f ca="1">IFERROR(__xludf.DUMMYFUNCTION("""COMPUTED_VALUE"""),"Not specified")</f>
        <v>Not specified</v>
      </c>
      <c r="V50" t="str">
        <f ca="1">IFERROR(__xludf.DUMMYFUNCTION("""COMPUTED_VALUE"""),"Not specified")</f>
        <v>Not specified</v>
      </c>
      <c r="W50" t="str">
        <f ca="1">IFERROR(__xludf.DUMMYFUNCTION("""COMPUTED_VALUE"""),"Not specified")</f>
        <v>Not specified</v>
      </c>
      <c r="X50" t="str">
        <f ca="1">IFERROR(__xludf.DUMMYFUNCTION("""COMPUTED_VALUE"""),"Not specified")</f>
        <v>Not specified</v>
      </c>
      <c r="Y50" t="str">
        <f ca="1">IFERROR(__xludf.DUMMYFUNCTION("""COMPUTED_VALUE"""),"Not specified")</f>
        <v>Not specified</v>
      </c>
      <c r="Z50" t="str">
        <f ca="1">IFERROR(__xludf.DUMMYFUNCTION("""COMPUTED_VALUE"""),"Not specified")</f>
        <v>Not specified</v>
      </c>
      <c r="AA50" t="str">
        <f ca="1">IFERROR(__xludf.DUMMYFUNCTION("""COMPUTED_VALUE"""),"")</f>
        <v/>
      </c>
      <c r="AB50" t="str">
        <f ca="1">IFERROR(__xludf.DUMMYFUNCTION("""COMPUTED_VALUE"""),"All reviewers are expected to uphold AGU’s ethical guidelines and to disclose any conflicts of interest to the editors. Reviewers are expected to keep manuscripts confidential.")</f>
        <v>All reviewers are expected to uphold AGU’s ethical guidelines and to disclose any conflicts of interest to the editors. Reviewers are expected to keep manuscripts confidential.</v>
      </c>
      <c r="AC50" s="93" t="str">
        <f ca="1">IFERROR(__xludf.DUMMYFUNCTION("""COMPUTED_VALUE"""),"https://publications.agu.org/reviewer-resources/")</f>
        <v>https://publications.agu.org/reviewer-resources/</v>
      </c>
      <c r="AD50" t="str">
        <f ca="1">IFERROR(__xludf.DUMMYFUNCTION("""COMPUTED_VALUE"""),"Unsure")</f>
        <v>Unsure</v>
      </c>
      <c r="AE50" t="str">
        <f ca="1">IFERROR(__xludf.DUMMYFUNCTION("""COMPUTED_VALUE"""),"Unsure")</f>
        <v>Unsure</v>
      </c>
      <c r="AF50" t="str">
        <f ca="1">IFERROR(__xludf.DUMMYFUNCTION("""COMPUTED_VALUE"""),"Unsure")</f>
        <v>Unsure</v>
      </c>
      <c r="AG50" s="93" t="str">
        <f ca="1">IFERROR(__xludf.DUMMYFUNCTION("""COMPUTED_VALUE"""),"https://publications.agu.org/author-resource-center/publication-policies/dual-publication-policy/")</f>
        <v>https://publications.agu.org/author-resource-center/publication-policies/dual-publication-policy/</v>
      </c>
      <c r="AH50" t="str">
        <f ca="1">IFERROR(__xludf.DUMMYFUNCTION("""COMPUTED_VALUE"""),"After peer review (but not final, copyedited version)")</f>
        <v>After peer review (but not final, copyedited version)</v>
      </c>
      <c r="AI50" t="str">
        <f ca="1">IFERROR(__xludf.DUMMYFUNCTION("""COMPUTED_VALUE"""),"AGU does allow posting of preprints and accepted papers in not-for-profit preprint servers that are designed to facilitate community engagement and discovery across the sciences. Any other online publication with a service that provides archiving with cit"&amp;"ation protocols and public retrieval capabilities constitutes prior publication. Preprint servers – AGU allows authors to post a draft of their accepted manuscripts on Earth and Space Science Open Archive (ESSOAr) or another not-for-profit preprint server"&amp;" that is designed to facilitate community engagement and discovery across the sciences.
 Repositories – AGU allows to be placed in an institutional repository 6 months after publication and allows submitted articles to be accessible on the author’s pers"&amp;"onal website. AGU also supports governmental and institutional repositories and access is available to AGU content through CHORUS, usually 12 months after publication.")</f>
        <v>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v>
      </c>
      <c r="AJ50" t="str">
        <f ca="1">IFERROR(__xludf.DUMMYFUNCTION("""COMPUTED_VALUE"""),"Not specified")</f>
        <v>Not specified</v>
      </c>
      <c r="AK50" t="str">
        <f ca="1">IFERROR(__xludf.DUMMYFUNCTION("""COMPUTED_VALUE"""),"Unsure")</f>
        <v>Unsure</v>
      </c>
      <c r="AL50" t="str">
        <f ca="1">IFERROR(__xludf.DUMMYFUNCTION("""COMPUTED_VALUE"""),"AGU does not consider prior press attention of a result as publication unless the release is so extensive that it would count as prior publication of a paper. AGU encourages authors to release results to the press at the time of publication when a full as"&amp;"sessment is possible. AGU does not embargo press notifications and strives to distribute these as soon as AGU content is available online. AGU also often co-issues or otherwise coordinates press notifications with authors’ institutions. We also can coordi"&amp;"nate publication of your AGU paper with publication of other papers in non-AGU journals on request of authors or their institutions. If you feel that your paper merits press or social media attention, or are planning a press release or other press notific"&amp;"ation about your paper, please fill out our form here.")</f>
        <v>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v>
      </c>
      <c r="AM50" t="str">
        <f ca="1">IFERROR(__xludf.DUMMYFUNCTION("""COMPUTED_VALUE"""),"")</f>
        <v/>
      </c>
      <c r="AN50" t="str">
        <f ca="1">IFERROR(__xludf.DUMMYFUNCTION("""COMPUTED_VALUE"""),"")</f>
        <v/>
      </c>
      <c r="AO50" t="str">
        <f ca="1">IFERROR(__xludf.DUMMYFUNCTION("""COMPUTED_VALUE"""),"")</f>
        <v/>
      </c>
      <c r="AP50" t="str">
        <f ca="1">IFERROR(__xludf.DUMMYFUNCTION("""COMPUTED_VALUE"""),"GRL is an invitation-only journal, meaning that potential authors may submit plans for contributions which will then be evauluated by the editors. In light of this, it still seems to be fairly explicit concerning its peer review policies, at least as far "&amp;"as preprints and licensing is concerned.")</f>
        <v>GRL is an invitation-only journal, meaning that potential authors may submit plans for contributions which will then be evauluated by the editors. In light of this, it still seems to be fairly explicit concerning its peer review policies, at least as far as preprints and licensing is concerned.</v>
      </c>
      <c r="AQ50" t="str">
        <f ca="1">IFERROR(__xludf.DUMMYFUNCTION("""COMPUTED_VALUE"""),"")</f>
        <v/>
      </c>
      <c r="AR50" t="str">
        <f ca="1">IFERROR(__xludf.DUMMYFUNCTION("""COMPUTED_VALUE"""),"")</f>
        <v/>
      </c>
    </row>
    <row r="51" spans="1:44" ht="13">
      <c r="A51" t="str">
        <f ca="1">IFERROR(__xludf.DUMMYFUNCTION("""COMPUTED_VALUE"""),"SR")</f>
        <v>SR</v>
      </c>
      <c r="B51" s="41">
        <f ca="1">IFERROR(__xludf.DUMMYFUNCTION("""COMPUTED_VALUE"""),43438)</f>
        <v>43438</v>
      </c>
      <c r="C51" t="str">
        <f ca="1">IFERROR(__xludf.DUMMYFUNCTION("""COMPUTED_VALUE"""),"GMD")</f>
        <v>GMD</v>
      </c>
      <c r="D51" s="28">
        <f ca="1">IFERROR(__xludf.DUMMYFUNCTION("""COMPUTED_VALUE"""),43579)</f>
        <v>43579</v>
      </c>
      <c r="E51" t="str">
        <f ca="1">IFERROR(__xludf.DUMMYFUNCTION("""COMPUTED_VALUE"""),"JP")</f>
        <v>JP</v>
      </c>
      <c r="F51" s="28">
        <f ca="1">IFERROR(__xludf.DUMMYFUNCTION("""COMPUTED_VALUE"""),43581)</f>
        <v>43581</v>
      </c>
      <c r="G51" t="str">
        <f ca="1">IFERROR(__xludf.DUMMYFUNCTION("""COMPUTED_VALUE"""),"Changed nos to not specified, changed preprint policy to more appropriate link, changed preprint version, and license")</f>
        <v>Changed nos to not specified, changed preprint policy to more appropriate link, changed preprint version, and license</v>
      </c>
      <c r="H51" t="str">
        <f ca="1">IFERROR(__xludf.DUMMYFUNCTION("""COMPUTED_VALUE"""),"0959-3780")</f>
        <v>0959-3780</v>
      </c>
      <c r="I51" t="str">
        <f ca="1">IFERROR(__xludf.DUMMYFUNCTION("""COMPUTED_VALUE"""),"Global Environmental Change")</f>
        <v>Global Environmental Change</v>
      </c>
      <c r="J51" t="str">
        <f ca="1">IFERROR(__xludf.DUMMYFUNCTION("""COMPUTED_VALUE"""),"Social Sciences")</f>
        <v>Social Sciences</v>
      </c>
      <c r="K51" t="str">
        <f ca="1">IFERROR(__xludf.DUMMYFUNCTION("""COMPUTED_VALUE"""),"Elsevier")</f>
        <v>Elsevier</v>
      </c>
      <c r="L51" t="str">
        <f ca="1">IFERROR(__xludf.DUMMYFUNCTION("""COMPUTED_VALUE"""),"Double blind")</f>
        <v>Double blind</v>
      </c>
      <c r="M51" s="93" t="str">
        <f ca="1">IFERROR(__xludf.DUMMYFUNCTION("""COMPUTED_VALUE"""),"https://www.elsevier.com/journals/global-environmental-change/0959-3780/guide-for-authors")</f>
        <v>https://www.elsevier.com/journals/global-environmental-change/0959-3780/guide-for-authors</v>
      </c>
      <c r="N51" t="str">
        <f ca="1">IFERROR(__xludf.DUMMYFUNCTION("""COMPUTED_VALUE"""),"")</f>
        <v/>
      </c>
      <c r="O51" s="93" t="str">
        <f ca="1">IFERROR(__xludf.DUMMYFUNCTION("""COMPUTED_VALUE"""),"https://www.elsevier.com/reviewers/role#recognizing")</f>
        <v>https://www.elsevier.com/reviewers/role#recognizing</v>
      </c>
      <c r="P51" t="str">
        <f ca="1">IFERROR(__xludf.DUMMYFUNCTION("""COMPUTED_VALUE"""),"No - Under ""Peer Reviewer activity deposited into open database"" -&gt; Peer Reviewer activity IS deposited into a database by Elsevier, but it is NOT open. This applies across the Elsevier platform. See https://www.elsevier.com/reviewers/role#recognizing ")</f>
        <v xml:space="preserve">No - Under "Peer Reviewer activity deposited into open database" -&gt; Peer Reviewer activity IS deposited into a database by Elsevier, but it is NOT open. This applies across the Elsevier platform. See https://www.elsevier.com/reviewers/role#recognizing </v>
      </c>
      <c r="Q51"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51" s="93" t="str">
        <f ca="1">IFERROR(__xludf.DUMMYFUNCTION("""COMPUTED_VALUE"""),"https://www.elsevier.com/reviewers/what-is-peer-review")</f>
        <v>https://www.elsevier.com/reviewers/what-is-peer-review</v>
      </c>
      <c r="S51" t="str">
        <f ca="1">IFERROR(__xludf.DUMMYFUNCTION("""COMPUTED_VALUE"""),"Not specified")</f>
        <v>Not specified</v>
      </c>
      <c r="T51" t="str">
        <f ca="1">IFERROR(__xludf.DUMMYFUNCTION("""COMPUTED_VALUE"""),"Not specified")</f>
        <v>Not specified</v>
      </c>
      <c r="U51" t="str">
        <f ca="1">IFERROR(__xludf.DUMMYFUNCTION("""COMPUTED_VALUE"""),"Not specified")</f>
        <v>Not specified</v>
      </c>
      <c r="V51" t="str">
        <f ca="1">IFERROR(__xludf.DUMMYFUNCTION("""COMPUTED_VALUE"""),"Not specified")</f>
        <v>Not specified</v>
      </c>
      <c r="W51" t="str">
        <f ca="1">IFERROR(__xludf.DUMMYFUNCTION("""COMPUTED_VALUE"""),"Not specified")</f>
        <v>Not specified</v>
      </c>
      <c r="X51" t="str">
        <f ca="1">IFERROR(__xludf.DUMMYFUNCTION("""COMPUTED_VALUE"""),"Not specified")</f>
        <v>Not specified</v>
      </c>
      <c r="Y51" t="str">
        <f ca="1">IFERROR(__xludf.DUMMYFUNCTION("""COMPUTED_VALUE"""),"Not specified")</f>
        <v>Not specified</v>
      </c>
      <c r="Z51" t="str">
        <f ca="1">IFERROR(__xludf.DUMMYFUNCTION("""COMPUTED_VALUE"""),"Not specified")</f>
        <v>Not specified</v>
      </c>
      <c r="AA51" t="str">
        <f ca="1">IFERROR(__xludf.DUMMYFUNCTION("""COMPUTED_VALUE"""),"")</f>
        <v/>
      </c>
      <c r="AB51"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51" s="93" t="str">
        <f ca="1">IFERROR(__xludf.DUMMYFUNCTION("""COMPUTED_VALUE"""),"https://www.elsevier.com/reviewers/how-to-review")</f>
        <v>https://www.elsevier.com/reviewers/how-to-review</v>
      </c>
      <c r="AD51" t="str">
        <f ca="1">IFERROR(__xludf.DUMMYFUNCTION("""COMPUTED_VALUE"""),"Unsure")</f>
        <v>Unsure</v>
      </c>
      <c r="AE51" t="str">
        <f ca="1">IFERROR(__xludf.DUMMYFUNCTION("""COMPUTED_VALUE"""),"Unsure")</f>
        <v>Unsure</v>
      </c>
      <c r="AF51" t="str">
        <f ca="1">IFERROR(__xludf.DUMMYFUNCTION("""COMPUTED_VALUE"""),"Unsure")</f>
        <v>Unsure</v>
      </c>
      <c r="AG51" s="93" t="str">
        <f ca="1">IFERROR(__xludf.DUMMYFUNCTION("""COMPUTED_VALUE"""),"https://www.elsevier.com/about/policies/sharing")</f>
        <v>https://www.elsevier.com/about/policies/sharing</v>
      </c>
      <c r="AH51" t="str">
        <f ca="1">IFERROR(__xludf.DUMMYFUNCTION("""COMPUTED_VALUE"""),"Unsure (preprints are allowed, but it's not clear what version) - accepted version can be posted to arXiv &amp; RePEc")</f>
        <v>Unsure (preprints are allowed, but it's not clear what version) - accepted version can be posted to arXiv &amp; RePEc</v>
      </c>
      <c r="AI51"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51" t="str">
        <f ca="1">IFERROR(__xludf.DUMMYFUNCTION("""COMPUTED_VALUE"""),"Not specified")</f>
        <v>Not specified</v>
      </c>
      <c r="AK51" t="str">
        <f ca="1">IFERROR(__xludf.DUMMYFUNCTION("""COMPUTED_VALUE"""),"Unsure")</f>
        <v>Unsure</v>
      </c>
      <c r="AL51" t="str">
        <f ca="1">IFERROR(__xludf.DUMMYFUNCTION("""COMPUTED_VALUE"""),"")</f>
        <v/>
      </c>
      <c r="AM51" t="str">
        <f ca="1">IFERROR(__xludf.DUMMYFUNCTION("""COMPUTED_VALUE"""),"")</f>
        <v/>
      </c>
      <c r="AN51" t="str">
        <f ca="1">IFERROR(__xludf.DUMMYFUNCTION("""COMPUTED_VALUE"""),"")</f>
        <v/>
      </c>
      <c r="AO51" t="str">
        <f ca="1">IFERROR(__xludf.DUMMYFUNCTION("""COMPUTED_VALUE"""),"")</f>
        <v/>
      </c>
      <c r="AP51" t="str">
        <f ca="1">IFERROR(__xludf.DUMMYFUNCTION("""COMPUTED_VALUE"""),"")</f>
        <v/>
      </c>
      <c r="AQ51" t="str">
        <f ca="1">IFERROR(__xludf.DUMMYFUNCTION("""COMPUTED_VALUE"""),"")</f>
        <v/>
      </c>
      <c r="AR51" t="str">
        <f ca="1">IFERROR(__xludf.DUMMYFUNCTION("""COMPUTED_VALUE"""),"")</f>
        <v/>
      </c>
    </row>
    <row r="52" spans="1:44" ht="13">
      <c r="A52" t="str">
        <f ca="1">IFERROR(__xludf.DUMMYFUNCTION("""COMPUTED_VALUE"""),"TRH")</f>
        <v>TRH</v>
      </c>
      <c r="B52" s="41">
        <f ca="1">IFERROR(__xludf.DUMMYFUNCTION("""COMPUTED_VALUE"""),43511)</f>
        <v>43511</v>
      </c>
      <c r="C52" t="str">
        <f ca="1">IFERROR(__xludf.DUMMYFUNCTION("""COMPUTED_VALUE"""),"GMD")</f>
        <v>GMD</v>
      </c>
      <c r="D52" s="28">
        <f ca="1">IFERROR(__xludf.DUMMYFUNCTION("""COMPUTED_VALUE"""),43579)</f>
        <v>43579</v>
      </c>
      <c r="E52" t="str">
        <f ca="1">IFERROR(__xludf.DUMMYFUNCTION("""COMPUTED_VALUE"""),"JP")</f>
        <v>JP</v>
      </c>
      <c r="F52" s="28">
        <f ca="1">IFERROR(__xludf.DUMMYFUNCTION("""COMPUTED_VALUE"""),43583)</f>
        <v>43583</v>
      </c>
      <c r="G52" t="str">
        <f ca="1">IFERROR(__xludf.DUMMYFUNCTION("""COMPUTED_VALUE"""),"Changed peer review policy url; copied reviewer instructions from other Elsevier record")</f>
        <v>Changed peer review policy url; copied reviewer instructions from other Elsevier record</v>
      </c>
      <c r="H52" t="str">
        <f ca="1">IFERROR(__xludf.DUMMYFUNCTION("""COMPUTED_VALUE"""),"0740-624X")</f>
        <v>0740-624X</v>
      </c>
      <c r="I52" t="str">
        <f ca="1">IFERROR(__xludf.DUMMYFUNCTION("""COMPUTED_VALUE"""),"Government Information Quarterly")</f>
        <v>Government Information Quarterly</v>
      </c>
      <c r="J52" t="str">
        <f ca="1">IFERROR(__xludf.DUMMYFUNCTION("""COMPUTED_VALUE"""),"Social Sciences")</f>
        <v>Social Sciences</v>
      </c>
      <c r="K52" t="str">
        <f ca="1">IFERROR(__xludf.DUMMYFUNCTION("""COMPUTED_VALUE"""),"")</f>
        <v/>
      </c>
      <c r="L52" t="str">
        <f ca="1">IFERROR(__xludf.DUMMYFUNCTION("""COMPUTED_VALUE"""),"Other (apppears to offer choice of single blind or double blind)")</f>
        <v>Other (apppears to offer choice of single blind or double blind)</v>
      </c>
      <c r="M52" s="93" t="str">
        <f ca="1">IFERROR(__xludf.DUMMYFUNCTION("""COMPUTED_VALUE"""),"https://www.elsevier.com/journals/government-information-quarterly/0740-624X?generatepdf=true")</f>
        <v>https://www.elsevier.com/journals/government-information-quarterly/0740-624X?generatepdf=true</v>
      </c>
      <c r="N52" t="str">
        <f ca="1">IFERROR(__xludf.DUMMYFUNCTION("""COMPUTED_VALUE"""),"")</f>
        <v/>
      </c>
      <c r="O52" t="str">
        <f ca="1">IFERROR(__xludf.DUMMYFUNCTION("""COMPUTED_VALUE"""),"")</f>
        <v/>
      </c>
      <c r="P52" t="str">
        <f ca="1">IFERROR(__xludf.DUMMYFUNCTION("""COMPUTED_VALUE"""),"Unsure")</f>
        <v>Unsure</v>
      </c>
      <c r="Q52" t="str">
        <f ca="1">IFERROR(__xludf.DUMMYFUNCTION("""COMPUTED_VALUE"""),"This journal has partnered with Heliyon, an open access journal from Elsevier publishing quality peer reviewed research across all disciplines. Heliyon’s team of experts provides editorial excellence, fast publication, and high visibility for your paper. "&amp;"Authors can quickly and easily transfer their research from a Partner Journal to Heliyon without the need to edit, reformat or resubmit.")</f>
        <v>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v>
      </c>
      <c r="R52" s="93" t="str">
        <f ca="1">IFERROR(__xludf.DUMMYFUNCTION("""COMPUTED_VALUE"""),"https://www.journals.elsevier.com/government-information-quarterly/announcements")</f>
        <v>https://www.journals.elsevier.com/government-information-quarterly/announcements</v>
      </c>
      <c r="S52" t="str">
        <f ca="1">IFERROR(__xludf.DUMMYFUNCTION("""COMPUTED_VALUE"""),"Not specified")</f>
        <v>Not specified</v>
      </c>
      <c r="T52" t="str">
        <f ca="1">IFERROR(__xludf.DUMMYFUNCTION("""COMPUTED_VALUE"""),"Not specified")</f>
        <v>Not specified</v>
      </c>
      <c r="U52" t="str">
        <f ca="1">IFERROR(__xludf.DUMMYFUNCTION("""COMPUTED_VALUE"""),"Not specified")</f>
        <v>Not specified</v>
      </c>
      <c r="V52" t="str">
        <f ca="1">IFERROR(__xludf.DUMMYFUNCTION("""COMPUTED_VALUE"""),"Not specified")</f>
        <v>Not specified</v>
      </c>
      <c r="W52" t="str">
        <f ca="1">IFERROR(__xludf.DUMMYFUNCTION("""COMPUTED_VALUE"""),"Not specified")</f>
        <v>Not specified</v>
      </c>
      <c r="X52" t="str">
        <f ca="1">IFERROR(__xludf.DUMMYFUNCTION("""COMPUTED_VALUE"""),"Not specified")</f>
        <v>Not specified</v>
      </c>
      <c r="Y52" t="str">
        <f ca="1">IFERROR(__xludf.DUMMYFUNCTION("""COMPUTED_VALUE"""),"Not specified")</f>
        <v>Not specified</v>
      </c>
      <c r="Z52" t="str">
        <f ca="1">IFERROR(__xludf.DUMMYFUNCTION("""COMPUTED_VALUE"""),"Not specified")</f>
        <v>Not specified</v>
      </c>
      <c r="AA52" t="str">
        <f ca="1">IFERROR(__xludf.DUMMYFUNCTION("""COMPUTED_VALUE"""),"")</f>
        <v/>
      </c>
      <c r="AB52"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52" s="93" t="str">
        <f ca="1">IFERROR(__xludf.DUMMYFUNCTION("""COMPUTED_VALUE"""),"https://www.elsevier.com/reviewers/how-to-review")</f>
        <v>https://www.elsevier.com/reviewers/how-to-review</v>
      </c>
      <c r="AD52" t="str">
        <f ca="1">IFERROR(__xludf.DUMMYFUNCTION("""COMPUTED_VALUE"""),"Unsure")</f>
        <v>Unsure</v>
      </c>
      <c r="AE52" t="str">
        <f ca="1">IFERROR(__xludf.DUMMYFUNCTION("""COMPUTED_VALUE"""),"Unsure")</f>
        <v>Unsure</v>
      </c>
      <c r="AF52" t="str">
        <f ca="1">IFERROR(__xludf.DUMMYFUNCTION("""COMPUTED_VALUE"""),"Unsure")</f>
        <v>Unsure</v>
      </c>
      <c r="AG52" s="93" t="str">
        <f ca="1">IFERROR(__xludf.DUMMYFUNCTION("""COMPUTED_VALUE"""),"https://www.elsevier.com/about/policies/sharing")</f>
        <v>https://www.elsevier.com/about/policies/sharing</v>
      </c>
      <c r="AH52" t="str">
        <f ca="1">IFERROR(__xludf.DUMMYFUNCTION("""COMPUTED_VALUE"""),"Unsure (preprints are allowed, but it's not clear what version) - accepted version can be posted to arXiv &amp; RePEc")</f>
        <v>Unsure (preprints are allowed, but it's not clear what version) - accepted version can be posted to arXiv &amp; RePEc</v>
      </c>
      <c r="AI52"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52" t="str">
        <f ca="1">IFERROR(__xludf.DUMMYFUNCTION("""COMPUTED_VALUE"""),"Unsure")</f>
        <v>Unsure</v>
      </c>
      <c r="AK52" t="str">
        <f ca="1">IFERROR(__xludf.DUMMYFUNCTION("""COMPUTED_VALUE"""),"Unsure")</f>
        <v>Unsure</v>
      </c>
      <c r="AL52" t="str">
        <f ca="1">IFERROR(__xludf.DUMMYFUNCTION("""COMPUTED_VALUE"""),"")</f>
        <v/>
      </c>
      <c r="AM52" t="str">
        <f ca="1">IFERROR(__xludf.DUMMYFUNCTION("""COMPUTED_VALUE"""),"")</f>
        <v/>
      </c>
      <c r="AN52" t="str">
        <f ca="1">IFERROR(__xludf.DUMMYFUNCTION("""COMPUTED_VALUE"""),"")</f>
        <v/>
      </c>
      <c r="AO52" t="str">
        <f ca="1">IFERROR(__xludf.DUMMYFUNCTION("""COMPUTED_VALUE"""),"")</f>
        <v/>
      </c>
      <c r="AP52" t="str">
        <f ca="1">IFERROR(__xludf.DUMMYFUNCTION("""COMPUTED_VALUE"""),"")</f>
        <v/>
      </c>
      <c r="AQ52" t="str">
        <f ca="1">IFERROR(__xludf.DUMMYFUNCTION("""COMPUTED_VALUE"""),"")</f>
        <v/>
      </c>
      <c r="AR52" t="str">
        <f ca="1">IFERROR(__xludf.DUMMYFUNCTION("""COMPUTED_VALUE"""),"")</f>
        <v/>
      </c>
    </row>
    <row r="53" spans="1:44" ht="13">
      <c r="A53" t="str">
        <f ca="1">IFERROR(__xludf.DUMMYFUNCTION("""COMPUTED_VALUE"""),"SR")</f>
        <v>SR</v>
      </c>
      <c r="B53" t="str">
        <f ca="1">IFERROR(__xludf.DUMMYFUNCTION("""COMPUTED_VALUE"""),"")</f>
        <v/>
      </c>
      <c r="C53" t="str">
        <f ca="1">IFERROR(__xludf.DUMMYFUNCTION("""COMPUTED_VALUE"""),"GMD")</f>
        <v>GMD</v>
      </c>
      <c r="D53" s="28">
        <f ca="1">IFERROR(__xludf.DUMMYFUNCTION("""COMPUTED_VALUE"""),43579)</f>
        <v>43579</v>
      </c>
      <c r="E53" t="str">
        <f ca="1">IFERROR(__xludf.DUMMYFUNCTION("""COMPUTED_VALUE"""),"JP")</f>
        <v>JP</v>
      </c>
      <c r="F53" s="28">
        <f ca="1">IFERROR(__xludf.DUMMYFUNCTION("""COMPUTED_VALUE"""),43583)</f>
        <v>43583</v>
      </c>
      <c r="G53" t="str">
        <f ca="1">IFERROR(__xludf.DUMMYFUNCTION("""COMPUTED_VALUE"""),"Changed preprint version and license")</f>
        <v>Changed preprint version and license</v>
      </c>
      <c r="H53" t="str">
        <f ca="1">IFERROR(__xludf.DUMMYFUNCTION("""COMPUTED_VALUE"""),"1468-3288")</f>
        <v>1468-3288</v>
      </c>
      <c r="I53" t="str">
        <f ca="1">IFERROR(__xludf.DUMMYFUNCTION("""COMPUTED_VALUE"""),"Gut")</f>
        <v>Gut</v>
      </c>
      <c r="J53" t="str">
        <f ca="1">IFERROR(__xludf.DUMMYFUNCTION("""COMPUTED_VALUE"""),"")</f>
        <v/>
      </c>
      <c r="K53" t="str">
        <f ca="1">IFERROR(__xludf.DUMMYFUNCTION("""COMPUTED_VALUE"""),"British Society of Gastroenterology/BMJ")</f>
        <v>British Society of Gastroenterology/BMJ</v>
      </c>
      <c r="L53" t="str">
        <f ca="1">IFERROR(__xludf.DUMMYFUNCTION("""COMPUTED_VALUE"""),"Single Blind")</f>
        <v>Single Blind</v>
      </c>
      <c r="M53" s="93" t="str">
        <f ca="1">IFERROR(__xludf.DUMMYFUNCTION("""COMPUTED_VALUE"""),"https://authors.bmj.com/policies/peer-review-terms-and-conditions/")</f>
        <v>https://authors.bmj.com/policies/peer-review-terms-and-conditions/</v>
      </c>
      <c r="N53" t="str">
        <f ca="1">IFERROR(__xludf.DUMMYFUNCTION("""COMPUTED_VALUE"""),"")</f>
        <v/>
      </c>
      <c r="O53" t="str">
        <f ca="1">IFERROR(__xludf.DUMMYFUNCTION("""COMPUTED_VALUE"""),"")</f>
        <v/>
      </c>
      <c r="P53" t="str">
        <f ca="1">IFERROR(__xludf.DUMMYFUNCTION("""COMPUTED_VALUE"""),"Unsure")</f>
        <v>Unsure</v>
      </c>
      <c r="Q53" t="str">
        <f ca="1">IFERROR(__xludf.DUMMYFUNCTION("""COMPUTED_VALUE"""),"BMJ and the British Society of Gastroenterology have a facility for transferring manuscripts among their gastroenterology and hepatology journals. Authors submitting to the flagship journal Gut can choose Frontline Gastroenterology or BMJ Open Gastroenter"&amp;"ology as an ‘alternate journal’. Once authors agree for their manuscript to be transferred to another BMJ journal, all versions of the manuscript, any supplementary files and peer review comments will automatically be transferred on the author’s behalf. P"&amp;"lease note that there is no guarantee of acceptance. Contact the editorial team for more information or assistance.")</f>
        <v>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v>
      </c>
      <c r="R53" s="93" t="str">
        <f ca="1">IFERROR(__xludf.DUMMYFUNCTION("""COMPUTED_VALUE"""),"https://gut.bmj.com/pages/authors/#manuscript_transfer")</f>
        <v>https://gut.bmj.com/pages/authors/#manuscript_transfer</v>
      </c>
      <c r="S53" t="str">
        <f ca="1">IFERROR(__xludf.DUMMYFUNCTION("""COMPUTED_VALUE"""),"No")</f>
        <v>No</v>
      </c>
      <c r="T53" t="str">
        <f ca="1">IFERROR(__xludf.DUMMYFUNCTION("""COMPUTED_VALUE"""),"No")</f>
        <v>No</v>
      </c>
      <c r="U53" t="str">
        <f ca="1">IFERROR(__xludf.DUMMYFUNCTION("""COMPUTED_VALUE"""),"Not specified")</f>
        <v>Not specified</v>
      </c>
      <c r="V53" t="str">
        <f ca="1">IFERROR(__xludf.DUMMYFUNCTION("""COMPUTED_VALUE"""),"Not specified")</f>
        <v>Not specified</v>
      </c>
      <c r="W53" t="str">
        <f ca="1">IFERROR(__xludf.DUMMYFUNCTION("""COMPUTED_VALUE"""),"No")</f>
        <v>No</v>
      </c>
      <c r="X53" t="str">
        <f ca="1">IFERROR(__xludf.DUMMYFUNCTION("""COMPUTED_VALUE"""),"No")</f>
        <v>No</v>
      </c>
      <c r="Y53" t="str">
        <f ca="1">IFERROR(__xludf.DUMMYFUNCTION("""COMPUTED_VALUE"""),"No")</f>
        <v>No</v>
      </c>
      <c r="Z53" t="str">
        <f ca="1">IFERROR(__xludf.DUMMYFUNCTION("""COMPUTED_VALUE"""),"No")</f>
        <v>No</v>
      </c>
      <c r="AA53" t="str">
        <f ca="1">IFERROR(__xludf.DUMMYFUNCTION("""COMPUTED_VALUE"""),"")</f>
        <v/>
      </c>
      <c r="AB53" t="str">
        <f ca="1">IFERROR(__xludf.DUMMYFUNCTION("""COMPUTED_VALUE"""),"If you do choose to discuss the manuscript and/or your review with a professional colleague whose input you request as part of your review process, you are responsible for ensuring that they are made fully aware of the confidential nature of the discussio"&amp;"n and that they must not disclose any information about the manuscript until the article is published. The identity of any co-reviewer and any potential conflicting or competing interests they may have must be disclosed when submitting your review.")</f>
        <v>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C53" s="93" t="str">
        <f ca="1">IFERROR(__xludf.DUMMYFUNCTION("""COMPUTED_VALUE"""),"https://authors.bmj.com/policies/peer-review-terms-and-conditions/")</f>
        <v>https://authors.bmj.com/policies/peer-review-terms-and-conditions/</v>
      </c>
      <c r="AD53" t="str">
        <f ca="1">IFERROR(__xludf.DUMMYFUNCTION("""COMPUTED_VALUE"""),"Yes")</f>
        <v>Yes</v>
      </c>
      <c r="AE53" t="str">
        <f ca="1">IFERROR(__xludf.DUMMYFUNCTION("""COMPUTED_VALUE"""),"Unsure")</f>
        <v>Unsure</v>
      </c>
      <c r="AF53" t="str">
        <f ca="1">IFERROR(__xludf.DUMMYFUNCTION("""COMPUTED_VALUE"""),"Unsure")</f>
        <v>Unsure</v>
      </c>
      <c r="AG53" s="93" t="str">
        <f ca="1">IFERROR(__xludf.DUMMYFUNCTION("""COMPUTED_VALUE"""),"https://authors.bmj.com/policies/preprints/")</f>
        <v>https://authors.bmj.com/policies/preprints/</v>
      </c>
      <c r="AH53" t="str">
        <f ca="1">IFERROR(__xludf.DUMMYFUNCTION("""COMPUTED_VALUE"""),"After peer review (but not final version): ""BMJ does not recommend that Author Accepted Manuscripts are placed on preprint servers.""")</f>
        <v>After peer review (but not final version): "BMJ does not recommend that Author Accepted Manuscripts are placed on preprint servers."</v>
      </c>
      <c r="AI53" t="str">
        <f ca="1">IFERROR(__xludf.DUMMYFUNCTION("""COMPUTED_VALUE"""),"BMJ fully supports and encourages the archiving of preprints in any recognised, not-for-profit, preprint server, such as arXiv, bioRxiv or medRxiv.")</f>
        <v>BMJ fully supports and encourages the archiving of preprints in any recognised, not-for-profit, preprint server, such as arXiv, bioRxiv or medRxiv.</v>
      </c>
      <c r="AJ53" t="str">
        <f ca="1">IFERROR(__xludf.DUMMYFUNCTION("""COMPUTED_VALUE"""),"Not specified")</f>
        <v>Not specified</v>
      </c>
      <c r="AK53" t="str">
        <f ca="1">IFERROR(__xludf.DUMMYFUNCTION("""COMPUTED_VALUE"""),"Unsure")</f>
        <v>Unsure</v>
      </c>
      <c r="AL53" t="str">
        <f ca="1">IFERROR(__xludf.DUMMYFUNCTION("""COMPUTED_VALUE"""),"Preprints are preliminary reports of work that have not been peer reviewed. They should therefore not be used to guide clinical practice, health-related behavior or health policy. They should not be reported in the media as established information.")</f>
        <v>Preprints are preliminary reports of work that have not been peer reviewed. They should therefore not be used to guide clinical practice, health-related behavior or health policy. They should not be reported in the media as established information.</v>
      </c>
      <c r="AM53" t="str">
        <f ca="1">IFERROR(__xludf.DUMMYFUNCTION("""COMPUTED_VALUE"""),"BMJ places no restrictions on the licence chosen when posting a preprint version of work (eg authors may choose CC BY or CC BY NC), but authors must retain copyright of their work when posting to a preprint server. Authors must include a link/DOI to the p"&amp;"reprint version of your manuscript when submitting to a BMJ journal")</f>
        <v>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v>
      </c>
      <c r="AN53" t="str">
        <f ca="1">IFERROR(__xludf.DUMMYFUNCTION("""COMPUTED_VALUE"""),"")</f>
        <v/>
      </c>
      <c r="AO53" t="str">
        <f ca="1">IFERROR(__xludf.DUMMYFUNCTION("""COMPUTED_VALUE"""),"")</f>
        <v/>
      </c>
      <c r="AP53" t="str">
        <f ca="1">IFERROR(__xludf.DUMMYFUNCTION("""COMPUTED_VALUE"""),"")</f>
        <v/>
      </c>
      <c r="AQ53" t="str">
        <f ca="1">IFERROR(__xludf.DUMMYFUNCTION("""COMPUTED_VALUE"""),"")</f>
        <v/>
      </c>
      <c r="AR53" t="str">
        <f ca="1">IFERROR(__xludf.DUMMYFUNCTION("""COMPUTED_VALUE"""),"")</f>
        <v/>
      </c>
    </row>
    <row r="54" spans="1:44" ht="13">
      <c r="A54" t="str">
        <f ca="1">IFERROR(__xludf.DUMMYFUNCTION("""COMPUTED_VALUE"""),"SR")</f>
        <v>SR</v>
      </c>
      <c r="B54" t="str">
        <f ca="1">IFERROR(__xludf.DUMMYFUNCTION("""COMPUTED_VALUE"""),"")</f>
        <v/>
      </c>
      <c r="C54" t="str">
        <f ca="1">IFERROR(__xludf.DUMMYFUNCTION("""COMPUTED_VALUE"""),"GMD")</f>
        <v>GMD</v>
      </c>
      <c r="D54" s="28">
        <f ca="1">IFERROR(__xludf.DUMMYFUNCTION("""COMPUTED_VALUE"""),43579)</f>
        <v>43579</v>
      </c>
      <c r="E54" t="str">
        <f ca="1">IFERROR(__xludf.DUMMYFUNCTION("""COMPUTED_VALUE"""),"JP")</f>
        <v>JP</v>
      </c>
      <c r="F54" s="28">
        <f ca="1">IFERROR(__xludf.DUMMYFUNCTION("""COMPUTED_VALUE"""),43583)</f>
        <v>43583</v>
      </c>
      <c r="G54" t="str">
        <f ca="1">IFERROR(__xludf.DUMMYFUNCTION("""COMPUTED_VALUE"""),"Changed to double blind review, removed irrelevant urls for review form &amp; transfer. Reviewers see each others' comments but don't interact, changed preprint  url &amp; policies")</f>
        <v>Changed to double blind review, removed irrelevant urls for review form &amp; transfer. Reviewers see each others' comments but don't interact, changed preprint  url &amp; policies</v>
      </c>
      <c r="H54" t="str">
        <f ca="1">IFERROR(__xludf.DUMMYFUNCTION("""COMPUTED_VALUE"""),"1544-5208")</f>
        <v>1544-5208</v>
      </c>
      <c r="I54" t="str">
        <f ca="1">IFERROR(__xludf.DUMMYFUNCTION("""COMPUTED_VALUE"""),"Health Affairs")</f>
        <v>Health Affairs</v>
      </c>
      <c r="J54" t="str">
        <f ca="1">IFERROR(__xludf.DUMMYFUNCTION("""COMPUTED_VALUE"""),"Social Sciences")</f>
        <v>Social Sciences</v>
      </c>
      <c r="K54" t="str">
        <f ca="1">IFERROR(__xludf.DUMMYFUNCTION("""COMPUTED_VALUE"""),"Project HOPE")</f>
        <v>Project HOPE</v>
      </c>
      <c r="L54" t="str">
        <f ca="1">IFERROR(__xludf.DUMMYFUNCTION("""COMPUTED_VALUE"""),"Double blind")</f>
        <v>Double blind</v>
      </c>
      <c r="M54" s="93" t="str">
        <f ca="1">IFERROR(__xludf.DUMMYFUNCTION("""COMPUTED_VALUE"""),"https://www.healthaffairs.org/help-for-authors")</f>
        <v>https://www.healthaffairs.org/help-for-authors</v>
      </c>
      <c r="N54" t="str">
        <f ca="1">IFERROR(__xludf.DUMMYFUNCTION("""COMPUTED_VALUE"""),"")</f>
        <v/>
      </c>
      <c r="O54" s="93" t="str">
        <f ca="1">IFERROR(__xludf.DUMMYFUNCTION("""COMPUTED_VALUE"""),"https://www.healthaffairs.org/help-for-reviewers")</f>
        <v>https://www.healthaffairs.org/help-for-reviewers</v>
      </c>
      <c r="P54" t="str">
        <f ca="1">IFERROR(__xludf.DUMMYFUNCTION("""COMPUTED_VALUE"""),"Unsure")</f>
        <v>Unsure</v>
      </c>
      <c r="Q54" t="str">
        <f ca="1">IFERROR(__xludf.DUMMYFUNCTION("""COMPUTED_VALUE"""),"")</f>
        <v/>
      </c>
      <c r="R54" t="str">
        <f ca="1">IFERROR(__xludf.DUMMYFUNCTION("""COMPUTED_VALUE"""),"")</f>
        <v/>
      </c>
      <c r="S54" t="str">
        <f ca="1">IFERROR(__xludf.DUMMYFUNCTION("""COMPUTED_VALUE"""),"No")</f>
        <v>No</v>
      </c>
      <c r="T54" t="str">
        <f ca="1">IFERROR(__xludf.DUMMYFUNCTION("""COMPUTED_VALUE"""),"Not specified")</f>
        <v>Not specified</v>
      </c>
      <c r="U54" t="str">
        <f ca="1">IFERROR(__xludf.DUMMYFUNCTION("""COMPUTED_VALUE"""),"Not specified")</f>
        <v>Not specified</v>
      </c>
      <c r="V54" t="str">
        <f ca="1">IFERROR(__xludf.DUMMYFUNCTION("""COMPUTED_VALUE"""),"No")</f>
        <v>No</v>
      </c>
      <c r="W54" t="str">
        <f ca="1">IFERROR(__xludf.DUMMYFUNCTION("""COMPUTED_VALUE"""),"Not specified")</f>
        <v>Not specified</v>
      </c>
      <c r="X54" t="str">
        <f ca="1">IFERROR(__xludf.DUMMYFUNCTION("""COMPUTED_VALUE"""),"Not specified")</f>
        <v>Not specified</v>
      </c>
      <c r="Y54" t="str">
        <f ca="1">IFERROR(__xludf.DUMMYFUNCTION("""COMPUTED_VALUE"""),"No")</f>
        <v>No</v>
      </c>
      <c r="Z54" t="str">
        <f ca="1">IFERROR(__xludf.DUMMYFUNCTION("""COMPUTED_VALUE"""),"No")</f>
        <v>No</v>
      </c>
      <c r="AA54" t="str">
        <f ca="1">IFERROR(__xludf.DUMMYFUNCTION("""COMPUTED_VALUE"""),"")</f>
        <v/>
      </c>
      <c r="AB54" t="str">
        <f ca="1">IFERROR(__xludf.DUMMYFUNCTION("""COMPUTED_VALUE"""),"""These restrictions might be relaxed in the event that you wish to incorporate the comments of others in your review comments. However, other reviewers must agree to abide by the restrictions described above. If you do wish to enlist the aid of others in"&amp;" reviewing this paper, we ask that you inform us before proceeding. Please contact the editor who requested the review.""")</f>
        <v>"These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v>
      </c>
      <c r="AC54" s="93" t="str">
        <f ca="1">IFERROR(__xludf.DUMMYFUNCTION("""COMPUTED_VALUE"""),"https://www.healthaffairs.org/help-for-reviewers")</f>
        <v>https://www.healthaffairs.org/help-for-reviewers</v>
      </c>
      <c r="AD54" t="str">
        <f ca="1">IFERROR(__xludf.DUMMYFUNCTION("""COMPUTED_VALUE"""),"Yes")</f>
        <v>Yes</v>
      </c>
      <c r="AE54" t="str">
        <f ca="1">IFERROR(__xludf.DUMMYFUNCTION("""COMPUTED_VALUE"""),"Unsure")</f>
        <v>Unsure</v>
      </c>
      <c r="AF54" t="str">
        <f ca="1">IFERROR(__xludf.DUMMYFUNCTION("""COMPUTED_VALUE"""),"Unsure")</f>
        <v>Unsure</v>
      </c>
      <c r="AG54" s="93" t="str">
        <f ca="1">IFERROR(__xludf.DUMMYFUNCTION("""COMPUTED_VALUE"""),"https://www.healthaffairs.org/help-for-authors")</f>
        <v>https://www.healthaffairs.org/help-for-authors</v>
      </c>
      <c r="AH54" t="str">
        <f ca="1">IFERROR(__xludf.DUMMYFUNCTION("""COMPUTED_VALUE"""),"Unsure (preprints are allowed, but not sure what version)")</f>
        <v>Unsure (preprints are allowed, but not sure what version)</v>
      </c>
      <c r="AI54" t="str">
        <f ca="1">IFERROR(__xludf.DUMMYFUNCTION("""COMPUTED_VALUE"""),"If your paper has been posted on the Internet or otherwise circulated in a preliminary form or as a working paper for a limited audience, or if your paper is associated with a longer report or brief that either has or has not yet been released, you must i"&amp;"nform the editors at the time of submission. Factors that will be considered in determining whether or not a paper that is derivative of such working papers, briefs, or reports include: online presence, the extent of distribution/exposure, media exposure "&amp;"that resulted from active attempts to promote the work to the media (e.g., by media releases or media briefings), the presence of new data, analysis, etc., in the submission that distinguishes it from the earlier work.")</f>
        <v>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v>
      </c>
      <c r="AJ54" t="str">
        <f ca="1">IFERROR(__xludf.DUMMYFUNCTION("""COMPUTED_VALUE"""),"Not specified")</f>
        <v>Not specified</v>
      </c>
      <c r="AK54" t="str">
        <f ca="1">IFERROR(__xludf.DUMMYFUNCTION("""COMPUTED_VALUE"""),"Unsure")</f>
        <v>Unsure</v>
      </c>
      <c r="AL54" t="str">
        <f ca="1">IFERROR(__xludf.DUMMYFUNCTION("""COMPUTED_VALUE"""),"""All papers are embargoed for release until a specified date. No story may be released to the public until 12:01 a.m. on the embargo date (this means that news stories may be printed, aired, or released electronically in that day's morning editions)."" G"&amp;"eneral embargo policy: https://www.healthaffairs.org/help-for-authors#embargopolicy")</f>
        <v>"All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v>
      </c>
      <c r="AM54" t="str">
        <f ca="1">IFERROR(__xludf.DUMMYFUNCTION("""COMPUTED_VALUE"""),"")</f>
        <v/>
      </c>
      <c r="AN54" t="str">
        <f ca="1">IFERROR(__xludf.DUMMYFUNCTION("""COMPUTED_VALUE"""),"")</f>
        <v/>
      </c>
      <c r="AO54" t="str">
        <f ca="1">IFERROR(__xludf.DUMMYFUNCTION("""COMPUTED_VALUE"""),"")</f>
        <v/>
      </c>
      <c r="AP54" t="str">
        <f ca="1">IFERROR(__xludf.DUMMYFUNCTION("""COMPUTED_VALUE"""),"")</f>
        <v/>
      </c>
      <c r="AQ54" t="str">
        <f ca="1">IFERROR(__xludf.DUMMYFUNCTION("""COMPUTED_VALUE"""),"")</f>
        <v/>
      </c>
      <c r="AR54" t="str">
        <f ca="1">IFERROR(__xludf.DUMMYFUNCTION("""COMPUTED_VALUE"""),"")</f>
        <v/>
      </c>
    </row>
    <row r="55" spans="1:44" ht="13">
      <c r="A55" t="str">
        <f ca="1">IFERROR(__xludf.DUMMYFUNCTION("""COMPUTED_VALUE"""),"SR")</f>
        <v>SR</v>
      </c>
      <c r="B55" t="str">
        <f ca="1">IFERROR(__xludf.DUMMYFUNCTION("""COMPUTED_VALUE"""),"")</f>
        <v/>
      </c>
      <c r="C55" t="str">
        <f ca="1">IFERROR(__xludf.DUMMYFUNCTION("""COMPUTED_VALUE"""),"TRH")</f>
        <v>TRH</v>
      </c>
      <c r="D55" s="28">
        <f ca="1">IFERROR(__xludf.DUMMYFUNCTION("""COMPUTED_VALUE"""),43575)</f>
        <v>43575</v>
      </c>
      <c r="E55" t="str">
        <f ca="1">IFERROR(__xludf.DUMMYFUNCTION("""COMPUTED_VALUE"""),"JP")</f>
        <v>JP</v>
      </c>
      <c r="F55" s="28">
        <f ca="1">IFERROR(__xludf.DUMMYFUNCTION("""COMPUTED_VALUE"""),43581)</f>
        <v>43581</v>
      </c>
      <c r="G55" t="str">
        <f ca="1">IFERROR(__xludf.DUMMYFUNCTION("""COMPUTED_VALUE"""),"")</f>
        <v/>
      </c>
      <c r="H55" t="str">
        <f ca="1">IFERROR(__xludf.DUMMYFUNCTION("""COMPUTED_VALUE"""),"1527-3350")</f>
        <v>1527-3350</v>
      </c>
      <c r="I55" t="str">
        <f ca="1">IFERROR(__xludf.DUMMYFUNCTION("""COMPUTED_VALUE"""),"Hepatology")</f>
        <v>Hepatology</v>
      </c>
      <c r="J55" t="str">
        <f ca="1">IFERROR(__xludf.DUMMYFUNCTION("""COMPUTED_VALUE"""),"")</f>
        <v/>
      </c>
      <c r="K55" t="str">
        <f ca="1">IFERROR(__xludf.DUMMYFUNCTION("""COMPUTED_VALUE"""),"Wiley on behalf of the American Association for the Study of Liver Diseases")</f>
        <v>Wiley on behalf of the American Association for the Study of Liver Diseases</v>
      </c>
      <c r="L55" t="str">
        <f ca="1">IFERROR(__xludf.DUMMYFUNCTION("""COMPUTED_VALUE"""),"Unsure")</f>
        <v>Unsure</v>
      </c>
      <c r="M55" s="93" t="str">
        <f ca="1">IFERROR(__xludf.DUMMYFUNCTION("""COMPUTED_VALUE"""),"https://aasldpubs.onlinelibrary.wiley.com/hub/journal/15273350/about/author-guidelines")</f>
        <v>https://aasldpubs.onlinelibrary.wiley.com/hub/journal/15273350/about/author-guidelines</v>
      </c>
      <c r="N55" t="str">
        <f ca="1">IFERROR(__xludf.DUMMYFUNCTION("""COMPUTED_VALUE"""),"")</f>
        <v/>
      </c>
      <c r="O55" t="str">
        <f ca="1">IFERROR(__xludf.DUMMYFUNCTION("""COMPUTED_VALUE"""),"")</f>
        <v/>
      </c>
      <c r="P55" t="str">
        <f ca="1">IFERROR(__xludf.DUMMYFUNCTION("""COMPUTED_VALUE"""),"Unsure")</f>
        <v>Unsure</v>
      </c>
      <c r="Q55" t="str">
        <f ca="1">IFERROR(__xludf.DUMMYFUNCTION("""COMPUTED_VALUE"""),"")</f>
        <v/>
      </c>
      <c r="R55" t="str">
        <f ca="1">IFERROR(__xludf.DUMMYFUNCTION("""COMPUTED_VALUE"""),"")</f>
        <v/>
      </c>
      <c r="S55" t="str">
        <f ca="1">IFERROR(__xludf.DUMMYFUNCTION("""COMPUTED_VALUE"""),"")</f>
        <v/>
      </c>
      <c r="T55" t="str">
        <f ca="1">IFERROR(__xludf.DUMMYFUNCTION("""COMPUTED_VALUE"""),"Not specified")</f>
        <v>Not specified</v>
      </c>
      <c r="U55" t="str">
        <f ca="1">IFERROR(__xludf.DUMMYFUNCTION("""COMPUTED_VALUE"""),"Not specified")</f>
        <v>Not specified</v>
      </c>
      <c r="V55" t="str">
        <f ca="1">IFERROR(__xludf.DUMMYFUNCTION("""COMPUTED_VALUE"""),"Not specified")</f>
        <v>Not specified</v>
      </c>
      <c r="W55" t="str">
        <f ca="1">IFERROR(__xludf.DUMMYFUNCTION("""COMPUTED_VALUE"""),"No")</f>
        <v>No</v>
      </c>
      <c r="X55" t="str">
        <f ca="1">IFERROR(__xludf.DUMMYFUNCTION("""COMPUTED_VALUE"""),"No")</f>
        <v>No</v>
      </c>
      <c r="Y55" t="str">
        <f ca="1">IFERROR(__xludf.DUMMYFUNCTION("""COMPUTED_VALUE"""),"Not specified")</f>
        <v>Not specified</v>
      </c>
      <c r="Z55" t="str">
        <f ca="1">IFERROR(__xludf.DUMMYFUNCTION("""COMPUTED_VALUE"""),"Not specified")</f>
        <v>Not specified</v>
      </c>
      <c r="AA55" t="str">
        <f ca="1">IFERROR(__xludf.DUMMYFUNCTION("""COMPUTED_VALUE"""),"")</f>
        <v/>
      </c>
      <c r="AB55" t="str">
        <f ca="1">IFERROR(__xludf.DUMMYFUNCTION("""COMPUTED_VALUE"""),"")</f>
        <v/>
      </c>
      <c r="AC55" t="str">
        <f ca="1">IFERROR(__xludf.DUMMYFUNCTION("""COMPUTED_VALUE"""),"")</f>
        <v/>
      </c>
      <c r="AD55" t="str">
        <f ca="1">IFERROR(__xludf.DUMMYFUNCTION("""COMPUTED_VALUE"""),"Unsure")</f>
        <v>Unsure</v>
      </c>
      <c r="AE55" t="str">
        <f ca="1">IFERROR(__xludf.DUMMYFUNCTION("""COMPUTED_VALUE"""),"Unsure")</f>
        <v>Unsure</v>
      </c>
      <c r="AF55" t="str">
        <f ca="1">IFERROR(__xludf.DUMMYFUNCTION("""COMPUTED_VALUE"""),"Unsure")</f>
        <v>Unsure</v>
      </c>
      <c r="AG55" s="93" t="str">
        <f ca="1">IFERROR(__xludf.DUMMYFUNCTION("""COMPUTED_VALUE"""),"https://aasldpubs.onlinelibrary.wiley.com/hub/journal/15273350/about/author-guidelines")</f>
        <v>https://aasldpubs.onlinelibrary.wiley.com/hub/journal/15273350/about/author-guidelines</v>
      </c>
      <c r="AH55" t="str">
        <f ca="1">IFERROR(__xludf.DUMMYFUNCTION("""COMPUTED_VALUE"""),"First submission only (before peer review)")</f>
        <v>First submission only (before peer review)</v>
      </c>
      <c r="AI55" t="str">
        <f ca="1">IFERROR(__xludf.DUMMYFUNCTION("""COMPUTED_VALUE"""),"HEPATOLOGY will consider for review articles previously available as preprints on non-commercial servers such as ArXiv, bioRxiv, etc.")</f>
        <v>HEPATOLOGY will consider for review articles previously available as preprints on non-commercial servers such as ArXiv, bioRxiv, etc.</v>
      </c>
      <c r="AJ55" t="str">
        <f ca="1">IFERROR(__xludf.DUMMYFUNCTION("""COMPUTED_VALUE"""),"Not specified")</f>
        <v>Not specified</v>
      </c>
      <c r="AK55" t="str">
        <f ca="1">IFERROR(__xludf.DUMMYFUNCTION("""COMPUTED_VALUE"""),"Unsure")</f>
        <v>Unsure</v>
      </c>
      <c r="AL55" t="str">
        <f ca="1">IFERROR(__xludf.DUMMYFUNCTION("""COMPUTED_VALUE"""),"")</f>
        <v/>
      </c>
      <c r="AM55" t="str">
        <f ca="1">IFERROR(__xludf.DUMMYFUNCTION("""COMPUTED_VALUE"""),"")</f>
        <v/>
      </c>
      <c r="AN55" t="str">
        <f ca="1">IFERROR(__xludf.DUMMYFUNCTION("""COMPUTED_VALUE"""),"")</f>
        <v/>
      </c>
      <c r="AO55" t="str">
        <f ca="1">IFERROR(__xludf.DUMMYFUNCTION("""COMPUTED_VALUE"""),"")</f>
        <v/>
      </c>
      <c r="AP55" t="str">
        <f ca="1">IFERROR(__xludf.DUMMYFUNCTION("""COMPUTED_VALUE"""),"")</f>
        <v/>
      </c>
      <c r="AQ55" t="str">
        <f ca="1">IFERROR(__xludf.DUMMYFUNCTION("""COMPUTED_VALUE"""),"")</f>
        <v/>
      </c>
      <c r="AR55" t="str">
        <f ca="1">IFERROR(__xludf.DUMMYFUNCTION("""COMPUTED_VALUE"""),"")</f>
        <v/>
      </c>
    </row>
    <row r="56" spans="1:44" ht="13">
      <c r="A56" t="str">
        <f ca="1">IFERROR(__xludf.DUMMYFUNCTION("""COMPUTED_VALUE"""),"SR")</f>
        <v>SR</v>
      </c>
      <c r="B56" t="str">
        <f ca="1">IFERROR(__xludf.DUMMYFUNCTION("""COMPUTED_VALUE"""),"")</f>
        <v/>
      </c>
      <c r="C56" t="str">
        <f ca="1">IFERROR(__xludf.DUMMYFUNCTION("""COMPUTED_VALUE"""),"TRH")</f>
        <v>TRH</v>
      </c>
      <c r="D56" s="28">
        <f ca="1">IFERROR(__xludf.DUMMYFUNCTION("""COMPUTED_VALUE"""),43575)</f>
        <v>43575</v>
      </c>
      <c r="E56" t="str">
        <f ca="1">IFERROR(__xludf.DUMMYFUNCTION("""COMPUTED_VALUE"""),"JP")</f>
        <v>JP</v>
      </c>
      <c r="F56" s="28">
        <f ca="1">IFERROR(__xludf.DUMMYFUNCTION("""COMPUTED_VALUE"""),43581)</f>
        <v>43581</v>
      </c>
      <c r="G56" t="str">
        <f ca="1">IFERROR(__xludf.DUMMYFUNCTION("""COMPUTED_VALUE"""),"Migrated text from ""preprints in citations list"" to ""acceptable characteristics of servers""")</f>
        <v>Migrated text from "preprints in citations list" to "acceptable characteristics of servers"</v>
      </c>
      <c r="H56" t="str">
        <f ca="1">IFERROR(__xludf.DUMMYFUNCTION("""COMPUTED_VALUE"""),"0163-6804")</f>
        <v>0163-6804</v>
      </c>
      <c r="I56" t="str">
        <f ca="1">IFERROR(__xludf.DUMMYFUNCTION("""COMPUTED_VALUE"""),"IEEE Communications Magazine")</f>
        <v>IEEE Communications Magazine</v>
      </c>
      <c r="J56" t="str">
        <f ca="1">IFERROR(__xludf.DUMMYFUNCTION("""COMPUTED_VALUE"""),"")</f>
        <v/>
      </c>
      <c r="K56" t="str">
        <f ca="1">IFERROR(__xludf.DUMMYFUNCTION("""COMPUTED_VALUE"""),"")</f>
        <v/>
      </c>
      <c r="L56" t="str">
        <f ca="1">IFERROR(__xludf.DUMMYFUNCTION("""COMPUTED_VALUE"""),"Unsure")</f>
        <v>Unsure</v>
      </c>
      <c r="M56" s="93" t="str">
        <f ca="1">IFERROR(__xludf.DUMMYFUNCTION("""COMPUTED_VALUE"""),"https://www.comsoc.org/publications/magazines/ieee-communications-magazine/magazine-reviewer")</f>
        <v>https://www.comsoc.org/publications/magazines/ieee-communications-magazine/magazine-reviewer</v>
      </c>
      <c r="N56" t="str">
        <f ca="1">IFERROR(__xludf.DUMMYFUNCTION("""COMPUTED_VALUE"""),"")</f>
        <v/>
      </c>
      <c r="O56" t="str">
        <f ca="1">IFERROR(__xludf.DUMMYFUNCTION("""COMPUTED_VALUE"""),"")</f>
        <v/>
      </c>
      <c r="P56" t="str">
        <f ca="1">IFERROR(__xludf.DUMMYFUNCTION("""COMPUTED_VALUE"""),"Unsure")</f>
        <v>Unsure</v>
      </c>
      <c r="Q56" t="str">
        <f ca="1">IFERROR(__xludf.DUMMYFUNCTION("""COMPUTED_VALUE"""),"")</f>
        <v/>
      </c>
      <c r="R56" t="str">
        <f ca="1">IFERROR(__xludf.DUMMYFUNCTION("""COMPUTED_VALUE"""),"")</f>
        <v/>
      </c>
      <c r="S56" t="str">
        <f ca="1">IFERROR(__xludf.DUMMYFUNCTION("""COMPUTED_VALUE"""),"Not specified")</f>
        <v>Not specified</v>
      </c>
      <c r="T56" t="str">
        <f ca="1">IFERROR(__xludf.DUMMYFUNCTION("""COMPUTED_VALUE"""),"Not specified")</f>
        <v>Not specified</v>
      </c>
      <c r="U56" t="str">
        <f ca="1">IFERROR(__xludf.DUMMYFUNCTION("""COMPUTED_VALUE"""),"Not specified")</f>
        <v>Not specified</v>
      </c>
      <c r="V56" t="str">
        <f ca="1">IFERROR(__xludf.DUMMYFUNCTION("""COMPUTED_VALUE"""),"Not specified")</f>
        <v>Not specified</v>
      </c>
      <c r="W56" t="str">
        <f ca="1">IFERROR(__xludf.DUMMYFUNCTION("""COMPUTED_VALUE"""),"Not specified")</f>
        <v>Not specified</v>
      </c>
      <c r="X56" t="str">
        <f ca="1">IFERROR(__xludf.DUMMYFUNCTION("""COMPUTED_VALUE"""),"Not specified")</f>
        <v>Not specified</v>
      </c>
      <c r="Y56" t="str">
        <f ca="1">IFERROR(__xludf.DUMMYFUNCTION("""COMPUTED_VALUE"""),"Not specified")</f>
        <v>Not specified</v>
      </c>
      <c r="Z56" t="str">
        <f ca="1">IFERROR(__xludf.DUMMYFUNCTION("""COMPUTED_VALUE"""),"Not specified")</f>
        <v>Not specified</v>
      </c>
      <c r="AA56" t="str">
        <f ca="1">IFERROR(__xludf.DUMMYFUNCTION("""COMPUTED_VALUE"""),"")</f>
        <v/>
      </c>
      <c r="AB56" t="str">
        <f ca="1">IFERROR(__xludf.DUMMYFUNCTION("""COMPUTED_VALUE"""),"")</f>
        <v/>
      </c>
      <c r="AC56" t="str">
        <f ca="1">IFERROR(__xludf.DUMMYFUNCTION("""COMPUTED_VALUE"""),"")</f>
        <v/>
      </c>
      <c r="AD56" t="str">
        <f ca="1">IFERROR(__xludf.DUMMYFUNCTION("""COMPUTED_VALUE"""),"Unsure")</f>
        <v>Unsure</v>
      </c>
      <c r="AE56" t="str">
        <f ca="1">IFERROR(__xludf.DUMMYFUNCTION("""COMPUTED_VALUE"""),"Unsure")</f>
        <v>Unsure</v>
      </c>
      <c r="AF56" t="str">
        <f ca="1">IFERROR(__xludf.DUMMYFUNCTION("""COMPUTED_VALUE"""),"Unsure")</f>
        <v>Unsure</v>
      </c>
      <c r="AG56" s="93" t="str">
        <f ca="1">IFERROR(__xludf.DUMMYFUNCTION("""COMPUTED_VALUE"""),"https://pspb.ieee.org/images/files/files/opsmanual.pdf")</f>
        <v>https://pspb.ieee.org/images/files/files/opsmanual.pdf</v>
      </c>
      <c r="AH56" t="str">
        <f ca="1">IFERROR(__xludf.DUMMYFUNCTION("""COMPUTED_VALUE"""),"First submission only (before peer review)")</f>
        <v>First submission only (before peer review)</v>
      </c>
      <c r="AI56" t="str">
        <f ca="1">IFERROR(__xludf.DUMMYFUNCTION("""COMPUTED_VALUE"""),"IEEE seeks to maximize the rights of its authors and their employers to post preprint versions of an article on the author’s personal web site, on a server operated by the author’s employer, or on a server operated by an approved not-for-profit third part"&amp;"y as specified in 8.1.9.G.2 below.... &gt; The IEEE permits posting on certain approved third-party servers. The list of approved servers shall be reviewed annually, and a complete and up-to-date list shall be maintained by the IEEE Intellectual Property Rig"&amp;"hts Office.")</f>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AJ56" t="str">
        <f ca="1">IFERROR(__xludf.DUMMYFUNCTION("""COMPUTED_VALUE"""),"Not specified")</f>
        <v>Not specified</v>
      </c>
      <c r="AK56" t="str">
        <f ca="1">IFERROR(__xludf.DUMMYFUNCTION("""COMPUTED_VALUE"""),"Unsure")</f>
        <v>Unsure</v>
      </c>
      <c r="AL56" t="str">
        <f ca="1">IFERROR(__xludf.DUMMYFUNCTION("""COMPUTED_VALUE"""),"")</f>
        <v/>
      </c>
      <c r="AM56" t="str">
        <f ca="1">IFERROR(__xludf.DUMMYFUNCTION("""COMPUTED_VALUE"""),"")</f>
        <v/>
      </c>
      <c r="AN56" t="str">
        <f ca="1">IFERROR(__xludf.DUMMYFUNCTION("""COMPUTED_VALUE"""),"")</f>
        <v/>
      </c>
      <c r="AO56" t="str">
        <f ca="1">IFERROR(__xludf.DUMMYFUNCTION("""COMPUTED_VALUE"""),"")</f>
        <v/>
      </c>
      <c r="AP56" t="str">
        <f ca="1">IFERROR(__xludf.DUMMYFUNCTION("""COMPUTED_VALUE"""),"")</f>
        <v/>
      </c>
      <c r="AQ56" t="str">
        <f ca="1">IFERROR(__xludf.DUMMYFUNCTION("""COMPUTED_VALUE"""),"")</f>
        <v/>
      </c>
      <c r="AR56" t="str">
        <f ca="1">IFERROR(__xludf.DUMMYFUNCTION("""COMPUTED_VALUE"""),"")</f>
        <v/>
      </c>
    </row>
    <row r="57" spans="1:44" ht="13">
      <c r="A57" t="str">
        <f ca="1">IFERROR(__xludf.DUMMYFUNCTION("""COMPUTED_VALUE"""),"SR")</f>
        <v>SR</v>
      </c>
      <c r="B57" t="str">
        <f ca="1">IFERROR(__xludf.DUMMYFUNCTION("""COMPUTED_VALUE"""),"")</f>
        <v/>
      </c>
      <c r="C57" t="str">
        <f ca="1">IFERROR(__xludf.DUMMYFUNCTION("""COMPUTED_VALUE"""),"TRH")</f>
        <v>TRH</v>
      </c>
      <c r="D57" s="28">
        <f ca="1">IFERROR(__xludf.DUMMYFUNCTION("""COMPUTED_VALUE"""),43575)</f>
        <v>43575</v>
      </c>
      <c r="E57" t="str">
        <f ca="1">IFERROR(__xludf.DUMMYFUNCTION("""COMPUTED_VALUE"""),"JP")</f>
        <v>JP</v>
      </c>
      <c r="F57" s="28">
        <f ca="1">IFERROR(__xludf.DUMMYFUNCTION("""COMPUTED_VALUE"""),43581)</f>
        <v>43581</v>
      </c>
      <c r="G57" t="str">
        <f ca="1">IFERROR(__xludf.DUMMYFUNCTION("""COMPUTED_VALUE"""),"Migrated text from ""preprints in citations list"" to ""acceptable characteristics of servers""")</f>
        <v>Migrated text from "preprints in citations list" to "acceptable characteristics of servers"</v>
      </c>
      <c r="H57" t="str">
        <f ca="1">IFERROR(__xludf.DUMMYFUNCTION("""COMPUTED_VALUE"""),"1553-877X")</f>
        <v>1553-877X</v>
      </c>
      <c r="I57" t="str">
        <f ca="1">IFERROR(__xludf.DUMMYFUNCTION("""COMPUTED_VALUE"""),"IEEE Communications Surveys &amp; Tutorials")</f>
        <v>IEEE Communications Surveys &amp; Tutorials</v>
      </c>
      <c r="J57" t="str">
        <f ca="1">IFERROR(__xludf.DUMMYFUNCTION("""COMPUTED_VALUE"""),"Engineering &amp; Computer Science")</f>
        <v>Engineering &amp; Computer Science</v>
      </c>
      <c r="K57" t="str">
        <f ca="1">IFERROR(__xludf.DUMMYFUNCTION("""COMPUTED_VALUE"""),"")</f>
        <v/>
      </c>
      <c r="L57" t="str">
        <f ca="1">IFERROR(__xludf.DUMMYFUNCTION("""COMPUTED_VALUE"""),"Unsure")</f>
        <v>Unsure</v>
      </c>
      <c r="M57" s="93" t="str">
        <f ca="1">IFERROR(__xludf.DUMMYFUNCTION("""COMPUTED_VALUE"""),"https://www.comsoc.org/publications/journals/ieee-comst/guidelines-reviewers")</f>
        <v>https://www.comsoc.org/publications/journals/ieee-comst/guidelines-reviewers</v>
      </c>
      <c r="N57" t="str">
        <f ca="1">IFERROR(__xludf.DUMMYFUNCTION("""COMPUTED_VALUE"""),"")</f>
        <v/>
      </c>
      <c r="O57" t="str">
        <f ca="1">IFERROR(__xludf.DUMMYFUNCTION("""COMPUTED_VALUE"""),"")</f>
        <v/>
      </c>
      <c r="P57" t="str">
        <f ca="1">IFERROR(__xludf.DUMMYFUNCTION("""COMPUTED_VALUE"""),"Unsure")</f>
        <v>Unsure</v>
      </c>
      <c r="Q57" t="str">
        <f ca="1">IFERROR(__xludf.DUMMYFUNCTION("""COMPUTED_VALUE"""),"")</f>
        <v/>
      </c>
      <c r="R57" t="str">
        <f ca="1">IFERROR(__xludf.DUMMYFUNCTION("""COMPUTED_VALUE"""),"")</f>
        <v/>
      </c>
      <c r="S57" t="str">
        <f ca="1">IFERROR(__xludf.DUMMYFUNCTION("""COMPUTED_VALUE"""),"Not specified")</f>
        <v>Not specified</v>
      </c>
      <c r="T57" t="str">
        <f ca="1">IFERROR(__xludf.DUMMYFUNCTION("""COMPUTED_VALUE"""),"Not specified")</f>
        <v>Not specified</v>
      </c>
      <c r="U57" t="str">
        <f ca="1">IFERROR(__xludf.DUMMYFUNCTION("""COMPUTED_VALUE"""),"Not specified")</f>
        <v>Not specified</v>
      </c>
      <c r="V57" t="str">
        <f ca="1">IFERROR(__xludf.DUMMYFUNCTION("""COMPUTED_VALUE"""),"Not specified")</f>
        <v>Not specified</v>
      </c>
      <c r="W57" t="str">
        <f ca="1">IFERROR(__xludf.DUMMYFUNCTION("""COMPUTED_VALUE"""),"Not specified")</f>
        <v>Not specified</v>
      </c>
      <c r="X57" t="str">
        <f ca="1">IFERROR(__xludf.DUMMYFUNCTION("""COMPUTED_VALUE"""),"Not specified")</f>
        <v>Not specified</v>
      </c>
      <c r="Y57" t="str">
        <f ca="1">IFERROR(__xludf.DUMMYFUNCTION("""COMPUTED_VALUE"""),"Not specified")</f>
        <v>Not specified</v>
      </c>
      <c r="Z57" t="str">
        <f ca="1">IFERROR(__xludf.DUMMYFUNCTION("""COMPUTED_VALUE"""),"Not specified")</f>
        <v>Not specified</v>
      </c>
      <c r="AA57" t="str">
        <f ca="1">IFERROR(__xludf.DUMMYFUNCTION("""COMPUTED_VALUE"""),"")</f>
        <v/>
      </c>
      <c r="AB57" t="str">
        <f ca="1">IFERROR(__xludf.DUMMYFUNCTION("""COMPUTED_VALUE"""),"Not specified")</f>
        <v>Not specified</v>
      </c>
      <c r="AC57" t="str">
        <f ca="1">IFERROR(__xludf.DUMMYFUNCTION("""COMPUTED_VALUE"""),"")</f>
        <v/>
      </c>
      <c r="AD57" t="str">
        <f ca="1">IFERROR(__xludf.DUMMYFUNCTION("""COMPUTED_VALUE"""),"Unsure")</f>
        <v>Unsure</v>
      </c>
      <c r="AE57" t="str">
        <f ca="1">IFERROR(__xludf.DUMMYFUNCTION("""COMPUTED_VALUE"""),"Unsure")</f>
        <v>Unsure</v>
      </c>
      <c r="AF57" t="str">
        <f ca="1">IFERROR(__xludf.DUMMYFUNCTION("""COMPUTED_VALUE"""),"Unsure")</f>
        <v>Unsure</v>
      </c>
      <c r="AG57" s="93" t="str">
        <f ca="1">IFERROR(__xludf.DUMMYFUNCTION("""COMPUTED_VALUE"""),"https://pspb.ieee.org/images/files/files/opsmanual.pdf")</f>
        <v>https://pspb.ieee.org/images/files/files/opsmanual.pdf</v>
      </c>
      <c r="AH57" t="str">
        <f ca="1">IFERROR(__xludf.DUMMYFUNCTION("""COMPUTED_VALUE"""),"First submission only (before peer review)")</f>
        <v>First submission only (before peer review)</v>
      </c>
      <c r="AI57" t="str">
        <f ca="1">IFERROR(__xludf.DUMMYFUNCTION("""COMPUTED_VALUE"""),"IEEE seeks to maximize the rights of its authors and their employers to post preprint versions of an article on the author’s personal web site, on a server operated by the author’s employer, or on a server operated by an approved not-for-profit third part"&amp;"y as specified in 8.1.9.G.2 below.... &gt; The IEEE permits posting on certain approved third-party servers. The list of approved servers shall be reviewed annually, and a complete and up-to-date list shall be maintained by the IEEE Intellectual Property Rig"&amp;"hts Office.")</f>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AJ57" t="str">
        <f ca="1">IFERROR(__xludf.DUMMYFUNCTION("""COMPUTED_VALUE"""),"Not specified")</f>
        <v>Not specified</v>
      </c>
      <c r="AK57" t="str">
        <f ca="1">IFERROR(__xludf.DUMMYFUNCTION("""COMPUTED_VALUE"""),"Unsure")</f>
        <v>Unsure</v>
      </c>
      <c r="AL57" t="str">
        <f ca="1">IFERROR(__xludf.DUMMYFUNCTION("""COMPUTED_VALUE"""),"")</f>
        <v/>
      </c>
      <c r="AM57" t="str">
        <f ca="1">IFERROR(__xludf.DUMMYFUNCTION("""COMPUTED_VALUE"""),"")</f>
        <v/>
      </c>
      <c r="AN57" t="str">
        <f ca="1">IFERROR(__xludf.DUMMYFUNCTION("""COMPUTED_VALUE"""),"")</f>
        <v/>
      </c>
      <c r="AO57" t="str">
        <f ca="1">IFERROR(__xludf.DUMMYFUNCTION("""COMPUTED_VALUE"""),"")</f>
        <v/>
      </c>
      <c r="AP57" t="str">
        <f ca="1">IFERROR(__xludf.DUMMYFUNCTION("""COMPUTED_VALUE"""),"")</f>
        <v/>
      </c>
      <c r="AQ57" t="str">
        <f ca="1">IFERROR(__xludf.DUMMYFUNCTION("""COMPUTED_VALUE"""),"")</f>
        <v/>
      </c>
      <c r="AR57" t="str">
        <f ca="1">IFERROR(__xludf.DUMMYFUNCTION("""COMPUTED_VALUE"""),"")</f>
        <v/>
      </c>
    </row>
    <row r="58" spans="1:44" ht="13">
      <c r="A58" t="str">
        <f ca="1">IFERROR(__xludf.DUMMYFUNCTION("""COMPUTED_VALUE"""),"SR")</f>
        <v>SR</v>
      </c>
      <c r="B58" t="str">
        <f ca="1">IFERROR(__xludf.DUMMYFUNCTION("""COMPUTED_VALUE"""),"")</f>
        <v/>
      </c>
      <c r="C58" t="str">
        <f ca="1">IFERROR(__xludf.DUMMYFUNCTION("""COMPUTED_VALUE"""),"TRH")</f>
        <v>TRH</v>
      </c>
      <c r="D58" s="28">
        <f ca="1">IFERROR(__xludf.DUMMYFUNCTION("""COMPUTED_VALUE"""),43575)</f>
        <v>43575</v>
      </c>
      <c r="E58" t="str">
        <f ca="1">IFERROR(__xludf.DUMMYFUNCTION("""COMPUTED_VALUE"""),"JP")</f>
        <v>JP</v>
      </c>
      <c r="F58" s="28">
        <f ca="1">IFERROR(__xludf.DUMMYFUNCTION("""COMPUTED_VALUE"""),43581)</f>
        <v>43581</v>
      </c>
      <c r="G58" t="str">
        <f ca="1">IFERROR(__xludf.DUMMYFUNCTION("""COMPUTED_VALUE"""),"Added coreview policies; preprint citation policy seems to be specifically for calling attention to duplicate/highly related work during submission process?")</f>
        <v>Added coreview policies; preprint citation policy seems to be specifically for calling attention to duplicate/highly related work during submission process?</v>
      </c>
      <c r="H58" t="str">
        <f ca="1">IFERROR(__xludf.DUMMYFUNCTION("""COMPUTED_VALUE"""),"Only ISBN available, counts as a book")</f>
        <v>Only ISBN available, counts as a book</v>
      </c>
      <c r="I58" t="str">
        <f ca="1">IFERROR(__xludf.DUMMYFUNCTION("""COMPUTED_VALUE"""),"IEEE Conference on Computer Vision and Pattern Recognition, CVPR")</f>
        <v>IEEE Conference on Computer Vision and Pattern Recognition, CVPR</v>
      </c>
      <c r="J58" t="str">
        <f ca="1">IFERROR(__xludf.DUMMYFUNCTION("""COMPUTED_VALUE"""),"Engineering &amp; Computer Science")</f>
        <v>Engineering &amp; Computer Science</v>
      </c>
      <c r="K58" t="str">
        <f ca="1">IFERROR(__xludf.DUMMYFUNCTION("""COMPUTED_VALUE"""),"")</f>
        <v/>
      </c>
      <c r="L58" t="str">
        <f ca="1">IFERROR(__xludf.DUMMYFUNCTION("""COMPUTED_VALUE"""),"Double blind")</f>
        <v>Double blind</v>
      </c>
      <c r="M58" s="93" t="str">
        <f ca="1">IFERROR(__xludf.DUMMYFUNCTION("""COMPUTED_VALUE"""),"http://cvpr2019.thecvf.com/")</f>
        <v>http://cvpr2019.thecvf.com/</v>
      </c>
      <c r="N58" t="str">
        <f ca="1">IFERROR(__xludf.DUMMYFUNCTION("""COMPUTED_VALUE"""),"")</f>
        <v/>
      </c>
      <c r="O58" t="str">
        <f ca="1">IFERROR(__xludf.DUMMYFUNCTION("""COMPUTED_VALUE"""),"")</f>
        <v/>
      </c>
      <c r="P58" t="str">
        <f ca="1">IFERROR(__xludf.DUMMYFUNCTION("""COMPUTED_VALUE"""),"Unsure")</f>
        <v>Unsure</v>
      </c>
      <c r="Q58" t="str">
        <f ca="1">IFERROR(__xludf.DUMMYFUNCTION("""COMPUTED_VALUE"""),"")</f>
        <v/>
      </c>
      <c r="R58" t="str">
        <f ca="1">IFERROR(__xludf.DUMMYFUNCTION("""COMPUTED_VALUE"""),"")</f>
        <v/>
      </c>
      <c r="S58" t="str">
        <f ca="1">IFERROR(__xludf.DUMMYFUNCTION("""COMPUTED_VALUE"""),"No")</f>
        <v>No</v>
      </c>
      <c r="T58" t="str">
        <f ca="1">IFERROR(__xludf.DUMMYFUNCTION("""COMPUTED_VALUE"""),"No")</f>
        <v>No</v>
      </c>
      <c r="U58" t="str">
        <f ca="1">IFERROR(__xludf.DUMMYFUNCTION("""COMPUTED_VALUE"""),"No")</f>
        <v>No</v>
      </c>
      <c r="V58" t="str">
        <f ca="1">IFERROR(__xludf.DUMMYFUNCTION("""COMPUTED_VALUE"""),"No")</f>
        <v>No</v>
      </c>
      <c r="W58" t="str">
        <f ca="1">IFERROR(__xludf.DUMMYFUNCTION("""COMPUTED_VALUE"""),"No")</f>
        <v>No</v>
      </c>
      <c r="X58" t="str">
        <f ca="1">IFERROR(__xludf.DUMMYFUNCTION("""COMPUTED_VALUE"""),"No")</f>
        <v>No</v>
      </c>
      <c r="Y58" t="str">
        <f ca="1">IFERROR(__xludf.DUMMYFUNCTION("""COMPUTED_VALUE"""),"No")</f>
        <v>No</v>
      </c>
      <c r="Z58" t="str">
        <f ca="1">IFERROR(__xludf.DUMMYFUNCTION("""COMPUTED_VALUE"""),"No")</f>
        <v>No</v>
      </c>
      <c r="AA58" t="str">
        <f ca="1">IFERROR(__xludf.DUMMYFUNCTION("""COMPUTED_VALUE"""),"")</f>
        <v/>
      </c>
      <c r="AB58" t="str">
        <f ca="1">IFERROR(__xludf.DUMMYFUNCTION("""COMPUTED_VALUE"""),"You should not show the paper to anyone else, including colleagues or students, unless you have asked them to write a review, or to help with your review.")</f>
        <v>You should not show the paper to anyone else, including colleagues or students, unless you have asked them to write a review, or to help with your review.</v>
      </c>
      <c r="AC58" s="93" t="str">
        <f ca="1">IFERROR(__xludf.DUMMYFUNCTION("""COMPUTED_VALUE"""),"http://cvpr2019.thecvf.com/submission/main_conference/reviewer_guidelines")</f>
        <v>http://cvpr2019.thecvf.com/submission/main_conference/reviewer_guidelines</v>
      </c>
      <c r="AD58" t="str">
        <f ca="1">IFERROR(__xludf.DUMMYFUNCTION("""COMPUTED_VALUE"""),"Yes")</f>
        <v>Yes</v>
      </c>
      <c r="AE58" t="str">
        <f ca="1">IFERROR(__xludf.DUMMYFUNCTION("""COMPUTED_VALUE"""),"Unsure")</f>
        <v>Unsure</v>
      </c>
      <c r="AF58" t="str">
        <f ca="1">IFERROR(__xludf.DUMMYFUNCTION("""COMPUTED_VALUE"""),"Unsure")</f>
        <v>Unsure</v>
      </c>
      <c r="AG58" s="93" t="str">
        <f ca="1">IFERROR(__xludf.DUMMYFUNCTION("""COMPUTED_VALUE"""),"http://cvpr2019.thecvf.com/submission/main_conference/author_guidelines")</f>
        <v>http://cvpr2019.thecvf.com/submission/main_conference/author_guidelines</v>
      </c>
      <c r="AH58" t="str">
        <f ca="1">IFERROR(__xludf.DUMMYFUNCTION("""COMPUTED_VALUE"""),"Unsure (preprints are allowed, but it's not clear what version)")</f>
        <v>Unsure (preprints are allowed, but it's not clear what version)</v>
      </c>
      <c r="AI58" t="str">
        <f ca="1">IFERROR(__xludf.DUMMYFUNCTION("""COMPUTED_VALUE"""),"Our policy is based upon the following particular definition of “publication”. A publication, for the purposes of the dual submission policy, is defined to be a written work longer than four pages that was submitted for review by peers for either acceptan"&amp;"ce or rejection, and, after review, was accepted. In particular, this definition of publication does not depend upon whether such an accepted written work appears in a formal proceedings or whether the organizers declare that such work ``counts as a publi"&amp;"cation''.
Note that such a definition does not consider an arXiv.org paper as a publication because it cannot be rejected. It also excludes university technical reports which are typically not peer reviewed.")</f>
        <v>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v>
      </c>
      <c r="AJ58" t="str">
        <f ca="1">IFERROR(__xludf.DUMMYFUNCTION("""COMPUTED_VALUE"""),"Unsure")</f>
        <v>Unsure</v>
      </c>
      <c r="AK58" t="str">
        <f ca="1">IFERROR(__xludf.DUMMYFUNCTION("""COMPUTED_VALUE"""),"Unsure")</f>
        <v>Unsure</v>
      </c>
      <c r="AL58" t="str">
        <f ca="1">IFERROR(__xludf.DUMMYFUNCTION("""COMPUTED_VALUE"""),"")</f>
        <v/>
      </c>
      <c r="AM58" t="str">
        <f ca="1">IFERROR(__xludf.DUMMYFUNCTION("""COMPUTED_VALUE"""),"")</f>
        <v/>
      </c>
      <c r="AN58" t="str">
        <f ca="1">IFERROR(__xludf.DUMMYFUNCTION("""COMPUTED_VALUE"""),"")</f>
        <v/>
      </c>
      <c r="AO58" t="str">
        <f ca="1">IFERROR(__xludf.DUMMYFUNCTION("""COMPUTED_VALUE"""),"")</f>
        <v/>
      </c>
      <c r="AP58" t="str">
        <f ca="1">IFERROR(__xludf.DUMMYFUNCTION("""COMPUTED_VALUE"""),"")</f>
        <v/>
      </c>
      <c r="AQ58" t="str">
        <f ca="1">IFERROR(__xludf.DUMMYFUNCTION("""COMPUTED_VALUE"""),"")</f>
        <v/>
      </c>
      <c r="AR58" t="str">
        <f ca="1">IFERROR(__xludf.DUMMYFUNCTION("""COMPUTED_VALUE"""),"")</f>
        <v/>
      </c>
    </row>
    <row r="59" spans="1:44" ht="13">
      <c r="A59" t="str">
        <f ca="1">IFERROR(__xludf.DUMMYFUNCTION("""COMPUTED_VALUE"""),"SR")</f>
        <v>SR</v>
      </c>
      <c r="B59" t="str">
        <f ca="1">IFERROR(__xludf.DUMMYFUNCTION("""COMPUTED_VALUE"""),"")</f>
        <v/>
      </c>
      <c r="C59" t="str">
        <f ca="1">IFERROR(__xludf.DUMMYFUNCTION("""COMPUTED_VALUE"""),"JP")</f>
        <v>JP</v>
      </c>
      <c r="D59" s="28">
        <f ca="1">IFERROR(__xludf.DUMMYFUNCTION("""COMPUTED_VALUE"""),43571)</f>
        <v>43571</v>
      </c>
      <c r="E59" t="str">
        <f ca="1">IFERROR(__xludf.DUMMYFUNCTION("""COMPUTED_VALUE"""),"TRH")</f>
        <v>TRH</v>
      </c>
      <c r="F59" s="28">
        <f ca="1">IFERROR(__xludf.DUMMYFUNCTION("""COMPUTED_VALUE"""),43581)</f>
        <v>43581</v>
      </c>
      <c r="G59" t="str">
        <f ca="1">IFERROR(__xludf.DUMMYFUNCTION("""COMPUTED_VALUE"""),"")</f>
        <v/>
      </c>
      <c r="H59" t="str">
        <f ca="1">IFERROR(__xludf.DUMMYFUNCTION("""COMPUTED_VALUE"""),"2380-7504")</f>
        <v>2380-7504</v>
      </c>
      <c r="I59" t="str">
        <f ca="1">IFERROR(__xludf.DUMMYFUNCTION("""COMPUTED_VALUE"""),"IEEE International Conference on Computer Vision")</f>
        <v>IEEE International Conference on Computer Vision</v>
      </c>
      <c r="J59" t="str">
        <f ca="1">IFERROR(__xludf.DUMMYFUNCTION("""COMPUTED_VALUE"""),"Engineering &amp; Computer Science")</f>
        <v>Engineering &amp; Computer Science</v>
      </c>
      <c r="K59" t="str">
        <f ca="1">IFERROR(__xludf.DUMMYFUNCTION("""COMPUTED_VALUE"""),"")</f>
        <v/>
      </c>
      <c r="L59" t="str">
        <f ca="1">IFERROR(__xludf.DUMMYFUNCTION("""COMPUTED_VALUE"""),"Double blind")</f>
        <v>Double blind</v>
      </c>
      <c r="M59" s="93" t="str">
        <f ca="1">IFERROR(__xludf.DUMMYFUNCTION("""COMPUTED_VALUE"""),"http://iccv2019.thecvf.com/submission/timeline")</f>
        <v>http://iccv2019.thecvf.com/submission/timeline</v>
      </c>
      <c r="N59" t="str">
        <f ca="1">IFERROR(__xludf.DUMMYFUNCTION("""COMPUTED_VALUE"""),"")</f>
        <v/>
      </c>
      <c r="O59" t="str">
        <f ca="1">IFERROR(__xludf.DUMMYFUNCTION("""COMPUTED_VALUE"""),"")</f>
        <v/>
      </c>
      <c r="P59" t="str">
        <f ca="1">IFERROR(__xludf.DUMMYFUNCTION("""COMPUTED_VALUE"""),"Unsure")</f>
        <v>Unsure</v>
      </c>
      <c r="Q59" t="str">
        <f ca="1">IFERROR(__xludf.DUMMYFUNCTION("""COMPUTED_VALUE"""),"")</f>
        <v/>
      </c>
      <c r="R59" t="str">
        <f ca="1">IFERROR(__xludf.DUMMYFUNCTION("""COMPUTED_VALUE"""),"")</f>
        <v/>
      </c>
      <c r="S59" t="str">
        <f ca="1">IFERROR(__xludf.DUMMYFUNCTION("""COMPUTED_VALUE"""),"No")</f>
        <v>No</v>
      </c>
      <c r="T59" t="str">
        <f ca="1">IFERROR(__xludf.DUMMYFUNCTION("""COMPUTED_VALUE"""),"No")</f>
        <v>No</v>
      </c>
      <c r="U59" t="str">
        <f ca="1">IFERROR(__xludf.DUMMYFUNCTION("""COMPUTED_VALUE"""),"No")</f>
        <v>No</v>
      </c>
      <c r="V59" t="str">
        <f ca="1">IFERROR(__xludf.DUMMYFUNCTION("""COMPUTED_VALUE"""),"No")</f>
        <v>No</v>
      </c>
      <c r="W59" t="str">
        <f ca="1">IFERROR(__xludf.DUMMYFUNCTION("""COMPUTED_VALUE"""),"No")</f>
        <v>No</v>
      </c>
      <c r="X59" t="str">
        <f ca="1">IFERROR(__xludf.DUMMYFUNCTION("""COMPUTED_VALUE"""),"No")</f>
        <v>No</v>
      </c>
      <c r="Y59" t="str">
        <f ca="1">IFERROR(__xludf.DUMMYFUNCTION("""COMPUTED_VALUE"""),"No")</f>
        <v>No</v>
      </c>
      <c r="Z59" t="str">
        <f ca="1">IFERROR(__xludf.DUMMYFUNCTION("""COMPUTED_VALUE"""),"Mandatory")</f>
        <v>Mandatory</v>
      </c>
      <c r="AA59" t="str">
        <f ca="1">IFERROR(__xludf.DUMMYFUNCTION("""COMPUTED_VALUE"""),"")</f>
        <v/>
      </c>
      <c r="AB59" t="str">
        <f ca="1">IFERROR(__xludf.DUMMYFUNCTION("""COMPUTED_VALUE"""),"You should not show the paper to anyone else, including colleagues or students, unless you have asked them to write a review, or to help with your review.")</f>
        <v>You should not show the paper to anyone else, including colleagues or students, unless you have asked them to write a review, or to help with your review.</v>
      </c>
      <c r="AC59" s="93" t="str">
        <f ca="1">IFERROR(__xludf.DUMMYFUNCTION("""COMPUTED_VALUE"""),"http://iccv2019.thecvf.com/submission/main_conference/reviewer_guidelines")</f>
        <v>http://iccv2019.thecvf.com/submission/main_conference/reviewer_guidelines</v>
      </c>
      <c r="AD59" t="str">
        <f ca="1">IFERROR(__xludf.DUMMYFUNCTION("""COMPUTED_VALUE"""),"Yes")</f>
        <v>Yes</v>
      </c>
      <c r="AE59" t="str">
        <f ca="1">IFERROR(__xludf.DUMMYFUNCTION("""COMPUTED_VALUE"""),"Unsure")</f>
        <v>Unsure</v>
      </c>
      <c r="AF59" t="str">
        <f ca="1">IFERROR(__xludf.DUMMYFUNCTION("""COMPUTED_VALUE"""),"Unsure")</f>
        <v>Unsure</v>
      </c>
      <c r="AG59" s="93" t="str">
        <f ca="1">IFERROR(__xludf.DUMMYFUNCTION("""COMPUTED_VALUE"""),"http://iccv2019.thecvf.com/submission/main_conference/author_guidelines")</f>
        <v>http://iccv2019.thecvf.com/submission/main_conference/author_guidelines</v>
      </c>
      <c r="AH59" t="str">
        <f ca="1">IFERROR(__xludf.DUMMYFUNCTION("""COMPUTED_VALUE"""),"Any")</f>
        <v>Any</v>
      </c>
      <c r="AI59" t="str">
        <f ca="1">IFERROR(__xludf.DUMMYFUNCTION("""COMPUTED_VALUE"""),"The above definition does not consider an arXiv.org paper as a publication because it cannot be rejected. It also excludes university technical reports which are typically not peer reviewed.")</f>
        <v>The above definition does not consider an arXiv.org paper as a publication because it cannot be rejected. It also excludes university technical reports which are typically not peer reviewed.</v>
      </c>
      <c r="AJ59" t="str">
        <f ca="1">IFERROR(__xludf.DUMMYFUNCTION("""COMPUTED_VALUE"""),"Yes, in the reference list")</f>
        <v>Yes, in the reference list</v>
      </c>
      <c r="AK59" t="str">
        <f ca="1">IFERROR(__xludf.DUMMYFUNCTION("""COMPUTED_VALUE"""),"Unsure")</f>
        <v>Unsure</v>
      </c>
      <c r="AL59" t="str">
        <f ca="1">IFERROR(__xludf.DUMMYFUNCTION("""COMPUTED_VALUE"""),"Papers submitted to ICCV must not be discussed with the press until they have been officially accepted for publication. Work explicitly identified as an ICCV submission also may not be advertised on social media. Please see the FAQ below for more details."&amp;" Violations may result in the paper being rejected or removed from the conference and proceedings.")</f>
        <v>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v>
      </c>
      <c r="AM59" t="str">
        <f ca="1">IFERROR(__xludf.DUMMYFUNCTION("""COMPUTED_VALUE"""),"Not specified")</f>
        <v>Not specified</v>
      </c>
      <c r="AN59" t="str">
        <f ca="1">IFERROR(__xludf.DUMMYFUNCTION("""COMPUTED_VALUE"""),"Not specified")</f>
        <v>Not specified</v>
      </c>
      <c r="AO59" t="str">
        <f ca="1">IFERROR(__xludf.DUMMYFUNCTION("""COMPUTED_VALUE"""),"Not specified")</f>
        <v>Not specified</v>
      </c>
      <c r="AP59" t="str">
        <f ca="1">IFERROR(__xludf.DUMMYFUNCTION("""COMPUTED_VALUE"""),"Conf proceedings for annual event - information taken from conf website - unsure how often this info changes year to year.")</f>
        <v>Conf proceedings for annual event - information taken from conf website - unsure how often this info changes year to year.</v>
      </c>
      <c r="AQ59" t="str">
        <f ca="1">IFERROR(__xludf.DUMMYFUNCTION("""COMPUTED_VALUE"""),"")</f>
        <v/>
      </c>
      <c r="AR59" t="str">
        <f ca="1">IFERROR(__xludf.DUMMYFUNCTION("""COMPUTED_VALUE"""),"")</f>
        <v/>
      </c>
    </row>
    <row r="60" spans="1:44" ht="13">
      <c r="A60" t="str">
        <f ca="1">IFERROR(__xludf.DUMMYFUNCTION("""COMPUTED_VALUE"""),"SR")</f>
        <v>SR</v>
      </c>
      <c r="B60" t="str">
        <f ca="1">IFERROR(__xludf.DUMMYFUNCTION("""COMPUTED_VALUE"""),"")</f>
        <v/>
      </c>
      <c r="C60" t="str">
        <f ca="1">IFERROR(__xludf.DUMMYFUNCTION("""COMPUTED_VALUE"""),"JP")</f>
        <v>JP</v>
      </c>
      <c r="D60" s="28">
        <f ca="1">IFERROR(__xludf.DUMMYFUNCTION("""COMPUTED_VALUE"""),43571)</f>
        <v>43571</v>
      </c>
      <c r="E60" t="str">
        <f ca="1">IFERROR(__xludf.DUMMYFUNCTION("""COMPUTED_VALUE"""),"TRH")</f>
        <v>TRH</v>
      </c>
      <c r="F60" s="28">
        <f ca="1">IFERROR(__xludf.DUMMYFUNCTION("""COMPUTED_VALUE"""),43581)</f>
        <v>43581</v>
      </c>
      <c r="G60" t="str">
        <f ca="1">IFERROR(__xludf.DUMMYFUNCTION("""COMPUTED_VALUE"""),"")</f>
        <v/>
      </c>
      <c r="H60" t="str">
        <f ca="1">IFERROR(__xludf.DUMMYFUNCTION("""COMPUTED_VALUE"""),"0018-9286")</f>
        <v>0018-9286</v>
      </c>
      <c r="I60" t="str">
        <f ca="1">IFERROR(__xludf.DUMMYFUNCTION("""COMPUTED_VALUE"""),"IEEE Transactions on Automatic Control")</f>
        <v>IEEE Transactions on Automatic Control</v>
      </c>
      <c r="J60" t="str">
        <f ca="1">IFERROR(__xludf.DUMMYFUNCTION("""COMPUTED_VALUE"""),"Physics &amp; Mathematics")</f>
        <v>Physics &amp; Mathematics</v>
      </c>
      <c r="K60" t="str">
        <f ca="1">IFERROR(__xludf.DUMMYFUNCTION("""COMPUTED_VALUE"""),"IEEE Communications Society")</f>
        <v>IEEE Communications Society</v>
      </c>
      <c r="L60" t="str">
        <f ca="1">IFERROR(__xludf.DUMMYFUNCTION("""COMPUTED_VALUE"""),"Unsure")</f>
        <v>Unsure</v>
      </c>
      <c r="M60" s="93" t="str">
        <f ca="1">IFERROR(__xludf.DUMMYFUNCTION("""COMPUTED_VALUE"""),"https://ieeeauthorcenter.ieee.org/peer-review-at-ieee/")</f>
        <v>https://ieeeauthorcenter.ieee.org/peer-review-at-ieee/</v>
      </c>
      <c r="N60" t="str">
        <f ca="1">IFERROR(__xludf.DUMMYFUNCTION("""COMPUTED_VALUE"""),"")</f>
        <v/>
      </c>
      <c r="O60" t="str">
        <f ca="1">IFERROR(__xludf.DUMMYFUNCTION("""COMPUTED_VALUE"""),"")</f>
        <v/>
      </c>
      <c r="P60" t="str">
        <f ca="1">IFERROR(__xludf.DUMMYFUNCTION("""COMPUTED_VALUE"""),"Unsure")</f>
        <v>Unsure</v>
      </c>
      <c r="Q60" t="str">
        <f ca="1">IFERROR(__xludf.DUMMYFUNCTION("""COMPUTED_VALUE"""),"")</f>
        <v/>
      </c>
      <c r="R60" t="str">
        <f ca="1">IFERROR(__xludf.DUMMYFUNCTION("""COMPUTED_VALUE"""),"")</f>
        <v/>
      </c>
      <c r="S60" t="str">
        <f ca="1">IFERROR(__xludf.DUMMYFUNCTION("""COMPUTED_VALUE"""),"Not specified")</f>
        <v>Not specified</v>
      </c>
      <c r="T60" t="str">
        <f ca="1">IFERROR(__xludf.DUMMYFUNCTION("""COMPUTED_VALUE"""),"Not specified")</f>
        <v>Not specified</v>
      </c>
      <c r="U60" t="str">
        <f ca="1">IFERROR(__xludf.DUMMYFUNCTION("""COMPUTED_VALUE"""),"Not specified")</f>
        <v>Not specified</v>
      </c>
      <c r="V60" t="str">
        <f ca="1">IFERROR(__xludf.DUMMYFUNCTION("""COMPUTED_VALUE"""),"Not specified")</f>
        <v>Not specified</v>
      </c>
      <c r="W60" t="str">
        <f ca="1">IFERROR(__xludf.DUMMYFUNCTION("""COMPUTED_VALUE"""),"Not specified")</f>
        <v>Not specified</v>
      </c>
      <c r="X60" t="str">
        <f ca="1">IFERROR(__xludf.DUMMYFUNCTION("""COMPUTED_VALUE"""),"Not specified")</f>
        <v>Not specified</v>
      </c>
      <c r="Y60" t="str">
        <f ca="1">IFERROR(__xludf.DUMMYFUNCTION("""COMPUTED_VALUE"""),"Not specified")</f>
        <v>Not specified</v>
      </c>
      <c r="Z60" t="str">
        <f ca="1">IFERROR(__xludf.DUMMYFUNCTION("""COMPUTED_VALUE"""),"Not specified")</f>
        <v>Not specified</v>
      </c>
      <c r="AA60" t="str">
        <f ca="1">IFERROR(__xludf.DUMMYFUNCTION("""COMPUTED_VALUE"""),"")</f>
        <v/>
      </c>
      <c r="AB60" t="str">
        <f ca="1">IFERROR(__xludf.DUMMYFUNCTION("""COMPUTED_VALUE"""),"")</f>
        <v/>
      </c>
      <c r="AC60" t="str">
        <f ca="1">IFERROR(__xludf.DUMMYFUNCTION("""COMPUTED_VALUE"""),"")</f>
        <v/>
      </c>
      <c r="AD60" t="str">
        <f ca="1">IFERROR(__xludf.DUMMYFUNCTION("""COMPUTED_VALUE"""),"Unsure")</f>
        <v>Unsure</v>
      </c>
      <c r="AE60" t="str">
        <f ca="1">IFERROR(__xludf.DUMMYFUNCTION("""COMPUTED_VALUE"""),"Unsure")</f>
        <v>Unsure</v>
      </c>
      <c r="AF60" t="str">
        <f ca="1">IFERROR(__xludf.DUMMYFUNCTION("""COMPUTED_VALUE"""),"Unsure")</f>
        <v>Unsure</v>
      </c>
      <c r="AG60" s="93" t="str">
        <f ca="1">IFERROR(__xludf.DUMMYFUNCTION("""COMPUTED_VALUE"""),"https://ieeeauthorcenter.ieee.org/publishing-ethics/guidelines-and-policies/policy-posting-your-article/")</f>
        <v>https://ieeeauthorcenter.ieee.org/publishing-ethics/guidelines-and-policies/policy-posting-your-article/</v>
      </c>
      <c r="AH60" t="str">
        <f ca="1">IFERROR(__xludf.DUMMYFUNCTION("""COMPUTED_VALUE"""),"First submission only (before peer review)")</f>
        <v>First submission only (before peer review)</v>
      </c>
      <c r="AI60"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0" t="str">
        <f ca="1">IFERROR(__xludf.DUMMYFUNCTION("""COMPUTED_VALUE"""),"Not specified")</f>
        <v>Not specified</v>
      </c>
      <c r="AK60" t="str">
        <f ca="1">IFERROR(__xludf.DUMMYFUNCTION("""COMPUTED_VALUE"""),"Unsure")</f>
        <v>Unsure</v>
      </c>
      <c r="AL60" t="str">
        <f ca="1">IFERROR(__xludf.DUMMYFUNCTION("""COMPUTED_VALUE"""),"")</f>
        <v/>
      </c>
      <c r="AM60" t="str">
        <f ca="1">IFERROR(__xludf.DUMMYFUNCTION("""COMPUTED_VALUE"""),"Once an article is accepted, it must be removed from all commercial servers and IEEE must be listed as copyright holder.")</f>
        <v>Once an article is accepted, it must be removed from all commercial servers and IEEE must be listed as copyright holder.</v>
      </c>
      <c r="AN60" t="str">
        <f ca="1">IFERROR(__xludf.DUMMYFUNCTION("""COMPUTED_VALUE"""),"")</f>
        <v/>
      </c>
      <c r="AO60" t="str">
        <f ca="1">IFERROR(__xludf.DUMMYFUNCTION("""COMPUTED_VALUE"""),"")</f>
        <v/>
      </c>
      <c r="AP60" t="str">
        <f ca="1">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0" t="str">
        <f ca="1">IFERROR(__xludf.DUMMYFUNCTION("""COMPUTED_VALUE"""),"")</f>
        <v/>
      </c>
      <c r="AR60" t="str">
        <f ca="1">IFERROR(__xludf.DUMMYFUNCTION("""COMPUTED_VALUE"""),"")</f>
        <v/>
      </c>
    </row>
    <row r="61" spans="1:44" ht="13">
      <c r="A61" t="str">
        <f ca="1">IFERROR(__xludf.DUMMYFUNCTION("""COMPUTED_VALUE"""),"SR")</f>
        <v>SR</v>
      </c>
      <c r="B61" t="str">
        <f ca="1">IFERROR(__xludf.DUMMYFUNCTION("""COMPUTED_VALUE"""),"")</f>
        <v/>
      </c>
      <c r="C61" t="str">
        <f ca="1">IFERROR(__xludf.DUMMYFUNCTION("""COMPUTED_VALUE"""),"JP")</f>
        <v>JP</v>
      </c>
      <c r="D61" s="28">
        <f ca="1">IFERROR(__xludf.DUMMYFUNCTION("""COMPUTED_VALUE"""),43571)</f>
        <v>43571</v>
      </c>
      <c r="E61" t="str">
        <f ca="1">IFERROR(__xludf.DUMMYFUNCTION("""COMPUTED_VALUE"""),"TRH")</f>
        <v>TRH</v>
      </c>
      <c r="F61" s="28">
        <f ca="1">IFERROR(__xludf.DUMMYFUNCTION("""COMPUTED_VALUE"""),43581)</f>
        <v>43581</v>
      </c>
      <c r="G61" t="str">
        <f ca="1">IFERROR(__xludf.DUMMYFUNCTION("""COMPUTED_VALUE"""),"")</f>
        <v/>
      </c>
      <c r="H61" t="str">
        <f ca="1">IFERROR(__xludf.DUMMYFUNCTION("""COMPUTED_VALUE"""),"0278-0046")</f>
        <v>0278-0046</v>
      </c>
      <c r="I61" t="str">
        <f ca="1">IFERROR(__xludf.DUMMYFUNCTION("""COMPUTED_VALUE"""),"IEEE Transactions on Industrial Electronics")</f>
        <v>IEEE Transactions on Industrial Electronics</v>
      </c>
      <c r="J61" t="str">
        <f ca="1">IFERROR(__xludf.DUMMYFUNCTION("""COMPUTED_VALUE"""),"Engineering &amp; Computer Science")</f>
        <v>Engineering &amp; Computer Science</v>
      </c>
      <c r="K61" t="str">
        <f ca="1">IFERROR(__xludf.DUMMYFUNCTION("""COMPUTED_VALUE"""),"IEEE")</f>
        <v>IEEE</v>
      </c>
      <c r="L61" t="str">
        <f ca="1">IFERROR(__xludf.DUMMYFUNCTION("""COMPUTED_VALUE"""),"Unsure")</f>
        <v>Unsure</v>
      </c>
      <c r="M61" s="93" t="str">
        <f ca="1">IFERROR(__xludf.DUMMYFUNCTION("""COMPUTED_VALUE"""),"https://ieeeauthorcenter.ieee.org/peer-review-at-ieee/")</f>
        <v>https://ieeeauthorcenter.ieee.org/peer-review-at-ieee/</v>
      </c>
      <c r="N61" t="str">
        <f ca="1">IFERROR(__xludf.DUMMYFUNCTION("""COMPUTED_VALUE"""),"")</f>
        <v/>
      </c>
      <c r="O61" t="str">
        <f ca="1">IFERROR(__xludf.DUMMYFUNCTION("""COMPUTED_VALUE"""),"")</f>
        <v/>
      </c>
      <c r="P61" t="str">
        <f ca="1">IFERROR(__xludf.DUMMYFUNCTION("""COMPUTED_VALUE"""),"Unsure")</f>
        <v>Unsure</v>
      </c>
      <c r="Q61" t="str">
        <f ca="1">IFERROR(__xludf.DUMMYFUNCTION("""COMPUTED_VALUE"""),"")</f>
        <v/>
      </c>
      <c r="R61" t="str">
        <f ca="1">IFERROR(__xludf.DUMMYFUNCTION("""COMPUTED_VALUE"""),"")</f>
        <v/>
      </c>
      <c r="S61" t="str">
        <f ca="1">IFERROR(__xludf.DUMMYFUNCTION("""COMPUTED_VALUE"""),"Not specified")</f>
        <v>Not specified</v>
      </c>
      <c r="T61" t="str">
        <f ca="1">IFERROR(__xludf.DUMMYFUNCTION("""COMPUTED_VALUE"""),"Not specified")</f>
        <v>Not specified</v>
      </c>
      <c r="U61" t="str">
        <f ca="1">IFERROR(__xludf.DUMMYFUNCTION("""COMPUTED_VALUE"""),"Not specified")</f>
        <v>Not specified</v>
      </c>
      <c r="V61" t="str">
        <f ca="1">IFERROR(__xludf.DUMMYFUNCTION("""COMPUTED_VALUE"""),"Not specified")</f>
        <v>Not specified</v>
      </c>
      <c r="W61" t="str">
        <f ca="1">IFERROR(__xludf.DUMMYFUNCTION("""COMPUTED_VALUE"""),"Not specified")</f>
        <v>Not specified</v>
      </c>
      <c r="X61" t="str">
        <f ca="1">IFERROR(__xludf.DUMMYFUNCTION("""COMPUTED_VALUE"""),"Not specified")</f>
        <v>Not specified</v>
      </c>
      <c r="Y61" t="str">
        <f ca="1">IFERROR(__xludf.DUMMYFUNCTION("""COMPUTED_VALUE"""),"Not specified")</f>
        <v>Not specified</v>
      </c>
      <c r="Z61" t="str">
        <f ca="1">IFERROR(__xludf.DUMMYFUNCTION("""COMPUTED_VALUE"""),"Not specified")</f>
        <v>Not specified</v>
      </c>
      <c r="AA61" t="str">
        <f ca="1">IFERROR(__xludf.DUMMYFUNCTION("""COMPUTED_VALUE"""),"")</f>
        <v/>
      </c>
      <c r="AB61" t="str">
        <f ca="1">IFERROR(__xludf.DUMMYFUNCTION("""COMPUTED_VALUE"""),"")</f>
        <v/>
      </c>
      <c r="AC61" t="str">
        <f ca="1">IFERROR(__xludf.DUMMYFUNCTION("""COMPUTED_VALUE"""),"")</f>
        <v/>
      </c>
      <c r="AD61" t="str">
        <f ca="1">IFERROR(__xludf.DUMMYFUNCTION("""COMPUTED_VALUE"""),"Unsure")</f>
        <v>Unsure</v>
      </c>
      <c r="AE61" t="str">
        <f ca="1">IFERROR(__xludf.DUMMYFUNCTION("""COMPUTED_VALUE"""),"Unsure")</f>
        <v>Unsure</v>
      </c>
      <c r="AF61" t="str">
        <f ca="1">IFERROR(__xludf.DUMMYFUNCTION("""COMPUTED_VALUE"""),"Unsure")</f>
        <v>Unsure</v>
      </c>
      <c r="AG61" s="93" t="str">
        <f ca="1">IFERROR(__xludf.DUMMYFUNCTION("""COMPUTED_VALUE"""),"https://ieeeauthorcenter.ieee.org/publishing-ethics/guidelines-and-policies/policy-posting-your-article/")</f>
        <v>https://ieeeauthorcenter.ieee.org/publishing-ethics/guidelines-and-policies/policy-posting-your-article/</v>
      </c>
      <c r="AH61" t="str">
        <f ca="1">IFERROR(__xludf.DUMMYFUNCTION("""COMPUTED_VALUE"""),"Any except for the final published article (IEEE must be listed as copyright holder for classroom use/use in own dissertation)")</f>
        <v>Any except for the final published article (IEEE must be listed as copyright holder for classroom use/use in own dissertation)</v>
      </c>
      <c r="AI61"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1" t="str">
        <f ca="1">IFERROR(__xludf.DUMMYFUNCTION("""COMPUTED_VALUE"""),"Not specified")</f>
        <v>Not specified</v>
      </c>
      <c r="AK61" t="str">
        <f ca="1">IFERROR(__xludf.DUMMYFUNCTION("""COMPUTED_VALUE"""),"Unsure")</f>
        <v>Unsure</v>
      </c>
      <c r="AL61" t="str">
        <f ca="1">IFERROR(__xludf.DUMMYFUNCTION("""COMPUTED_VALUE"""),"")</f>
        <v/>
      </c>
      <c r="AM61" t="str">
        <f ca="1">IFERROR(__xludf.DUMMYFUNCTION("""COMPUTED_VALUE"""),"Once an article is accepted, it must be removed from all commercial servers and IEEE must be listed as copyright holder.")</f>
        <v>Once an article is accepted, it must be removed from all commercial servers and IEEE must be listed as copyright holder.</v>
      </c>
      <c r="AN61" t="str">
        <f ca="1">IFERROR(__xludf.DUMMYFUNCTION("""COMPUTED_VALUE"""),"")</f>
        <v/>
      </c>
      <c r="AO61" t="str">
        <f ca="1">IFERROR(__xludf.DUMMYFUNCTION("""COMPUTED_VALUE"""),"")</f>
        <v/>
      </c>
      <c r="AP61" t="str">
        <f ca="1">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1" t="str">
        <f ca="1">IFERROR(__xludf.DUMMYFUNCTION("""COMPUTED_VALUE"""),"")</f>
        <v/>
      </c>
      <c r="AR61" t="str">
        <f ca="1">IFERROR(__xludf.DUMMYFUNCTION("""COMPUTED_VALUE"""),"")</f>
        <v/>
      </c>
    </row>
    <row r="62" spans="1:44" ht="13">
      <c r="A62" t="str">
        <f ca="1">IFERROR(__xludf.DUMMYFUNCTION("""COMPUTED_VALUE"""),"SR")</f>
        <v>SR</v>
      </c>
      <c r="B62" t="str">
        <f ca="1">IFERROR(__xludf.DUMMYFUNCTION("""COMPUTED_VALUE"""),"")</f>
        <v/>
      </c>
      <c r="C62" t="str">
        <f ca="1">IFERROR(__xludf.DUMMYFUNCTION("""COMPUTED_VALUE"""),"JP")</f>
        <v>JP</v>
      </c>
      <c r="D62" s="28">
        <f ca="1">IFERROR(__xludf.DUMMYFUNCTION("""COMPUTED_VALUE"""),43571)</f>
        <v>43571</v>
      </c>
      <c r="E62" t="str">
        <f ca="1">IFERROR(__xludf.DUMMYFUNCTION("""COMPUTED_VALUE"""),"TRH")</f>
        <v>TRH</v>
      </c>
      <c r="F62" s="28">
        <f ca="1">IFERROR(__xludf.DUMMYFUNCTION("""COMPUTED_VALUE"""),43581)</f>
        <v>43581</v>
      </c>
      <c r="G62" t="str">
        <f ca="1">IFERROR(__xludf.DUMMYFUNCTION("""COMPUTED_VALUE"""),"")</f>
        <v/>
      </c>
      <c r="H62" t="str">
        <f ca="1">IFERROR(__xludf.DUMMYFUNCTION("""COMPUTED_VALUE"""),"0162-8828")</f>
        <v>0162-8828</v>
      </c>
      <c r="I62" t="str">
        <f ca="1">IFERROR(__xludf.DUMMYFUNCTION("""COMPUTED_VALUE"""),"IEEE Transactions on Pattern Analysis and Machine Intelligence")</f>
        <v>IEEE Transactions on Pattern Analysis and Machine Intelligence</v>
      </c>
      <c r="J62" t="str">
        <f ca="1">IFERROR(__xludf.DUMMYFUNCTION("""COMPUTED_VALUE"""),"")</f>
        <v/>
      </c>
      <c r="K62" t="str">
        <f ca="1">IFERROR(__xludf.DUMMYFUNCTION("""COMPUTED_VALUE"""),"IEEE")</f>
        <v>IEEE</v>
      </c>
      <c r="L62" t="str">
        <f ca="1">IFERROR(__xludf.DUMMYFUNCTION("""COMPUTED_VALUE"""),"Unsure")</f>
        <v>Unsure</v>
      </c>
      <c r="M62" s="93" t="str">
        <f ca="1">IFERROR(__xludf.DUMMYFUNCTION("""COMPUTED_VALUE"""),"https://ieeeauthorcenter.ieee.org/peer-review-at-ieee/")</f>
        <v>https://ieeeauthorcenter.ieee.org/peer-review-at-ieee/</v>
      </c>
      <c r="N62" t="str">
        <f ca="1">IFERROR(__xludf.DUMMYFUNCTION("""COMPUTED_VALUE"""),"")</f>
        <v/>
      </c>
      <c r="O62" t="str">
        <f ca="1">IFERROR(__xludf.DUMMYFUNCTION("""COMPUTED_VALUE"""),"")</f>
        <v/>
      </c>
      <c r="P62" t="str">
        <f ca="1">IFERROR(__xludf.DUMMYFUNCTION("""COMPUTED_VALUE"""),"Unsure")</f>
        <v>Unsure</v>
      </c>
      <c r="Q62" t="str">
        <f ca="1">IFERROR(__xludf.DUMMYFUNCTION("""COMPUTED_VALUE"""),"")</f>
        <v/>
      </c>
      <c r="R62" t="str">
        <f ca="1">IFERROR(__xludf.DUMMYFUNCTION("""COMPUTED_VALUE"""),"")</f>
        <v/>
      </c>
      <c r="S62" t="str">
        <f ca="1">IFERROR(__xludf.DUMMYFUNCTION("""COMPUTED_VALUE"""),"Not specified")</f>
        <v>Not specified</v>
      </c>
      <c r="T62" t="str">
        <f ca="1">IFERROR(__xludf.DUMMYFUNCTION("""COMPUTED_VALUE"""),"Not specified")</f>
        <v>Not specified</v>
      </c>
      <c r="U62" t="str">
        <f ca="1">IFERROR(__xludf.DUMMYFUNCTION("""COMPUTED_VALUE"""),"Not specified")</f>
        <v>Not specified</v>
      </c>
      <c r="V62" t="str">
        <f ca="1">IFERROR(__xludf.DUMMYFUNCTION("""COMPUTED_VALUE"""),"Not specified")</f>
        <v>Not specified</v>
      </c>
      <c r="W62" t="str">
        <f ca="1">IFERROR(__xludf.DUMMYFUNCTION("""COMPUTED_VALUE"""),"Not specified")</f>
        <v>Not specified</v>
      </c>
      <c r="X62" t="str">
        <f ca="1">IFERROR(__xludf.DUMMYFUNCTION("""COMPUTED_VALUE"""),"Not specified")</f>
        <v>Not specified</v>
      </c>
      <c r="Y62" t="str">
        <f ca="1">IFERROR(__xludf.DUMMYFUNCTION("""COMPUTED_VALUE"""),"Not specified")</f>
        <v>Not specified</v>
      </c>
      <c r="Z62" t="str">
        <f ca="1">IFERROR(__xludf.DUMMYFUNCTION("""COMPUTED_VALUE"""),"Not specified")</f>
        <v>Not specified</v>
      </c>
      <c r="AA62" t="str">
        <f ca="1">IFERROR(__xludf.DUMMYFUNCTION("""COMPUTED_VALUE"""),"")</f>
        <v/>
      </c>
      <c r="AB62" t="str">
        <f ca="1">IFERROR(__xludf.DUMMYFUNCTION("""COMPUTED_VALUE"""),"")</f>
        <v/>
      </c>
      <c r="AC62" t="str">
        <f ca="1">IFERROR(__xludf.DUMMYFUNCTION("""COMPUTED_VALUE"""),"")</f>
        <v/>
      </c>
      <c r="AD62" t="str">
        <f ca="1">IFERROR(__xludf.DUMMYFUNCTION("""COMPUTED_VALUE"""),"Unsure")</f>
        <v>Unsure</v>
      </c>
      <c r="AE62" t="str">
        <f ca="1">IFERROR(__xludf.DUMMYFUNCTION("""COMPUTED_VALUE"""),"Unsure")</f>
        <v>Unsure</v>
      </c>
      <c r="AF62" t="str">
        <f ca="1">IFERROR(__xludf.DUMMYFUNCTION("""COMPUTED_VALUE"""),"Unsure")</f>
        <v>Unsure</v>
      </c>
      <c r="AG62" s="93" t="str">
        <f ca="1">IFERROR(__xludf.DUMMYFUNCTION("""COMPUTED_VALUE"""),"https://ieeeauthorcenter.ieee.org/publishing-ethics/guidelines-and-policies/policy-posting-your-article/")</f>
        <v>https://ieeeauthorcenter.ieee.org/publishing-ethics/guidelines-and-policies/policy-posting-your-article/</v>
      </c>
      <c r="AH62" t="str">
        <f ca="1">IFERROR(__xludf.DUMMYFUNCTION("""COMPUTED_VALUE"""),"First submission only (before peer review)")</f>
        <v>First submission only (before peer review)</v>
      </c>
      <c r="AI62"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2" t="str">
        <f ca="1">IFERROR(__xludf.DUMMYFUNCTION("""COMPUTED_VALUE"""),"")</f>
        <v/>
      </c>
      <c r="AK62" t="str">
        <f ca="1">IFERROR(__xludf.DUMMYFUNCTION("""COMPUTED_VALUE"""),"")</f>
        <v/>
      </c>
      <c r="AL62" t="str">
        <f ca="1">IFERROR(__xludf.DUMMYFUNCTION("""COMPUTED_VALUE"""),"")</f>
        <v/>
      </c>
      <c r="AM62" t="str">
        <f ca="1">IFERROR(__xludf.DUMMYFUNCTION("""COMPUTED_VALUE"""),"If the preprint is posted after the article is submitted to IEEE for peer review, IEEE must be credited as the copyright holder with the following statement included on the initial screen displaying IEEE-copyrighted material:
“© 20XX IEEE.  Personal use "&amp;"of this material is permitted.  Permission from IEEE must be obtained for all other uses, in any current or future media, including reprinting/republishing this material for advertising or promotional purposes, creating new collective works, for resale or"&amp;" redistribution to servers or lists, or reuse of any copyrighted component of this work in other works.”")</f>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AN62" t="str">
        <f ca="1">IFERROR(__xludf.DUMMYFUNCTION("""COMPUTED_VALUE"""),"")</f>
        <v/>
      </c>
      <c r="AO62" t="str">
        <f ca="1">IFERROR(__xludf.DUMMYFUNCTION("""COMPUTED_VALUE"""),"")</f>
        <v/>
      </c>
      <c r="AP62" t="str">
        <f ca="1">IFERROR(__xludf.DUMMYFUNCTION("""COMPUTED_VALUE"""),"The journal is published by IEEE as well but the guidelines seem to be much more comprehensive than those of other IEEE Communications reviewed here.")</f>
        <v>The journal is published by IEEE as well but the guidelines seem to be much more comprehensive than those of other IEEE Communications reviewed here.</v>
      </c>
      <c r="AQ62" t="str">
        <f ca="1">IFERROR(__xludf.DUMMYFUNCTION("""COMPUTED_VALUE"""),"")</f>
        <v/>
      </c>
      <c r="AR62" t="str">
        <f ca="1">IFERROR(__xludf.DUMMYFUNCTION("""COMPUTED_VALUE"""),"")</f>
        <v/>
      </c>
    </row>
    <row r="63" spans="1:44" ht="13">
      <c r="A63" t="str">
        <f ca="1">IFERROR(__xludf.DUMMYFUNCTION("""COMPUTED_VALUE"""),"SR")</f>
        <v>SR</v>
      </c>
      <c r="B63" t="str">
        <f ca="1">IFERROR(__xludf.DUMMYFUNCTION("""COMPUTED_VALUE"""),"")</f>
        <v/>
      </c>
      <c r="C63" t="str">
        <f ca="1">IFERROR(__xludf.DUMMYFUNCTION("""COMPUTED_VALUE"""),"NP")</f>
        <v>NP</v>
      </c>
      <c r="D63" s="28">
        <f ca="1">IFERROR(__xludf.DUMMYFUNCTION("""COMPUTED_VALUE"""),43575)</f>
        <v>43575</v>
      </c>
      <c r="E63" t="str">
        <f ca="1">IFERROR(__xludf.DUMMYFUNCTION("""COMPUTED_VALUE"""),"JP")</f>
        <v>JP</v>
      </c>
      <c r="F63" s="28">
        <f ca="1">IFERROR(__xludf.DUMMYFUNCTION("""COMPUTED_VALUE"""),43581)</f>
        <v>43581</v>
      </c>
      <c r="G63" t="str">
        <f ca="1">IFERROR(__xludf.DUMMYFUNCTION("""COMPUTED_VALUE"""),"")</f>
        <v/>
      </c>
      <c r="H63" t="str">
        <f ca="1">IFERROR(__xludf.DUMMYFUNCTION("""COMPUTED_VALUE"""),"0885-8993")</f>
        <v>0885-8993</v>
      </c>
      <c r="I63" t="str">
        <f ca="1">IFERROR(__xludf.DUMMYFUNCTION("""COMPUTED_VALUE"""),"IEEE Transactions on Power Electronics")</f>
        <v>IEEE Transactions on Power Electronics</v>
      </c>
      <c r="J63" t="str">
        <f ca="1">IFERROR(__xludf.DUMMYFUNCTION("""COMPUTED_VALUE"""),"Engineering &amp; Computer Science")</f>
        <v>Engineering &amp; Computer Science</v>
      </c>
      <c r="K63" t="str">
        <f ca="1">IFERROR(__xludf.DUMMYFUNCTION("""COMPUTED_VALUE"""),"")</f>
        <v/>
      </c>
      <c r="L63" t="str">
        <f ca="1">IFERROR(__xludf.DUMMYFUNCTION("""COMPUTED_VALUE"""),"Single blind")</f>
        <v>Single blind</v>
      </c>
      <c r="M63" s="93" t="str">
        <f ca="1">IFERROR(__xludf.DUMMYFUNCTION("""COMPUTED_VALUE"""),"https://ieeeauthorcenter.ieee.org/peer-review-at-ieee/ethics-in-peer-review/")</f>
        <v>https://ieeeauthorcenter.ieee.org/peer-review-at-ieee/ethics-in-peer-review/</v>
      </c>
      <c r="N63" t="str">
        <f ca="1">IFERROR(__xludf.DUMMYFUNCTION("""COMPUTED_VALUE"""),"")</f>
        <v/>
      </c>
      <c r="O63" t="str">
        <f ca="1">IFERROR(__xludf.DUMMYFUNCTION("""COMPUTED_VALUE"""),"")</f>
        <v/>
      </c>
      <c r="P63" t="str">
        <f ca="1">IFERROR(__xludf.DUMMYFUNCTION("""COMPUTED_VALUE"""),"Unsure")</f>
        <v>Unsure</v>
      </c>
      <c r="Q63" t="str">
        <f ca="1">IFERROR(__xludf.DUMMYFUNCTION("""COMPUTED_VALUE"""),"")</f>
        <v/>
      </c>
      <c r="R63" t="str">
        <f ca="1">IFERROR(__xludf.DUMMYFUNCTION("""COMPUTED_VALUE"""),"")</f>
        <v/>
      </c>
      <c r="S63" t="str">
        <f ca="1">IFERROR(__xludf.DUMMYFUNCTION("""COMPUTED_VALUE"""),"Not specified")</f>
        <v>Not specified</v>
      </c>
      <c r="T63" t="str">
        <f ca="1">IFERROR(__xludf.DUMMYFUNCTION("""COMPUTED_VALUE"""),"Not specified")</f>
        <v>Not specified</v>
      </c>
      <c r="U63" t="str">
        <f ca="1">IFERROR(__xludf.DUMMYFUNCTION("""COMPUTED_VALUE"""),"Not specified")</f>
        <v>Not specified</v>
      </c>
      <c r="V63" t="str">
        <f ca="1">IFERROR(__xludf.DUMMYFUNCTION("""COMPUTED_VALUE"""),"Not specified")</f>
        <v>Not specified</v>
      </c>
      <c r="W63" t="str">
        <f ca="1">IFERROR(__xludf.DUMMYFUNCTION("""COMPUTED_VALUE"""),"No")</f>
        <v>No</v>
      </c>
      <c r="X63" t="str">
        <f ca="1">IFERROR(__xludf.DUMMYFUNCTION("""COMPUTED_VALUE"""),"No")</f>
        <v>No</v>
      </c>
      <c r="Y63" t="str">
        <f ca="1">IFERROR(__xludf.DUMMYFUNCTION("""COMPUTED_VALUE"""),"Not specified")</f>
        <v>Not specified</v>
      </c>
      <c r="Z63" t="str">
        <f ca="1">IFERROR(__xludf.DUMMYFUNCTION("""COMPUTED_VALUE"""),"Not specified")</f>
        <v>Not specified</v>
      </c>
      <c r="AA63" t="str">
        <f ca="1">IFERROR(__xludf.DUMMYFUNCTION("""COMPUTED_VALUE"""),"")</f>
        <v/>
      </c>
      <c r="AB63" t="str">
        <f ca="1">IFERROR(__xludf.DUMMYFUNCTION("""COMPUTED_VALUE"""),"")</f>
        <v/>
      </c>
      <c r="AC63" t="str">
        <f ca="1">IFERROR(__xludf.DUMMYFUNCTION("""COMPUTED_VALUE"""),"")</f>
        <v/>
      </c>
      <c r="AD63" t="str">
        <f ca="1">IFERROR(__xludf.DUMMYFUNCTION("""COMPUTED_VALUE"""),"Unsure")</f>
        <v>Unsure</v>
      </c>
      <c r="AE63" t="str">
        <f ca="1">IFERROR(__xludf.DUMMYFUNCTION("""COMPUTED_VALUE"""),"Unsure")</f>
        <v>Unsure</v>
      </c>
      <c r="AF63" t="str">
        <f ca="1">IFERROR(__xludf.DUMMYFUNCTION("""COMPUTED_VALUE"""),"Unsure")</f>
        <v>Unsure</v>
      </c>
      <c r="AG63" s="93" t="str">
        <f ca="1">IFERROR(__xludf.DUMMYFUNCTION("""COMPUTED_VALUE"""),"https://ieeeauthorcenter.ieee.org/publishing-ethics/guidelines-and-policies/policy-posting-your-article/")</f>
        <v>https://ieeeauthorcenter.ieee.org/publishing-ethics/guidelines-and-policies/policy-posting-your-article/</v>
      </c>
      <c r="AH63" t="str">
        <f ca="1">IFERROR(__xludf.DUMMYFUNCTION("""COMPUTED_VALUE"""),"First submission only (before peer review)")</f>
        <v>First submission only (before peer review)</v>
      </c>
      <c r="AI63"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3" t="str">
        <f ca="1">IFERROR(__xludf.DUMMYFUNCTION("""COMPUTED_VALUE"""),"Not specified")</f>
        <v>Not specified</v>
      </c>
      <c r="AK63" t="str">
        <f ca="1">IFERROR(__xludf.DUMMYFUNCTION("""COMPUTED_VALUE"""),"Unsure")</f>
        <v>Unsure</v>
      </c>
      <c r="AL63" t="str">
        <f ca="1">IFERROR(__xludf.DUMMYFUNCTION("""COMPUTED_VALUE"""),"")</f>
        <v/>
      </c>
      <c r="AM63" t="str">
        <f ca="1">IFERROR(__xludf.DUMMYFUNCTION("""COMPUTED_VALUE"""),"If the preprint is posted after the article is submitted to IEEE for peer review, IEEE must be credited as the copyright holder with the following statement included on the initial screen displaying IEEE-copyrighted material:
“© 20XX IEEE.  Personal use "&amp;"of this material is permitted.  Permission from IEEE must be obtained for all other uses, in any current or future media, including reprinting/republishing this material for advertising or promotional purposes, creating new collective works, for resale or"&amp;" redistribution to servers or lists, or reuse of any copyrighted component of this work in other works.”")</f>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AN63" t="str">
        <f ca="1">IFERROR(__xludf.DUMMYFUNCTION("""COMPUTED_VALUE"""),"")</f>
        <v/>
      </c>
      <c r="AO63" t="str">
        <f ca="1">IFERROR(__xludf.DUMMYFUNCTION("""COMPUTED_VALUE"""),"")</f>
        <v/>
      </c>
      <c r="AP63" t="str">
        <f ca="1">IFERROR(__xludf.DUMMYFUNCTION("""COMPUTED_VALUE"""),"")</f>
        <v/>
      </c>
      <c r="AQ63" t="str">
        <f ca="1">IFERROR(__xludf.DUMMYFUNCTION("""COMPUTED_VALUE"""),"")</f>
        <v/>
      </c>
      <c r="AR63" t="str">
        <f ca="1">IFERROR(__xludf.DUMMYFUNCTION("""COMPUTED_VALUE"""),"")</f>
        <v/>
      </c>
    </row>
    <row r="64" spans="1:44" ht="13">
      <c r="A64" t="str">
        <f ca="1">IFERROR(__xludf.DUMMYFUNCTION("""COMPUTED_VALUE"""),"SR")</f>
        <v>SR</v>
      </c>
      <c r="B64" t="str">
        <f ca="1">IFERROR(__xludf.DUMMYFUNCTION("""COMPUTED_VALUE"""),"")</f>
        <v/>
      </c>
      <c r="C64" t="str">
        <f ca="1">IFERROR(__xludf.DUMMYFUNCTION("""COMPUTED_VALUE"""),"NP")</f>
        <v>NP</v>
      </c>
      <c r="D64" s="28">
        <f ca="1">IFERROR(__xludf.DUMMYFUNCTION("""COMPUTED_VALUE"""),43575)</f>
        <v>43575</v>
      </c>
      <c r="E64" t="str">
        <f ca="1">IFERROR(__xludf.DUMMYFUNCTION("""COMPUTED_VALUE"""),"JP")</f>
        <v>JP</v>
      </c>
      <c r="F64" s="28">
        <f ca="1">IFERROR(__xludf.DUMMYFUNCTION("""COMPUTED_VALUE"""),43581)</f>
        <v>43581</v>
      </c>
      <c r="G64" t="str">
        <f ca="1">IFERROR(__xludf.DUMMYFUNCTION("""COMPUTED_VALUE"""),"")</f>
        <v/>
      </c>
      <c r="H64" t="str">
        <f ca="1">IFERROR(__xludf.DUMMYFUNCTION("""COMPUTED_VALUE"""),"1053-587X")</f>
        <v>1053-587X</v>
      </c>
      <c r="I64" t="str">
        <f ca="1">IFERROR(__xludf.DUMMYFUNCTION("""COMPUTED_VALUE"""),"IEEE Transactions on Signal Processing")</f>
        <v>IEEE Transactions on Signal Processing</v>
      </c>
      <c r="J64" t="str">
        <f ca="1">IFERROR(__xludf.DUMMYFUNCTION("""COMPUTED_VALUE"""),"Physics &amp; Mathematics")</f>
        <v>Physics &amp; Mathematics</v>
      </c>
      <c r="K64" t="str">
        <f ca="1">IFERROR(__xludf.DUMMYFUNCTION("""COMPUTED_VALUE"""),"")</f>
        <v/>
      </c>
      <c r="L64" t="str">
        <f ca="1">IFERROR(__xludf.DUMMYFUNCTION("""COMPUTED_VALUE"""),"Single blind")</f>
        <v>Single blind</v>
      </c>
      <c r="M64" s="93" t="str">
        <f ca="1">IFERROR(__xludf.DUMMYFUNCTION("""COMPUTED_VALUE"""),"https://ieeeauthorcenter.ieee.org/peer-review-at-ieee/ethics-in-peer-review/")</f>
        <v>https://ieeeauthorcenter.ieee.org/peer-review-at-ieee/ethics-in-peer-review/</v>
      </c>
      <c r="N64" t="str">
        <f ca="1">IFERROR(__xludf.DUMMYFUNCTION("""COMPUTED_VALUE"""),"")</f>
        <v/>
      </c>
      <c r="O64" t="str">
        <f ca="1">IFERROR(__xludf.DUMMYFUNCTION("""COMPUTED_VALUE"""),"")</f>
        <v/>
      </c>
      <c r="P64" t="str">
        <f ca="1">IFERROR(__xludf.DUMMYFUNCTION("""COMPUTED_VALUE"""),"Unsure")</f>
        <v>Unsure</v>
      </c>
      <c r="Q64" t="str">
        <f ca="1">IFERROR(__xludf.DUMMYFUNCTION("""COMPUTED_VALUE"""),"")</f>
        <v/>
      </c>
      <c r="R64" t="str">
        <f ca="1">IFERROR(__xludf.DUMMYFUNCTION("""COMPUTED_VALUE"""),"")</f>
        <v/>
      </c>
      <c r="S64" t="str">
        <f ca="1">IFERROR(__xludf.DUMMYFUNCTION("""COMPUTED_VALUE"""),"Not specified")</f>
        <v>Not specified</v>
      </c>
      <c r="T64" t="str">
        <f ca="1">IFERROR(__xludf.DUMMYFUNCTION("""COMPUTED_VALUE"""),"Not specified")</f>
        <v>Not specified</v>
      </c>
      <c r="U64" t="str">
        <f ca="1">IFERROR(__xludf.DUMMYFUNCTION("""COMPUTED_VALUE"""),"Not specified")</f>
        <v>Not specified</v>
      </c>
      <c r="V64" t="str">
        <f ca="1">IFERROR(__xludf.DUMMYFUNCTION("""COMPUTED_VALUE"""),"Not specified")</f>
        <v>Not specified</v>
      </c>
      <c r="W64" t="str">
        <f ca="1">IFERROR(__xludf.DUMMYFUNCTION("""COMPUTED_VALUE"""),"No")</f>
        <v>No</v>
      </c>
      <c r="X64" t="str">
        <f ca="1">IFERROR(__xludf.DUMMYFUNCTION("""COMPUTED_VALUE"""),"No")</f>
        <v>No</v>
      </c>
      <c r="Y64" t="str">
        <f ca="1">IFERROR(__xludf.DUMMYFUNCTION("""COMPUTED_VALUE"""),"Not specified")</f>
        <v>Not specified</v>
      </c>
      <c r="Z64" t="str">
        <f ca="1">IFERROR(__xludf.DUMMYFUNCTION("""COMPUTED_VALUE"""),"Not specified")</f>
        <v>Not specified</v>
      </c>
      <c r="AA64" t="str">
        <f ca="1">IFERROR(__xludf.DUMMYFUNCTION("""COMPUTED_VALUE"""),"")</f>
        <v/>
      </c>
      <c r="AB64" t="str">
        <f ca="1">IFERROR(__xludf.DUMMYFUNCTION("""COMPUTED_VALUE"""),"Papers sent to you for review are confidential. However, requesting the opinion of a single colleague may be appropriate in some circumstances. Please consult your associate editor if you’d like to the input of outside help for the review.")</f>
        <v>Papers sent to you for review are confidential. However, requesting the opinion of a single colleague may be appropriate in some circumstances. Please consult your associate editor if you’d like to the input of outside help for the review.</v>
      </c>
      <c r="AC64" s="93" t="str">
        <f ca="1">IFERROR(__xludf.DUMMYFUNCTION("""COMPUTED_VALUE"""),"https://signalprocessingsociety.org/publications-resources/publications-faq")</f>
        <v>https://signalprocessingsociety.org/publications-resources/publications-faq</v>
      </c>
      <c r="AD64" t="str">
        <f ca="1">IFERROR(__xludf.DUMMYFUNCTION("""COMPUTED_VALUE"""),"Unsure")</f>
        <v>Unsure</v>
      </c>
      <c r="AE64" t="str">
        <f ca="1">IFERROR(__xludf.DUMMYFUNCTION("""COMPUTED_VALUE"""),"Unsure")</f>
        <v>Unsure</v>
      </c>
      <c r="AF64" t="str">
        <f ca="1">IFERROR(__xludf.DUMMYFUNCTION("""COMPUTED_VALUE"""),"Unsure")</f>
        <v>Unsure</v>
      </c>
      <c r="AG64" s="93" t="str">
        <f ca="1">IFERROR(__xludf.DUMMYFUNCTION("""COMPUTED_VALUE"""),"https://ieeeauthorcenter.ieee.org/publishing-ethics/guidelines-and-policies/policy-posting-your-article/")</f>
        <v>https://ieeeauthorcenter.ieee.org/publishing-ethics/guidelines-and-policies/policy-posting-your-article/</v>
      </c>
      <c r="AH64" t="str">
        <f ca="1">IFERROR(__xludf.DUMMYFUNCTION("""COMPUTED_VALUE"""),"First submission only (before peer review)")</f>
        <v>First submission only (before peer review)</v>
      </c>
      <c r="AI64" t="str">
        <f ca="1">IFERROR(__xludf.DUMMYFUNCTION("""COMPUTED_VALUE"""),"Authors may post their preprints in the following locations:
Author’s personal website
Author’s employer’s website
arXiv.org")</f>
        <v>Authors may post their preprints in the following locations:
Author’s personal website
Author’s employer’s website
arXiv.org</v>
      </c>
      <c r="AJ64" t="str">
        <f ca="1">IFERROR(__xludf.DUMMYFUNCTION("""COMPUTED_VALUE"""),"Not specified")</f>
        <v>Not specified</v>
      </c>
      <c r="AK64" t="str">
        <f ca="1">IFERROR(__xludf.DUMMYFUNCTION("""COMPUTED_VALUE"""),"Unsure")</f>
        <v>Unsure</v>
      </c>
      <c r="AL64" t="str">
        <f ca="1">IFERROR(__xludf.DUMMYFUNCTION("""COMPUTED_VALUE"""),"")</f>
        <v/>
      </c>
      <c r="AM64" t="str">
        <f ca="1">IFERROR(__xludf.DUMMYFUNCTION("""COMPUTED_VALUE"""),"")</f>
        <v/>
      </c>
      <c r="AN64" t="str">
        <f ca="1">IFERROR(__xludf.DUMMYFUNCTION("""COMPUTED_VALUE"""),"")</f>
        <v/>
      </c>
      <c r="AO64" t="str">
        <f ca="1">IFERROR(__xludf.DUMMYFUNCTION("""COMPUTED_VALUE"""),"")</f>
        <v/>
      </c>
      <c r="AP64" t="str">
        <f ca="1">IFERROR(__xludf.DUMMYFUNCTION("""COMPUTED_VALUE"""),"")</f>
        <v/>
      </c>
      <c r="AQ64" t="str">
        <f ca="1">IFERROR(__xludf.DUMMYFUNCTION("""COMPUTED_VALUE"""),"")</f>
        <v/>
      </c>
      <c r="AR64" t="str">
        <f ca="1">IFERROR(__xludf.DUMMYFUNCTION("""COMPUTED_VALUE"""),"")</f>
        <v/>
      </c>
    </row>
    <row r="65" spans="1:44" ht="13">
      <c r="A65" t="str">
        <f ca="1">IFERROR(__xludf.DUMMYFUNCTION("""COMPUTED_VALUE"""),"SR")</f>
        <v>SR</v>
      </c>
      <c r="B65" t="str">
        <f ca="1">IFERROR(__xludf.DUMMYFUNCTION("""COMPUTED_VALUE"""),"")</f>
        <v/>
      </c>
      <c r="C65" t="str">
        <f ca="1">IFERROR(__xludf.DUMMYFUNCTION("""COMPUTED_VALUE"""),"NP")</f>
        <v>NP</v>
      </c>
      <c r="D65" s="28">
        <f ca="1">IFERROR(__xludf.DUMMYFUNCTION("""COMPUTED_VALUE"""),43575)</f>
        <v>43575</v>
      </c>
      <c r="E65" t="str">
        <f ca="1">IFERROR(__xludf.DUMMYFUNCTION("""COMPUTED_VALUE"""),"JP")</f>
        <v>JP</v>
      </c>
      <c r="F65" s="28">
        <f ca="1">IFERROR(__xludf.DUMMYFUNCTION("""COMPUTED_VALUE"""),43581)</f>
        <v>43581</v>
      </c>
      <c r="G65" t="str">
        <f ca="1">IFERROR(__xludf.DUMMYFUNCTION("""COMPUTED_VALUE"""),"")</f>
        <v/>
      </c>
      <c r="H65" t="str">
        <f ca="1">IFERROR(__xludf.DUMMYFUNCTION("""COMPUTED_VALUE"""),"1074-7613")</f>
        <v>1074-7613</v>
      </c>
      <c r="I65" t="str">
        <f ca="1">IFERROR(__xludf.DUMMYFUNCTION("""COMPUTED_VALUE"""),"Immunity")</f>
        <v>Immunity</v>
      </c>
      <c r="J65" t="str">
        <f ca="1">IFERROR(__xludf.DUMMYFUNCTION("""COMPUTED_VALUE"""),"Health &amp; Medical Sciences")</f>
        <v>Health &amp; Medical Sciences</v>
      </c>
      <c r="K65" t="str">
        <f ca="1">IFERROR(__xludf.DUMMYFUNCTION("""COMPUTED_VALUE"""),"Elsevier")</f>
        <v>Elsevier</v>
      </c>
      <c r="L65" t="str">
        <f ca="1">IFERROR(__xludf.DUMMYFUNCTION("""COMPUTED_VALUE"""),"Single blind")</f>
        <v>Single blind</v>
      </c>
      <c r="M65" s="93" t="str">
        <f ca="1">IFERROR(__xludf.DUMMYFUNCTION("""COMPUTED_VALUE"""),"https://www.cell.com/reviewers")</f>
        <v>https://www.cell.com/reviewers</v>
      </c>
      <c r="N65" t="str">
        <f ca="1">IFERROR(__xludf.DUMMYFUNCTION("""COMPUTED_VALUE"""),"")</f>
        <v/>
      </c>
      <c r="O65" t="str">
        <f ca="1">IFERROR(__xludf.DUMMYFUNCTION("""COMPUTED_VALUE"""),"")</f>
        <v/>
      </c>
      <c r="P65" t="str">
        <f ca="1">IFERROR(__xludf.DUMMYFUNCTION("""COMPUTED_VALUE"""),"Unsure")</f>
        <v>Unsure</v>
      </c>
      <c r="Q65" s="93" t="str">
        <f ca="1">IFERROR(__xludf.DUMMYFUNCTION("""COMPUTED_VALUE"""),"We know it can be time consuming to serially submit your paper to multiple journals, restarting the review process each time. Cell Press publishes many journals, and we give you the opportunity to transfer your paper, along with the reviews and the review"&amp;"ers' identities, from one journal to another. If you have questions about the suitability of your paper for transfer, please contact the editor of the receiving journal. If you have general questions about the transfer process, please refer to our FAQs on"&amp;" article transfers. Often, the Editor of the target journal will be able to reach a decision based on the existing reviews. Occasionally, the Editor may seek comments from additional reviewers. If you transfer your paper using our online system, you will "&amp;"have a chance to edit your files before they are sent to the receiving journal. You can always submit your paper to another Cell Press journal without mentioning the first review process. In this case, the manuscript will be evaluated as a regular new sub"&amp;"mission.")</f>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65" t="str">
        <f ca="1">IFERROR(__xludf.DUMMYFUNCTION("""COMPUTED_VALUE"""),"https://www.cell.com/immunity/authors
https://www.cell.com/immunity/articletransfer")</f>
        <v>https://www.cell.com/immunity/authors
https://www.cell.com/immunity/articletransfer</v>
      </c>
      <c r="S65" t="str">
        <f ca="1">IFERROR(__xludf.DUMMYFUNCTION("""COMPUTED_VALUE"""),"Not specified")</f>
        <v>Not specified</v>
      </c>
      <c r="T65" t="str">
        <f ca="1">IFERROR(__xludf.DUMMYFUNCTION("""COMPUTED_VALUE"""),"Not specified")</f>
        <v>Not specified</v>
      </c>
      <c r="U65" t="str">
        <f ca="1">IFERROR(__xludf.DUMMYFUNCTION("""COMPUTED_VALUE"""),"Not specified")</f>
        <v>Not specified</v>
      </c>
      <c r="V65" t="str">
        <f ca="1">IFERROR(__xludf.DUMMYFUNCTION("""COMPUTED_VALUE"""),"Not specified")</f>
        <v>Not specified</v>
      </c>
      <c r="W65" t="str">
        <f ca="1">IFERROR(__xludf.DUMMYFUNCTION("""COMPUTED_VALUE"""),"No")</f>
        <v>No</v>
      </c>
      <c r="X65" t="str">
        <f ca="1">IFERROR(__xludf.DUMMYFUNCTION("""COMPUTED_VALUE"""),"No")</f>
        <v>No</v>
      </c>
      <c r="Y65" t="str">
        <f ca="1">IFERROR(__xludf.DUMMYFUNCTION("""COMPUTED_VALUE"""),"Not specified")</f>
        <v>Not specified</v>
      </c>
      <c r="Z65" t="str">
        <f ca="1">IFERROR(__xludf.DUMMYFUNCTION("""COMPUTED_VALUE"""),"Not specified")</f>
        <v>Not specified</v>
      </c>
      <c r="AA65" t="str">
        <f ca="1">IFERROR(__xludf.DUMMYFUNCTION("""COMPUTED_VALUE"""),"")</f>
        <v/>
      </c>
      <c r="AB65" t="str">
        <f ca="1">IFERROR(__xludf.DUMMYFUNCTION("""COMPUTED_VALUE"""),"Not specified")</f>
        <v>Not specified</v>
      </c>
      <c r="AC65" t="str">
        <f ca="1">IFERROR(__xludf.DUMMYFUNCTION("""COMPUTED_VALUE"""),"")</f>
        <v/>
      </c>
      <c r="AD65" t="str">
        <f ca="1">IFERROR(__xludf.DUMMYFUNCTION("""COMPUTED_VALUE"""),"Unsure")</f>
        <v>Unsure</v>
      </c>
      <c r="AE65" t="str">
        <f ca="1">IFERROR(__xludf.DUMMYFUNCTION("""COMPUTED_VALUE"""),"Unsure")</f>
        <v>Unsure</v>
      </c>
      <c r="AF65" t="str">
        <f ca="1">IFERROR(__xludf.DUMMYFUNCTION("""COMPUTED_VALUE"""),"Unsure")</f>
        <v>Unsure</v>
      </c>
      <c r="AG65" s="93" t="str">
        <f ca="1">IFERROR(__xludf.DUMMYFUNCTION("""COMPUTED_VALUE"""),"https://www.cell.com/immunity/authors")</f>
        <v>https://www.cell.com/immunity/authors</v>
      </c>
      <c r="AH65" t="str">
        <f ca="1">IFERROR(__xludf.DUMMYFUNCTION("""COMPUTED_VALUE"""),"First submission only (before peer review)")</f>
        <v>First submission only (before peer review)</v>
      </c>
      <c r="AI65" t="str">
        <f ca="1">IFERROR(__xludf.DUMMYFUNCTION("""COMPUTED_VALUE"""),"We will consider papers previously posted on preprint servers like arXiv, bioRxiv, BioRN, ChemRxiv, or ChemRN.")</f>
        <v>We will consider papers previously posted on preprint servers like arXiv, bioRxiv, BioRN, ChemRxiv, or ChemRN.</v>
      </c>
      <c r="AJ65" t="str">
        <f ca="1">IFERROR(__xludf.DUMMYFUNCTION("""COMPUTED_VALUE"""),"Other: References should include only articles that are published or in press.")</f>
        <v>Other: References should include only articles that are published or in press.</v>
      </c>
      <c r="AK65" t="str">
        <f ca="1">IFERROR(__xludf.DUMMYFUNCTION("""COMPUTED_VALUE"""),"Unsure")</f>
        <v>Unsure</v>
      </c>
      <c r="AL65" t="str">
        <f ca="1">IFERROR(__xludf.DUMMYFUNCTION("""COMPUTED_VALUE"""),"We want to make sure that your paper gets the attention it deserves, so we work with the popular and scientific media to promote coverage of your paper. As part of this process, we ask that you refrain from talking to the media until one week prior to the"&amp;" online publication date of the paper. If you do speak with the media at that time, please inform them that the paper is under media embargo until 11 AM US east coast time on the date of publication. We encourage you to present your work at scientific mee"&amp;"tings, but we ask that you not discuss the findings with the media beyond the formal presentation. This policy covers work that is intended for submission, currently under consideration, or in press at a Cell Press journal. Additionally, before your paper"&amp;" is published, please do not discuss it or cite it as in press in review articles. However, you can discuss your embargoed paper with other scientific journals if the paper will be covered in review or news material that is intended to coincide or follow "&amp;"publication of your paper.")</f>
        <v>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v>
      </c>
      <c r="AM65" t="str">
        <f ca="1">IFERROR(__xludf.DUMMYFUNCTION("""COMPUTED_VALUE"""),"")</f>
        <v/>
      </c>
      <c r="AN65" t="str">
        <f ca="1">IFERROR(__xludf.DUMMYFUNCTION("""COMPUTED_VALUE"""),"")</f>
        <v/>
      </c>
      <c r="AO65" t="str">
        <f ca="1">IFERROR(__xludf.DUMMYFUNCTION("""COMPUTED_VALUE"""),"")</f>
        <v/>
      </c>
      <c r="AP65" t="str">
        <f ca="1">IFERROR(__xludf.DUMMYFUNCTION("""COMPUTED_VALUE"""),"Media coverage policy (which also applies to preprints) https://www.cell.com/immunity/authors?code=cell-site#prepub")</f>
        <v>Media coverage policy (which also applies to preprints) https://www.cell.com/immunity/authors?code=cell-site#prepub</v>
      </c>
      <c r="AQ65" t="str">
        <f ca="1">IFERROR(__xludf.DUMMYFUNCTION("""COMPUTED_VALUE"""),"")</f>
        <v/>
      </c>
      <c r="AR65" t="str">
        <f ca="1">IFERROR(__xludf.DUMMYFUNCTION("""COMPUTED_VALUE"""),"")</f>
        <v/>
      </c>
    </row>
    <row r="66" spans="1:44" ht="13">
      <c r="A66" t="str">
        <f ca="1">IFERROR(__xludf.DUMMYFUNCTION("""COMPUTED_VALUE"""),"SR")</f>
        <v>SR</v>
      </c>
      <c r="B66" t="str">
        <f ca="1">IFERROR(__xludf.DUMMYFUNCTION("""COMPUTED_VALUE"""),"")</f>
        <v/>
      </c>
      <c r="C66" t="str">
        <f ca="1">IFERROR(__xludf.DUMMYFUNCTION("""COMPUTED_VALUE"""),"NP")</f>
        <v>NP</v>
      </c>
      <c r="D66" s="28">
        <f ca="1">IFERROR(__xludf.DUMMYFUNCTION("""COMPUTED_VALUE"""),43575)</f>
        <v>43575</v>
      </c>
      <c r="E66" t="str">
        <f ca="1">IFERROR(__xludf.DUMMYFUNCTION("""COMPUTED_VALUE"""),"JP")</f>
        <v>JP</v>
      </c>
      <c r="F66" s="28">
        <f ca="1">IFERROR(__xludf.DUMMYFUNCTION("""COMPUTED_VALUE"""),43581)</f>
        <v>43581</v>
      </c>
      <c r="G66" t="str">
        <f ca="1">IFERROR(__xludf.DUMMYFUNCTION("""COMPUTED_VALUE"""),"")</f>
        <v/>
      </c>
      <c r="H66" t="str">
        <f ca="1">IFERROR(__xludf.DUMMYFUNCTION("""COMPUTED_VALUE"""),"1932-8036")</f>
        <v>1932-8036</v>
      </c>
      <c r="I66" t="str">
        <f ca="1">IFERROR(__xludf.DUMMYFUNCTION("""COMPUTED_VALUE"""),"International Journal of Communication")</f>
        <v>International Journal of Communication</v>
      </c>
      <c r="J66" t="str">
        <f ca="1">IFERROR(__xludf.DUMMYFUNCTION("""COMPUTED_VALUE"""),"Humanities, Literature &amp; Arts")</f>
        <v>Humanities, Literature &amp; Arts</v>
      </c>
      <c r="K66" t="str">
        <f ca="1">IFERROR(__xludf.DUMMYFUNCTION("""COMPUTED_VALUE"""),"University of Southern California")</f>
        <v>University of Southern California</v>
      </c>
      <c r="L66" t="str">
        <f ca="1">IFERROR(__xludf.DUMMYFUNCTION("""COMPUTED_VALUE"""),"Unsure")</f>
        <v>Unsure</v>
      </c>
      <c r="M66" t="str">
        <f ca="1">IFERROR(__xludf.DUMMYFUNCTION("""COMPUTED_VALUE"""),"")</f>
        <v/>
      </c>
      <c r="N66" t="str">
        <f ca="1">IFERROR(__xludf.DUMMYFUNCTION("""COMPUTED_VALUE"""),"")</f>
        <v/>
      </c>
      <c r="O66" t="str">
        <f ca="1">IFERROR(__xludf.DUMMYFUNCTION("""COMPUTED_VALUE"""),"")</f>
        <v/>
      </c>
      <c r="P66" t="str">
        <f ca="1">IFERROR(__xludf.DUMMYFUNCTION("""COMPUTED_VALUE"""),"Unsure")</f>
        <v>Unsure</v>
      </c>
      <c r="Q66" t="str">
        <f ca="1">IFERROR(__xludf.DUMMYFUNCTION("""COMPUTED_VALUE"""),"")</f>
        <v/>
      </c>
      <c r="R66" t="str">
        <f ca="1">IFERROR(__xludf.DUMMYFUNCTION("""COMPUTED_VALUE"""),"")</f>
        <v/>
      </c>
      <c r="S66" t="str">
        <f ca="1">IFERROR(__xludf.DUMMYFUNCTION("""COMPUTED_VALUE"""),"")</f>
        <v/>
      </c>
      <c r="T66" t="str">
        <f ca="1">IFERROR(__xludf.DUMMYFUNCTION("""COMPUTED_VALUE"""),"Not specified")</f>
        <v>Not specified</v>
      </c>
      <c r="U66" t="str">
        <f ca="1">IFERROR(__xludf.DUMMYFUNCTION("""COMPUTED_VALUE"""),"Not specified")</f>
        <v>Not specified</v>
      </c>
      <c r="V66" t="str">
        <f ca="1">IFERROR(__xludf.DUMMYFUNCTION("""COMPUTED_VALUE"""),"Not specified")</f>
        <v>Not specified</v>
      </c>
      <c r="W66" t="str">
        <f ca="1">IFERROR(__xludf.DUMMYFUNCTION("""COMPUTED_VALUE"""),"Not specified")</f>
        <v>Not specified</v>
      </c>
      <c r="X66" t="str">
        <f ca="1">IFERROR(__xludf.DUMMYFUNCTION("""COMPUTED_VALUE"""),"Not specified")</f>
        <v>Not specified</v>
      </c>
      <c r="Y66" t="str">
        <f ca="1">IFERROR(__xludf.DUMMYFUNCTION("""COMPUTED_VALUE"""),"Not specified")</f>
        <v>Not specified</v>
      </c>
      <c r="Z66" t="str">
        <f ca="1">IFERROR(__xludf.DUMMYFUNCTION("""COMPUTED_VALUE"""),"Not specified")</f>
        <v>Not specified</v>
      </c>
      <c r="AA66" t="str">
        <f ca="1">IFERROR(__xludf.DUMMYFUNCTION("""COMPUTED_VALUE"""),"")</f>
        <v/>
      </c>
      <c r="AB66" t="str">
        <f ca="1">IFERROR(__xludf.DUMMYFUNCTION("""COMPUTED_VALUE"""),"Not specified")</f>
        <v>Not specified</v>
      </c>
      <c r="AC66" t="str">
        <f ca="1">IFERROR(__xludf.DUMMYFUNCTION("""COMPUTED_VALUE"""),"")</f>
        <v/>
      </c>
      <c r="AD66" t="str">
        <f ca="1">IFERROR(__xludf.DUMMYFUNCTION("""COMPUTED_VALUE"""),"Unsure")</f>
        <v>Unsure</v>
      </c>
      <c r="AE66" t="str">
        <f ca="1">IFERROR(__xludf.DUMMYFUNCTION("""COMPUTED_VALUE"""),"Unsure")</f>
        <v>Unsure</v>
      </c>
      <c r="AF66" t="str">
        <f ca="1">IFERROR(__xludf.DUMMYFUNCTION("""COMPUTED_VALUE"""),"Unsure")</f>
        <v>Unsure</v>
      </c>
      <c r="AG66" t="str">
        <f ca="1">IFERROR(__xludf.DUMMYFUNCTION("""COMPUTED_VALUE"""),"")</f>
        <v/>
      </c>
      <c r="AH66" t="str">
        <f ca="1">IFERROR(__xludf.DUMMYFUNCTION("""COMPUTED_VALUE"""),"No preprint policy")</f>
        <v>No preprint policy</v>
      </c>
      <c r="AI66" t="str">
        <f ca="1">IFERROR(__xludf.DUMMYFUNCTION("""COMPUTED_VALUE"""),"")</f>
        <v/>
      </c>
      <c r="AJ66" t="str">
        <f ca="1">IFERROR(__xludf.DUMMYFUNCTION("""COMPUTED_VALUE"""),"Not specified")</f>
        <v>Not specified</v>
      </c>
      <c r="AK66" t="str">
        <f ca="1">IFERROR(__xludf.DUMMYFUNCTION("""COMPUTED_VALUE"""),"Unsure")</f>
        <v>Unsure</v>
      </c>
      <c r="AL66" t="str">
        <f ca="1">IFERROR(__xludf.DUMMYFUNCTION("""COMPUTED_VALUE"""),"")</f>
        <v/>
      </c>
      <c r="AM66" t="str">
        <f ca="1">IFERROR(__xludf.DUMMYFUNCTION("""COMPUTED_VALUE"""),"")</f>
        <v/>
      </c>
      <c r="AN66" t="str">
        <f ca="1">IFERROR(__xludf.DUMMYFUNCTION("""COMPUTED_VALUE"""),"")</f>
        <v/>
      </c>
      <c r="AO66" t="str">
        <f ca="1">IFERROR(__xludf.DUMMYFUNCTION("""COMPUTED_VALUE"""),"")</f>
        <v/>
      </c>
      <c r="AP66" t="str">
        <f ca="1">IFERROR(__xludf.DUMMYFUNCTION("""COMPUTED_VALUE"""),"")</f>
        <v/>
      </c>
      <c r="AQ66" t="str">
        <f ca="1">IFERROR(__xludf.DUMMYFUNCTION("""COMPUTED_VALUE"""),"")</f>
        <v/>
      </c>
      <c r="AR66" t="str">
        <f ca="1">IFERROR(__xludf.DUMMYFUNCTION("""COMPUTED_VALUE"""),"")</f>
        <v/>
      </c>
    </row>
    <row r="67" spans="1:44" ht="13">
      <c r="A67" t="str">
        <f ca="1">IFERROR(__xludf.DUMMYFUNCTION("""COMPUTED_VALUE"""),"SR")</f>
        <v>SR</v>
      </c>
      <c r="B67" t="str">
        <f ca="1">IFERROR(__xludf.DUMMYFUNCTION("""COMPUTED_VALUE"""),"")</f>
        <v/>
      </c>
      <c r="C67" t="str">
        <f ca="1">IFERROR(__xludf.DUMMYFUNCTION("""COMPUTED_VALUE"""),"JP")</f>
        <v>JP</v>
      </c>
      <c r="D67" s="28">
        <f ca="1">IFERROR(__xludf.DUMMYFUNCTION("""COMPUTED_VALUE"""),43572)</f>
        <v>43572</v>
      </c>
      <c r="E67" t="str">
        <f ca="1">IFERROR(__xludf.DUMMYFUNCTION("""COMPUTED_VALUE"""),"TRH")</f>
        <v>TRH</v>
      </c>
      <c r="F67" s="28">
        <f ca="1">IFERROR(__xludf.DUMMYFUNCTION("""COMPUTED_VALUE"""),43581)</f>
        <v>43581</v>
      </c>
      <c r="G67" t="str">
        <f ca="1">IFERROR(__xludf.DUMMYFUNCTION("""COMPUTED_VALUE"""),"")</f>
        <v/>
      </c>
      <c r="H67" t="str">
        <f ca="1">IFERROR(__xludf.DUMMYFUNCTION("""COMPUTED_VALUE"""),"0925-5273")</f>
        <v>0925-5273</v>
      </c>
      <c r="I67" t="str">
        <f ca="1">IFERROR(__xludf.DUMMYFUNCTION("""COMPUTED_VALUE"""),"International Journal of Production Economics")</f>
        <v>International Journal of Production Economics</v>
      </c>
      <c r="J67" t="str">
        <f ca="1">IFERROR(__xludf.DUMMYFUNCTION("""COMPUTED_VALUE"""),"Business, Economics &amp; Management")</f>
        <v>Business, Economics &amp; Management</v>
      </c>
      <c r="K67" t="str">
        <f ca="1">IFERROR(__xludf.DUMMYFUNCTION("""COMPUTED_VALUE"""),"Elsevier")</f>
        <v>Elsevier</v>
      </c>
      <c r="L67" t="str">
        <f ca="1">IFERROR(__xludf.DUMMYFUNCTION("""COMPUTED_VALUE"""),"Double blind")</f>
        <v>Double blind</v>
      </c>
      <c r="M67" s="93" t="str">
        <f ca="1">IFERROR(__xludf.DUMMYFUNCTION("""COMPUTED_VALUE"""),"https://www.elsevier.com/journals/international-journal-of-production-economics/0925-5273?generatepdf=true")</f>
        <v>https://www.elsevier.com/journals/international-journal-of-production-economics/0925-5273?generatepdf=true</v>
      </c>
      <c r="N67" t="str">
        <f ca="1">IFERROR(__xludf.DUMMYFUNCTION("""COMPUTED_VALUE"""),"Not found")</f>
        <v>Not found</v>
      </c>
      <c r="O67" s="93" t="str">
        <f ca="1">IFERROR(__xludf.DUMMYFUNCTION("""COMPUTED_VALUE"""),"https://www.elsevier.com/reviewers/role#RRP")</f>
        <v>https://www.elsevier.com/reviewers/role#RRP</v>
      </c>
      <c r="P67" t="str">
        <f ca="1">IFERROR(__xludf.DUMMYFUNCTION("""COMPUTED_VALUE"""),"Unsure")</f>
        <v>Unsure</v>
      </c>
      <c r="Q67"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67" s="93" t="str">
        <f ca="1">IFERROR(__xludf.DUMMYFUNCTION("""COMPUTED_VALUE"""),"https://www.elsevier.com/reviewers/what-is-peer-review")</f>
        <v>https://www.elsevier.com/reviewers/what-is-peer-review</v>
      </c>
      <c r="S67" t="str">
        <f ca="1">IFERROR(__xludf.DUMMYFUNCTION("""COMPUTED_VALUE"""),"No")</f>
        <v>No</v>
      </c>
      <c r="T67" t="str">
        <f ca="1">IFERROR(__xludf.DUMMYFUNCTION("""COMPUTED_VALUE"""),"No")</f>
        <v>No</v>
      </c>
      <c r="U67" t="str">
        <f ca="1">IFERROR(__xludf.DUMMYFUNCTION("""COMPUTED_VALUE"""),"No")</f>
        <v>No</v>
      </c>
      <c r="V67" t="str">
        <f ca="1">IFERROR(__xludf.DUMMYFUNCTION("""COMPUTED_VALUE"""),"No")</f>
        <v>No</v>
      </c>
      <c r="W67" t="str">
        <f ca="1">IFERROR(__xludf.DUMMYFUNCTION("""COMPUTED_VALUE"""),"No")</f>
        <v>No</v>
      </c>
      <c r="X67" t="str">
        <f ca="1">IFERROR(__xludf.DUMMYFUNCTION("""COMPUTED_VALUE"""),"No")</f>
        <v>No</v>
      </c>
      <c r="Y67" t="str">
        <f ca="1">IFERROR(__xludf.DUMMYFUNCTION("""COMPUTED_VALUE"""),"No")</f>
        <v>No</v>
      </c>
      <c r="Z67" t="str">
        <f ca="1">IFERROR(__xludf.DUMMYFUNCTION("""COMPUTED_VALUE"""),"No")</f>
        <v>No</v>
      </c>
      <c r="AA67"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67"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67" s="93" t="str">
        <f ca="1">IFERROR(__xludf.DUMMYFUNCTION("""COMPUTED_VALUE"""),"https://www.elsevier.com/reviewers/how-to-review")</f>
        <v>https://www.elsevier.com/reviewers/how-to-review</v>
      </c>
      <c r="AD67" t="str">
        <f ca="1">IFERROR(__xludf.DUMMYFUNCTION("""COMPUTED_VALUE"""),"Unsure")</f>
        <v>Unsure</v>
      </c>
      <c r="AE67" t="str">
        <f ca="1">IFERROR(__xludf.DUMMYFUNCTION("""COMPUTED_VALUE"""),"Unsure")</f>
        <v>Unsure</v>
      </c>
      <c r="AF67" t="str">
        <f ca="1">IFERROR(__xludf.DUMMYFUNCTION("""COMPUTED_VALUE"""),"Unsure")</f>
        <v>Unsure</v>
      </c>
      <c r="AG67" s="93" t="str">
        <f ca="1">IFERROR(__xludf.DUMMYFUNCTION("""COMPUTED_VALUE"""),"https://www.elsevier.com/journals/international-journal-of-production-economics/0925-5273/guide-for-authors")</f>
        <v>https://www.elsevier.com/journals/international-journal-of-production-economics/0925-5273/guide-for-authors</v>
      </c>
      <c r="AH67" t="str">
        <f ca="1">IFERROR(__xludf.DUMMYFUNCTION("""COMPUTED_VALUE"""),"Unsure (preprints are allowed, but it's not clear what version)")</f>
        <v>Unsure (preprints are allowed, but it's not clear what version)</v>
      </c>
      <c r="AI67" t="str">
        <f ca="1">IFERROR(__xludf.DUMMYFUNCTION("""COMPUTED_VALUE"""),"A manuscript may have been published earlier in a different language, in a preliminary form as a Working Paper in a local university series, or in a PrePrint publication of a conference, etc. In all such cases, it is compulsory that the original publicati"&amp;"on is mentioned when submitting the manuscript.")</f>
        <v>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v>
      </c>
      <c r="AJ67" t="str">
        <f ca="1">IFERROR(__xludf.DUMMYFUNCTION("""COMPUTED_VALUE"""),"")</f>
        <v/>
      </c>
      <c r="AK67" t="str">
        <f ca="1">IFERROR(__xludf.DUMMYFUNCTION("""COMPUTED_VALUE"""),"Unsure")</f>
        <v>Unsure</v>
      </c>
      <c r="AL67" t="str">
        <f ca="1">IFERROR(__xludf.DUMMYFUNCTION("""COMPUTED_VALUE"""),"")</f>
        <v/>
      </c>
      <c r="AM67" t="str">
        <f ca="1">IFERROR(__xludf.DUMMYFUNCTION("""COMPUTED_VALUE"""),"")</f>
        <v/>
      </c>
      <c r="AN67" t="str">
        <f ca="1">IFERROR(__xludf.DUMMYFUNCTION("""COMPUTED_VALUE"""),"")</f>
        <v/>
      </c>
      <c r="AO67" t="str">
        <f ca="1">IFERROR(__xludf.DUMMYFUNCTION("""COMPUTED_VALUE"""),"")</f>
        <v/>
      </c>
      <c r="AP67" t="str">
        <f ca="1">IFERROR(__xludf.DUMMYFUNCTION("""COMPUTED_VALUE"""),"The International Journal of Production Economics is published by Elsevier, which means that most of Elsevier's general policies apply. Interestingly, though, it is difficult to locate the policies on the journal websites even if one has done that before."&amp;" Once you determine the type of peer review the journal in question employs you can then read their what-is-peer-review page to determine the degree of ""openness"" of the peer review process in question. The preprint policy is not journal-specific, so El"&amp;"sevier's general rules (seem to) apply.")</f>
        <v>The International Journal of Production Economics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v>
      </c>
      <c r="AQ67" t="str">
        <f ca="1">IFERROR(__xludf.DUMMYFUNCTION("""COMPUTED_VALUE"""),"")</f>
        <v/>
      </c>
      <c r="AR67" t="str">
        <f ca="1">IFERROR(__xludf.DUMMYFUNCTION("""COMPUTED_VALUE"""),"")</f>
        <v/>
      </c>
    </row>
    <row r="68" spans="1:44" ht="13">
      <c r="A68" t="str">
        <f ca="1">IFERROR(__xludf.DUMMYFUNCTION("""COMPUTED_VALUE"""),"SR")</f>
        <v>SR</v>
      </c>
      <c r="B68" s="41">
        <f ca="1">IFERROR(__xludf.DUMMYFUNCTION("""COMPUTED_VALUE"""),43441)</f>
        <v>43441</v>
      </c>
      <c r="C68" t="str">
        <f ca="1">IFERROR(__xludf.DUMMYFUNCTION("""COMPUTED_VALUE"""),"JP")</f>
        <v>JP</v>
      </c>
      <c r="D68" s="28">
        <f ca="1">IFERROR(__xludf.DUMMYFUNCTION("""COMPUTED_VALUE"""),43572)</f>
        <v>43572</v>
      </c>
      <c r="E68" t="str">
        <f ca="1">IFERROR(__xludf.DUMMYFUNCTION("""COMPUTED_VALUE"""),"TRH")</f>
        <v>TRH</v>
      </c>
      <c r="F68" s="28">
        <f ca="1">IFERROR(__xludf.DUMMYFUNCTION("""COMPUTED_VALUE"""),43581)</f>
        <v>43581</v>
      </c>
      <c r="G68" t="str">
        <f ca="1">IFERROR(__xludf.DUMMYFUNCTION("""COMPUTED_VALUE"""),"")</f>
        <v/>
      </c>
      <c r="H68" t="str">
        <f ca="1">IFERROR(__xludf.DUMMYFUNCTION("""COMPUTED_VALUE"""),"1538-3598")</f>
        <v>1538-3598</v>
      </c>
      <c r="I68" t="str">
        <f ca="1">IFERROR(__xludf.DUMMYFUNCTION("""COMPUTED_VALUE"""),"Journal of the American Medical Association")</f>
        <v>Journal of the American Medical Association</v>
      </c>
      <c r="J68" t="str">
        <f ca="1">IFERROR(__xludf.DUMMYFUNCTION("""COMPUTED_VALUE"""),"Health &amp; Medical Sciences")</f>
        <v>Health &amp; Medical Sciences</v>
      </c>
      <c r="K68" t="str">
        <f ca="1">IFERROR(__xludf.DUMMYFUNCTION("""COMPUTED_VALUE"""),"American Medical Association")</f>
        <v>American Medical Association</v>
      </c>
      <c r="L68" t="str">
        <f ca="1">IFERROR(__xludf.DUMMYFUNCTION("""COMPUTED_VALUE"""),"Single blind")</f>
        <v>Single blind</v>
      </c>
      <c r="M68" s="93" t="str">
        <f ca="1">IFERROR(__xludf.DUMMYFUNCTION("""COMPUTED_VALUE"""),"https://jamanetwork.com/journals/jama/pages/instructions-for-authors")</f>
        <v>https://jamanetwork.com/journals/jama/pages/instructions-for-authors</v>
      </c>
      <c r="N68" t="str">
        <f ca="1">IFERROR(__xludf.DUMMYFUNCTION("""COMPUTED_VALUE"""),"")</f>
        <v/>
      </c>
      <c r="O68" t="str">
        <f ca="1">IFERROR(__xludf.DUMMYFUNCTION("""COMPUTED_VALUE"""),"")</f>
        <v/>
      </c>
      <c r="P68" t="str">
        <f ca="1">IFERROR(__xludf.DUMMYFUNCTION("""COMPUTED_VALUE"""),"Unsure")</f>
        <v>Unsure</v>
      </c>
      <c r="Q68" t="str">
        <f ca="1">IFERROR(__xludf.DUMMYFUNCTION("""COMPUTED_VALUE"""),"At the time of manuscript submission, authors may preselect the option to have their manuscript and reviewers' comments automatically referred to one of the JAMA Network specialty journals if the manuscript is not accepted by JAMA.")</f>
        <v>At the time of manuscript submission, authors may preselect the option to have their manuscript and reviewers' comments automatically referred to one of the JAMA Network specialty journals if the manuscript is not accepted by JAMA.</v>
      </c>
      <c r="R68" s="93" t="str">
        <f ca="1">IFERROR(__xludf.DUMMYFUNCTION("""COMPUTED_VALUE"""),"https://jamanetwork.com/journals/jama/pages/instructions-for-authors")</f>
        <v>https://jamanetwork.com/journals/jama/pages/instructions-for-authors</v>
      </c>
      <c r="S68" t="str">
        <f ca="1">IFERROR(__xludf.DUMMYFUNCTION("""COMPUTED_VALUE"""),"No")</f>
        <v>No</v>
      </c>
      <c r="T68" t="str">
        <f ca="1">IFERROR(__xludf.DUMMYFUNCTION("""COMPUTED_VALUE"""),"Not specified")</f>
        <v>Not specified</v>
      </c>
      <c r="U68" t="str">
        <f ca="1">IFERROR(__xludf.DUMMYFUNCTION("""COMPUTED_VALUE"""),"Not specified")</f>
        <v>Not specified</v>
      </c>
      <c r="V68" t="str">
        <f ca="1">IFERROR(__xludf.DUMMYFUNCTION("""COMPUTED_VALUE"""),"No")</f>
        <v>No</v>
      </c>
      <c r="W68" t="str">
        <f ca="1">IFERROR(__xludf.DUMMYFUNCTION("""COMPUTED_VALUE"""),"Not specified")</f>
        <v>Not specified</v>
      </c>
      <c r="X68" t="str">
        <f ca="1">IFERROR(__xludf.DUMMYFUNCTION("""COMPUTED_VALUE"""),"Optional")</f>
        <v>Optional</v>
      </c>
      <c r="Y68" t="str">
        <f ca="1">IFERROR(__xludf.DUMMYFUNCTION("""COMPUTED_VALUE"""),"No")</f>
        <v>No</v>
      </c>
      <c r="Z68" t="str">
        <f ca="1">IFERROR(__xludf.DUMMYFUNCTION("""COMPUTED_VALUE"""),"Not specified")</f>
        <v>Not specified</v>
      </c>
      <c r="AA68" t="str">
        <f ca="1">IFERROR(__xludf.DUMMYFUNCTION("""COMPUTED_VALUE"""),"The journal uses a single-blind peer review process: peer reviewer identities are kept confidential (unless reviewers choose to reveal their names in their formal reviews); author identities are made known to reviewers. The existence of a manuscript under"&amp;" review is not revealed to anyone other than peer reviewers and editorial staff. Peer reviewers are required to maintain confidentiality about the manuscripts they review and must not divulge any information about a specific manuscript or its content to a"&amp;"ny third party without prior permission from the journal editors.")</f>
        <v>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v>
      </c>
      <c r="AB68" t="str">
        <f ca="1">IFERROR(__xludf.DUMMYFUNCTION("""COMPUTED_VALUE"""),"")</f>
        <v/>
      </c>
      <c r="AC68" t="str">
        <f ca="1">IFERROR(__xludf.DUMMYFUNCTION("""COMPUTED_VALUE"""),"")</f>
        <v/>
      </c>
      <c r="AD68" t="str">
        <f ca="1">IFERROR(__xludf.DUMMYFUNCTION("""COMPUTED_VALUE"""),"Unsure")</f>
        <v>Unsure</v>
      </c>
      <c r="AE68" t="str">
        <f ca="1">IFERROR(__xludf.DUMMYFUNCTION("""COMPUTED_VALUE"""),"Unsure")</f>
        <v>Unsure</v>
      </c>
      <c r="AF68" t="str">
        <f ca="1">IFERROR(__xludf.DUMMYFUNCTION("""COMPUTED_VALUE"""),"Unsure")</f>
        <v>Unsure</v>
      </c>
      <c r="AG68" s="93" t="str">
        <f ca="1">IFERROR(__xludf.DUMMYFUNCTION("""COMPUTED_VALUE"""),"https://jamanetwork.com/journals/jama/pages/instructions-for-authors#SecPreviousorPlannedPresentationorReleaseofInformation")</f>
        <v>https://jamanetwork.com/journals/jama/pages/instructions-for-authors#SecPreviousorPlannedPresentationorReleaseofInformation</v>
      </c>
      <c r="AH68" t="str">
        <f ca="1">IFERROR(__xludf.DUMMYFUNCTION("""COMPUTED_VALUE"""),"None (preprints not allowed)")</f>
        <v>None (preprints not allowed)</v>
      </c>
      <c r="AI68" t="str">
        <f ca="1">IFERROR(__xludf.DUMMYFUNCTION("""COMPUTED_VALUE"""),"")</f>
        <v/>
      </c>
      <c r="AJ68" t="str">
        <f ca="1">IFERROR(__xludf.DUMMYFUNCTION("""COMPUTED_VALUE"""),"Not specified")</f>
        <v>Not specified</v>
      </c>
      <c r="AK68" t="str">
        <f ca="1">IFERROR(__xludf.DUMMYFUNCTION("""COMPUTED_VALUE"""),"No")</f>
        <v>No</v>
      </c>
      <c r="AL68" t="str">
        <f ca="1">IFERROR(__xludf.DUMMYFUNCTION("""COMPUTED_VALUE"""),"Authors who present information contained in a manuscript that is under consideration by this journal during scientific or clinical meetings should not distribute complete reports (ie, copies of manuscripts) or full data presented as tables and figures to"&amp;" conference attendees or journalists. Publication of abstracts in print and online conference proceedings, as well as posting of slides or videos from the scientific presentation on the meeting website, is acceptable. However, for manuscripts under consid"&amp;"eration by this journal, publication of full reports in meeting proceedings or online, issuing detailed news releases reporting the results of the study that go beyond the meeting abstract, or participation in formal news conferences will ordinarily jeopa"&amp;"rdize chances for publication of the submitted manuscript in this journal.5 Media coverage of presentations at scientific meetings will not jeopardize consideration, but direct release of information through press releases or news media briefings may prec"&amp;"lude consideration of the manuscript by this journal.")</f>
        <v>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v>
      </c>
      <c r="AM68" t="str">
        <f ca="1">IFERROR(__xludf.DUMMYFUNCTION("""COMPUTED_VALUE"""),"")</f>
        <v/>
      </c>
      <c r="AN68" t="str">
        <f ca="1">IFERROR(__xludf.DUMMYFUNCTION("""COMPUTED_VALUE"""),"")</f>
        <v/>
      </c>
      <c r="AO68" t="str">
        <f ca="1">IFERROR(__xludf.DUMMYFUNCTION("""COMPUTED_VALUE"""),"")</f>
        <v/>
      </c>
      <c r="AP68" t="str">
        <f ca="1">IFERROR(__xludf.DUMMYFUNCTION("""COMPUTED_VALUE"""),"When going through the JAMA Network's preprint policy it is evident that the policy is tailored to a very specific epistemic and publishing culture of presenting path-breaking work at upcoming conferences while simultanoeusly submitting said work to journ"&amp;"als. This might explain why the JAMA editors assign priority to this form of pre-publication publicity (i.e. why there is even a policy for that).")</f>
        <v>When going through the JAMA Network's preprint policy it is evident that the policy is tailored to a very specific epistemic and publishing culture of presenting path-breaking work at upcoming conferences while simultanoeusly submitting said work to journals. This might explain why the JAMA editors assign priority to this form of pre-publication publicity (i.e. why there is even a policy for that).</v>
      </c>
      <c r="AQ68" t="str">
        <f ca="1">IFERROR(__xludf.DUMMYFUNCTION("""COMPUTED_VALUE"""),"")</f>
        <v/>
      </c>
      <c r="AR68" t="str">
        <f ca="1">IFERROR(__xludf.DUMMYFUNCTION("""COMPUTED_VALUE"""),"")</f>
        <v/>
      </c>
    </row>
    <row r="69" spans="1:44" ht="13">
      <c r="A69" t="str">
        <f ca="1">IFERROR(__xludf.DUMMYFUNCTION("""COMPUTED_VALUE"""),"SR")</f>
        <v>SR</v>
      </c>
      <c r="B69" s="41">
        <f ca="1">IFERROR(__xludf.DUMMYFUNCTION("""COMPUTED_VALUE"""),43441)</f>
        <v>43441</v>
      </c>
      <c r="C69" t="str">
        <f ca="1">IFERROR(__xludf.DUMMYFUNCTION("""COMPUTED_VALUE"""),"JP")</f>
        <v>JP</v>
      </c>
      <c r="D69" s="28">
        <f ca="1">IFERROR(__xludf.DUMMYFUNCTION("""COMPUTED_VALUE"""),43572)</f>
        <v>43572</v>
      </c>
      <c r="E69" t="str">
        <f ca="1">IFERROR(__xludf.DUMMYFUNCTION("""COMPUTED_VALUE"""),"TRH")</f>
        <v>TRH</v>
      </c>
      <c r="F69" s="28">
        <f ca="1">IFERROR(__xludf.DUMMYFUNCTION("""COMPUTED_VALUE"""),43581)</f>
        <v>43581</v>
      </c>
      <c r="G69" t="str">
        <f ca="1">IFERROR(__xludf.DUMMYFUNCTION("""COMPUTED_VALUE"""),"")</f>
        <v/>
      </c>
      <c r="H69" t="str">
        <f ca="1">IFERROR(__xludf.DUMMYFUNCTION("""COMPUTED_VALUE"""),"0091-6749")</f>
        <v>0091-6749</v>
      </c>
      <c r="I69" t="str">
        <f ca="1">IFERROR(__xludf.DUMMYFUNCTION("""COMPUTED_VALUE"""),"Journal of Allergy and Clinical Immunology")</f>
        <v>Journal of Allergy and Clinical Immunology</v>
      </c>
      <c r="J69" t="str">
        <f ca="1">IFERROR(__xludf.DUMMYFUNCTION("""COMPUTED_VALUE"""),"")</f>
        <v/>
      </c>
      <c r="K69" t="str">
        <f ca="1">IFERROR(__xludf.DUMMYFUNCTION("""COMPUTED_VALUE"""),"Elsevier/American Academy of Allergy, Asthma &amp; Immunology")</f>
        <v>Elsevier/American Academy of Allergy, Asthma &amp; Immunology</v>
      </c>
      <c r="L69" t="str">
        <f ca="1">IFERROR(__xludf.DUMMYFUNCTION("""COMPUTED_VALUE"""),"Unsure")</f>
        <v>Unsure</v>
      </c>
      <c r="M69" s="93" t="str">
        <f ca="1">IFERROR(__xludf.DUMMYFUNCTION("""COMPUTED_VALUE"""),"https://www.jacionline.org/content/authorinfo")</f>
        <v>https://www.jacionline.org/content/authorinfo</v>
      </c>
      <c r="N69" t="str">
        <f ca="1">IFERROR(__xludf.DUMMYFUNCTION("""COMPUTED_VALUE"""),"")</f>
        <v/>
      </c>
      <c r="O69" t="str">
        <f ca="1">IFERROR(__xludf.DUMMYFUNCTION("""COMPUTED_VALUE"""),"")</f>
        <v/>
      </c>
      <c r="P69" t="str">
        <f ca="1">IFERROR(__xludf.DUMMYFUNCTION("""COMPUTED_VALUE"""),"")</f>
        <v/>
      </c>
      <c r="Q69" t="str">
        <f ca="1">IFERROR(__xludf.DUMMYFUNCTION("""COMPUTED_VALUE"""),"This journal is part of our Article Transfer Service. This means that if the Editor feels your article is more suitable in one of our other participating journals, then you may be asked to consider transferring the article to one of those. If you agree, y"&amp;"our article will be transferred automatically on your behalf with no need to reformat. Please note that your article will be reviewed again by the new journal.")</f>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R69" s="93" t="str">
        <f ca="1">IFERROR(__xludf.DUMMYFUNCTION("""COMPUTED_VALUE"""),"https://www.elsevier.com/authors/journal-authors/submit-your-paper/submit-and-revise/article-transfer-service")</f>
        <v>https://www.elsevier.com/authors/journal-authors/submit-your-paper/submit-and-revise/article-transfer-service</v>
      </c>
      <c r="S69" t="str">
        <f ca="1">IFERROR(__xludf.DUMMYFUNCTION("""COMPUTED_VALUE"""),"Not specified")</f>
        <v>Not specified</v>
      </c>
      <c r="T69" t="str">
        <f ca="1">IFERROR(__xludf.DUMMYFUNCTION("""COMPUTED_VALUE"""),"Not specified")</f>
        <v>Not specified</v>
      </c>
      <c r="U69" t="str">
        <f ca="1">IFERROR(__xludf.DUMMYFUNCTION("""COMPUTED_VALUE"""),"Not specified")</f>
        <v>Not specified</v>
      </c>
      <c r="V69" t="str">
        <f ca="1">IFERROR(__xludf.DUMMYFUNCTION("""COMPUTED_VALUE"""),"Not specified")</f>
        <v>Not specified</v>
      </c>
      <c r="W69" t="str">
        <f ca="1">IFERROR(__xludf.DUMMYFUNCTION("""COMPUTED_VALUE"""),"Not specified")</f>
        <v>Not specified</v>
      </c>
      <c r="X69" t="str">
        <f ca="1">IFERROR(__xludf.DUMMYFUNCTION("""COMPUTED_VALUE"""),"Not specified")</f>
        <v>Not specified</v>
      </c>
      <c r="Y69" t="str">
        <f ca="1">IFERROR(__xludf.DUMMYFUNCTION("""COMPUTED_VALUE"""),"Not specified")</f>
        <v>Not specified</v>
      </c>
      <c r="Z69" t="str">
        <f ca="1">IFERROR(__xludf.DUMMYFUNCTION("""COMPUTED_VALUE"""),"Not specified")</f>
        <v>Not specified</v>
      </c>
      <c r="AA69" t="str">
        <f ca="1">IFERROR(__xludf.DUMMYFUNCTION("""COMPUTED_VALUE"""),"")</f>
        <v/>
      </c>
      <c r="AB69" t="str">
        <f ca="1">IFERROR(__xludf.DUMMYFUNCTION("""COMPUTED_VALUE"""),"")</f>
        <v/>
      </c>
      <c r="AC69" t="str">
        <f ca="1">IFERROR(__xludf.DUMMYFUNCTION("""COMPUTED_VALUE"""),"")</f>
        <v/>
      </c>
      <c r="AD69" t="str">
        <f ca="1">IFERROR(__xludf.DUMMYFUNCTION("""COMPUTED_VALUE"""),"Unsure")</f>
        <v>Unsure</v>
      </c>
      <c r="AE69" t="str">
        <f ca="1">IFERROR(__xludf.DUMMYFUNCTION("""COMPUTED_VALUE"""),"Unsure")</f>
        <v>Unsure</v>
      </c>
      <c r="AF69" t="str">
        <f ca="1">IFERROR(__xludf.DUMMYFUNCTION("""COMPUTED_VALUE"""),"Unsure")</f>
        <v>Unsure</v>
      </c>
      <c r="AG69" s="93" t="str">
        <f ca="1">IFERROR(__xludf.DUMMYFUNCTION("""COMPUTED_VALUE"""),"https://www.elsevier.com/about/policies/sharing")</f>
        <v>https://www.elsevier.com/about/policies/sharing</v>
      </c>
      <c r="AH69" t="str">
        <f ca="1">IFERROR(__xludf.DUMMYFUNCTION("""COMPUTED_VALUE"""),"Unsure")</f>
        <v>Unsure</v>
      </c>
      <c r="AI69" t="str">
        <f ca="1">IFERROR(__xludf.DUMMYFUNCTION("""COMPUTED_VALUE"""),"Elsevier, the publisher of JACI, has a long tradition of liberal copyright policies and for many years has permitted both the posting of preprints on public servers and the posting of final papers as accepted on secure internal servers. Now authors of pap"&amp;"ers published in an Elsevier journal may also post their final version, as accepted by the journal, publicly on their personal Web site or their institutions' Web sites (including their institutional repository). The “final version” is the author's Word ("&amp;"or Text or similar word processing) file, which can be updated by the author to incorporate changes made during the peer-review and editing processes.
Authors do not need to ask Elsevier's permission to do this. They need to include the full citation of "&amp;"the published article (once known) and a link to the homepage of the journal or, better, the DOI of the published article.
The posting cannot be for commercial purposes (such as systematic distribution or creating links for customers to articles) and it "&amp;"is not permitted to post to Web sites outside of their institution (other than their own personal web page). ")</f>
        <v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v>
      </c>
      <c r="AJ69" t="str">
        <f ca="1">IFERROR(__xludf.DUMMYFUNCTION("""COMPUTED_VALUE"""),"Not specified")</f>
        <v>Not specified</v>
      </c>
      <c r="AK69" t="str">
        <f ca="1">IFERROR(__xludf.DUMMYFUNCTION("""COMPUTED_VALUE"""),"Unsure")</f>
        <v>Unsure</v>
      </c>
      <c r="AL69" t="str">
        <f ca="1">IFERROR(__xludf.DUMMYFUNCTION("""COMPUTED_VALUE"""),"")</f>
        <v/>
      </c>
      <c r="AM69" t="str">
        <f ca="1">IFERROR(__xludf.DUMMYFUNCTION("""COMPUTED_VALUE"""),"")</f>
        <v/>
      </c>
      <c r="AN69" t="str">
        <f ca="1">IFERROR(__xludf.DUMMYFUNCTION("""COMPUTED_VALUE"""),"")</f>
        <v/>
      </c>
      <c r="AO69" t="str">
        <f ca="1">IFERROR(__xludf.DUMMYFUNCTION("""COMPUTED_VALUE"""),"")</f>
        <v/>
      </c>
      <c r="AP69" t="str">
        <f ca="1">IFERROR(__xludf.DUMMYFUNCTION("""COMPUTED_VALUE"""),"The Journal of Allergy and Clinical Immunology is published by Elsevier, but offers unique guidelines on peer review policies and preprint policies. However, the exact peer review process is nowhere specified, so it is difficult for prospective authors to"&amp;" assess.")</f>
        <v>The Journal of Allergy and Clinical Immunology is published by Elsevier, but offers unique guidelines on peer review policies and preprint policies. However, the exact peer review process is nowhere specified, so it is difficult for prospective authors to assess.</v>
      </c>
      <c r="AQ69" t="str">
        <f ca="1">IFERROR(__xludf.DUMMYFUNCTION("""COMPUTED_VALUE"""),"")</f>
        <v/>
      </c>
      <c r="AR69" t="str">
        <f ca="1">IFERROR(__xludf.DUMMYFUNCTION("""COMPUTED_VALUE"""),"")</f>
        <v/>
      </c>
    </row>
    <row r="70" spans="1:44" ht="13">
      <c r="A70" t="str">
        <f ca="1">IFERROR(__xludf.DUMMYFUNCTION("""COMPUTED_VALUE"""),"SR")</f>
        <v>SR</v>
      </c>
      <c r="B70" s="41">
        <f ca="1">IFERROR(__xludf.DUMMYFUNCTION("""COMPUTED_VALUE"""),43441)</f>
        <v>43441</v>
      </c>
      <c r="C70" t="str">
        <f ca="1">IFERROR(__xludf.DUMMYFUNCTION("""COMPUTED_VALUE"""),"JP")</f>
        <v>JP</v>
      </c>
      <c r="D70" s="28">
        <f ca="1">IFERROR(__xludf.DUMMYFUNCTION("""COMPUTED_VALUE"""),43572)</f>
        <v>43572</v>
      </c>
      <c r="E70" t="str">
        <f ca="1">IFERROR(__xludf.DUMMYFUNCTION("""COMPUTED_VALUE"""),"TRH")</f>
        <v>TRH</v>
      </c>
      <c r="F70" s="28">
        <f ca="1">IFERROR(__xludf.DUMMYFUNCTION("""COMPUTED_VALUE"""),43581)</f>
        <v>43581</v>
      </c>
      <c r="G70" t="str">
        <f ca="1">IFERROR(__xludf.DUMMYFUNCTION("""COMPUTED_VALUE"""),"")</f>
        <v/>
      </c>
      <c r="H70" t="str">
        <f ca="1">IFERROR(__xludf.DUMMYFUNCTION("""COMPUTED_VALUE"""),"0378-4266")</f>
        <v>0378-4266</v>
      </c>
      <c r="I70" t="str">
        <f ca="1">IFERROR(__xludf.DUMMYFUNCTION("""COMPUTED_VALUE"""),"Journal of Banking &amp; Finance")</f>
        <v>Journal of Banking &amp; Finance</v>
      </c>
      <c r="J70" t="str">
        <f ca="1">IFERROR(__xludf.DUMMYFUNCTION("""COMPUTED_VALUE"""),"Business, Economics &amp; Management")</f>
        <v>Business, Economics &amp; Management</v>
      </c>
      <c r="K70" t="str">
        <f ca="1">IFERROR(__xludf.DUMMYFUNCTION("""COMPUTED_VALUE"""),"Elsevier")</f>
        <v>Elsevier</v>
      </c>
      <c r="L70" t="str">
        <f ca="1">IFERROR(__xludf.DUMMYFUNCTION("""COMPUTED_VALUE"""),"Double blind")</f>
        <v>Double blind</v>
      </c>
      <c r="M70" s="93" t="str">
        <f ca="1">IFERROR(__xludf.DUMMYFUNCTION("""COMPUTED_VALUE"""),"https://www.elsevier.com/journals/journal-of-banking-and-finance/0378-4266/guide-for-authors")</f>
        <v>https://www.elsevier.com/journals/journal-of-banking-and-finance/0378-4266/guide-for-authors</v>
      </c>
      <c r="N70" t="str">
        <f ca="1">IFERROR(__xludf.DUMMYFUNCTION("""COMPUTED_VALUE"""),"")</f>
        <v/>
      </c>
      <c r="O70" s="93" t="str">
        <f ca="1">IFERROR(__xludf.DUMMYFUNCTION("""COMPUTED_VALUE"""),"https://www.elsevier.com/reviewers/role#RRP")</f>
        <v>https://www.elsevier.com/reviewers/role#RRP</v>
      </c>
      <c r="P70" t="str">
        <f ca="1">IFERROR(__xludf.DUMMYFUNCTION("""COMPUTED_VALUE"""),"")</f>
        <v/>
      </c>
      <c r="Q70"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0" s="93" t="str">
        <f ca="1">IFERROR(__xludf.DUMMYFUNCTION("""COMPUTED_VALUE"""),"https://www.elsevier.com/reviewers/what-is-peer-review")</f>
        <v>https://www.elsevier.com/reviewers/what-is-peer-review</v>
      </c>
      <c r="S70" t="str">
        <f ca="1">IFERROR(__xludf.DUMMYFUNCTION("""COMPUTED_VALUE"""),"No")</f>
        <v>No</v>
      </c>
      <c r="T70" t="str">
        <f ca="1">IFERROR(__xludf.DUMMYFUNCTION("""COMPUTED_VALUE"""),"No")</f>
        <v>No</v>
      </c>
      <c r="U70" t="str">
        <f ca="1">IFERROR(__xludf.DUMMYFUNCTION("""COMPUTED_VALUE"""),"No")</f>
        <v>No</v>
      </c>
      <c r="V70" t="str">
        <f ca="1">IFERROR(__xludf.DUMMYFUNCTION("""COMPUTED_VALUE"""),"No")</f>
        <v>No</v>
      </c>
      <c r="W70" t="str">
        <f ca="1">IFERROR(__xludf.DUMMYFUNCTION("""COMPUTED_VALUE"""),"No")</f>
        <v>No</v>
      </c>
      <c r="X70" t="str">
        <f ca="1">IFERROR(__xludf.DUMMYFUNCTION("""COMPUTED_VALUE"""),"No")</f>
        <v>No</v>
      </c>
      <c r="Y70" t="str">
        <f ca="1">IFERROR(__xludf.DUMMYFUNCTION("""COMPUTED_VALUE"""),"No")</f>
        <v>No</v>
      </c>
      <c r="Z70" t="str">
        <f ca="1">IFERROR(__xludf.DUMMYFUNCTION("""COMPUTED_VALUE"""),"No")</f>
        <v>No</v>
      </c>
      <c r="AA70"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70"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0" s="93" t="str">
        <f ca="1">IFERROR(__xludf.DUMMYFUNCTION("""COMPUTED_VALUE"""),"https://www.elsevier.com/reviewers/how-to-review")</f>
        <v>https://www.elsevier.com/reviewers/how-to-review</v>
      </c>
      <c r="AD70" t="str">
        <f ca="1">IFERROR(__xludf.DUMMYFUNCTION("""COMPUTED_VALUE"""),"Unsure")</f>
        <v>Unsure</v>
      </c>
      <c r="AE70" t="str">
        <f ca="1">IFERROR(__xludf.DUMMYFUNCTION("""COMPUTED_VALUE"""),"Unsure")</f>
        <v>Unsure</v>
      </c>
      <c r="AF70" t="str">
        <f ca="1">IFERROR(__xludf.DUMMYFUNCTION("""COMPUTED_VALUE"""),"Unsure")</f>
        <v>Unsure</v>
      </c>
      <c r="AG70" s="93" t="str">
        <f ca="1">IFERROR(__xludf.DUMMYFUNCTION("""COMPUTED_VALUE"""),"https://www.elsevier.com/about/policies/sharing")</f>
        <v>https://www.elsevier.com/about/policies/sharing</v>
      </c>
      <c r="AH70" t="str">
        <f ca="1">IFERROR(__xludf.DUMMYFUNCTION("""COMPUTED_VALUE"""),"No preprint policy")</f>
        <v>No preprint policy</v>
      </c>
      <c r="AI70" t="str">
        <f ca="1">IFERROR(__xludf.DUMMYFUNCTION("""COMPUTED_VALUE"""),"")</f>
        <v/>
      </c>
      <c r="AJ70" t="str">
        <f ca="1">IFERROR(__xludf.DUMMYFUNCTION("""COMPUTED_VALUE"""),"Not specified")</f>
        <v>Not specified</v>
      </c>
      <c r="AK70" t="str">
        <f ca="1">IFERROR(__xludf.DUMMYFUNCTION("""COMPUTED_VALUE"""),"Unsure")</f>
        <v>Unsure</v>
      </c>
      <c r="AL70" t="str">
        <f ca="1">IFERROR(__xludf.DUMMYFUNCTION("""COMPUTED_VALUE"""),"")</f>
        <v/>
      </c>
      <c r="AM70" t="str">
        <f ca="1">IFERROR(__xludf.DUMMYFUNCTION("""COMPUTED_VALUE"""),"")</f>
        <v/>
      </c>
      <c r="AN70" t="str">
        <f ca="1">IFERROR(__xludf.DUMMYFUNCTION("""COMPUTED_VALUE"""),"")</f>
        <v/>
      </c>
      <c r="AO70" t="str">
        <f ca="1">IFERROR(__xludf.DUMMYFUNCTION("""COMPUTED_VALUE"""),"")</f>
        <v/>
      </c>
      <c r="AP70" t="str">
        <f ca="1">IFERROR(__xludf.DUMMYFUNCTION("""COMPUTED_VALUE"""),"The Journal of Banking and Finance is published by Elsevier, which means that most of Elsevier's general policies apply. Interestingly, though, it is difficult to locate the policies on the journal websites even if one has done that before. Once you deter"&amp;"mine the type of peer review the journal in question employs you can then read their what-is-peer-review page to determine the degree of ""openness"" of the peer review process in question. The preprint policy is not journal-specific, so Elsevier's genera"&amp;"l rules (seem to) apply.")</f>
        <v>The Journal of Banking and Finance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The preprint policy is not journal-specific, so Elsevier's general rules (seem to) apply.</v>
      </c>
      <c r="AQ70" t="str">
        <f ca="1">IFERROR(__xludf.DUMMYFUNCTION("""COMPUTED_VALUE"""),"20 mins")</f>
        <v>20 mins</v>
      </c>
      <c r="AR70" t="str">
        <f ca="1">IFERROR(__xludf.DUMMYFUNCTION("""COMPUTED_VALUE"""),"")</f>
        <v/>
      </c>
    </row>
    <row r="71" spans="1:44" ht="13">
      <c r="A71" t="str">
        <f ca="1">IFERROR(__xludf.DUMMYFUNCTION("""COMPUTED_VALUE"""),"SR")</f>
        <v>SR</v>
      </c>
      <c r="B71" s="41">
        <f ca="1">IFERROR(__xludf.DUMMYFUNCTION("""COMPUTED_VALUE"""),43441)</f>
        <v>43441</v>
      </c>
      <c r="C71" t="str">
        <f ca="1">IFERROR(__xludf.DUMMYFUNCTION("""COMPUTED_VALUE"""),"SH")</f>
        <v>SH</v>
      </c>
      <c r="D71" s="39">
        <f ca="1">IFERROR(__xludf.DUMMYFUNCTION("""COMPUTED_VALUE"""),43571)</f>
        <v>43571</v>
      </c>
      <c r="E71" t="str">
        <f ca="1">IFERROR(__xludf.DUMMYFUNCTION("""COMPUTED_VALUE"""),"TRH")</f>
        <v>TRH</v>
      </c>
      <c r="F71" s="28">
        <f ca="1">IFERROR(__xludf.DUMMYFUNCTION("""COMPUTED_VALUE"""),43581)</f>
        <v>43581</v>
      </c>
      <c r="G71" t="str">
        <f ca="1">IFERROR(__xludf.DUMMYFUNCTION("""COMPUTED_VALUE"""),"")</f>
        <v/>
      </c>
      <c r="H71" t="str">
        <f ca="1">IFERROR(__xludf.DUMMYFUNCTION("""COMPUTED_VALUE"""),"1573-0697")</f>
        <v>1573-0697</v>
      </c>
      <c r="I71" t="str">
        <f ca="1">IFERROR(__xludf.DUMMYFUNCTION("""COMPUTED_VALUE"""),"Journal of Business Ethics")</f>
        <v>Journal of Business Ethics</v>
      </c>
      <c r="J71" t="str">
        <f ca="1">IFERROR(__xludf.DUMMYFUNCTION("""COMPUTED_VALUE"""),"Business, Economics &amp; Management,
Social Sciences")</f>
        <v>Business, Economics &amp; Management,
Social Sciences</v>
      </c>
      <c r="K71" t="str">
        <f ca="1">IFERROR(__xludf.DUMMYFUNCTION("""COMPUTED_VALUE"""),"SpringerNature")</f>
        <v>SpringerNature</v>
      </c>
      <c r="L71" t="str">
        <f ca="1">IFERROR(__xludf.DUMMYFUNCTION("""COMPUTED_VALUE"""),"Double blind")</f>
        <v>Double blind</v>
      </c>
      <c r="M71" s="93" t="str">
        <f ca="1">IFERROR(__xludf.DUMMYFUNCTION("""COMPUTED_VALUE"""),"https://www.springer.com/philosophy/ethics+and+moral+philosophy/journal/10551#")</f>
        <v>https://www.springer.com/philosophy/ethics+and+moral+philosophy/journal/10551#</v>
      </c>
      <c r="N71" t="str">
        <f ca="1">IFERROR(__xludf.DUMMYFUNCTION("""COMPUTED_VALUE"""),"")</f>
        <v/>
      </c>
      <c r="O71" s="93" t="str">
        <f ca="1">IFERROR(__xludf.DUMMYFUNCTION("""COMPUTED_VALUE"""),"https://www.springer.com/philosophy/ethics+and+moral+philosophy/journal/10551#")</f>
        <v>https://www.springer.com/philosophy/ethics+and+moral+philosophy/journal/10551#</v>
      </c>
      <c r="P71" t="str">
        <f ca="1">IFERROR(__xludf.DUMMYFUNCTION("""COMPUTED_VALUE"""),"Yes")</f>
        <v>Yes</v>
      </c>
      <c r="Q71" t="str">
        <f ca="1">IFERROR(__xludf.DUMMYFUNCTION("""COMPUTED_VALUE"""),"")</f>
        <v/>
      </c>
      <c r="R71" t="str">
        <f ca="1">IFERROR(__xludf.DUMMYFUNCTION("""COMPUTED_VALUE"""),"")</f>
        <v/>
      </c>
      <c r="S71" t="str">
        <f ca="1">IFERROR(__xludf.DUMMYFUNCTION("""COMPUTED_VALUE"""),"Not specified")</f>
        <v>Not specified</v>
      </c>
      <c r="T71" t="str">
        <f ca="1">IFERROR(__xludf.DUMMYFUNCTION("""COMPUTED_VALUE"""),"Not specified")</f>
        <v>Not specified</v>
      </c>
      <c r="U71" t="str">
        <f ca="1">IFERROR(__xludf.DUMMYFUNCTION("""COMPUTED_VALUE"""),"Not specified")</f>
        <v>Not specified</v>
      </c>
      <c r="V71" t="str">
        <f ca="1">IFERROR(__xludf.DUMMYFUNCTION("""COMPUTED_VALUE"""),"Not specified")</f>
        <v>Not specified</v>
      </c>
      <c r="W71" t="str">
        <f ca="1">IFERROR(__xludf.DUMMYFUNCTION("""COMPUTED_VALUE"""),"Not specified")</f>
        <v>Not specified</v>
      </c>
      <c r="X71" t="str">
        <f ca="1">IFERROR(__xludf.DUMMYFUNCTION("""COMPUTED_VALUE"""),"Not specified")</f>
        <v>Not specified</v>
      </c>
      <c r="Y71" t="str">
        <f ca="1">IFERROR(__xludf.DUMMYFUNCTION("""COMPUTED_VALUE"""),"Not specified")</f>
        <v>Not specified</v>
      </c>
      <c r="Z71" t="str">
        <f ca="1">IFERROR(__xludf.DUMMYFUNCTION("""COMPUTED_VALUE"""),"Not specified")</f>
        <v>Not specified</v>
      </c>
      <c r="AA71" t="str">
        <f ca="1">IFERROR(__xludf.DUMMYFUNCTION("""COMPUTED_VALUE"""),"")</f>
        <v/>
      </c>
      <c r="AB71" t="str">
        <f ca="1">IFERROR(__xludf.DUMMYFUNCTION("""COMPUTED_VALUE"""),"")</f>
        <v/>
      </c>
      <c r="AC71" t="str">
        <f ca="1">IFERROR(__xludf.DUMMYFUNCTION("""COMPUTED_VALUE"""),"")</f>
        <v/>
      </c>
      <c r="AD71" t="str">
        <f ca="1">IFERROR(__xludf.DUMMYFUNCTION("""COMPUTED_VALUE"""),"Unsure")</f>
        <v>Unsure</v>
      </c>
      <c r="AE71" t="str">
        <f ca="1">IFERROR(__xludf.DUMMYFUNCTION("""COMPUTED_VALUE"""),"Unsure")</f>
        <v>Unsure</v>
      </c>
      <c r="AF71" t="str">
        <f ca="1">IFERROR(__xludf.DUMMYFUNCTION("""COMPUTED_VALUE"""),"Unsure")</f>
        <v>Unsure</v>
      </c>
      <c r="AG71" t="str">
        <f ca="1">IFERROR(__xludf.DUMMYFUNCTION("""COMPUTED_VALUE"""),"")</f>
        <v/>
      </c>
      <c r="AH71" t="str">
        <f ca="1">IFERROR(__xludf.DUMMYFUNCTION("""COMPUTED_VALUE"""),"No preprint policy")</f>
        <v>No preprint policy</v>
      </c>
      <c r="AI71" t="str">
        <f ca="1">IFERROR(__xludf.DUMMYFUNCTION("""COMPUTED_VALUE"""),"Not specified")</f>
        <v>Not specified</v>
      </c>
      <c r="AJ71" t="str">
        <f ca="1">IFERROR(__xludf.DUMMYFUNCTION("""COMPUTED_VALUE"""),"Not specified")</f>
        <v>Not specified</v>
      </c>
      <c r="AK71" t="str">
        <f ca="1">IFERROR(__xludf.DUMMYFUNCTION("""COMPUTED_VALUE"""),"Unsure")</f>
        <v>Unsure</v>
      </c>
      <c r="AL71" t="str">
        <f ca="1">IFERROR(__xludf.DUMMYFUNCTION("""COMPUTED_VALUE"""),"")</f>
        <v/>
      </c>
      <c r="AM71" t="str">
        <f ca="1">IFERROR(__xludf.DUMMYFUNCTION("""COMPUTED_VALUE"""),"")</f>
        <v/>
      </c>
      <c r="AN71" t="str">
        <f ca="1">IFERROR(__xludf.DUMMYFUNCTION("""COMPUTED_VALUE"""),"")</f>
        <v/>
      </c>
      <c r="AO71" t="str">
        <f ca="1">IFERROR(__xludf.DUMMYFUNCTION("""COMPUTED_VALUE"""),"")</f>
        <v/>
      </c>
      <c r="AP71" t="str">
        <f ca="1">IFERROR(__xludf.DUMMYFUNCTION("""COMPUTED_VALUE"""),"The Journal of Business Ethics is published by SpringerNature, and offers a rather comprehensive list of policies. However, the peer review process is not described in great detail (one only learns that the journal employs a double blind peer review), and"&amp;" their pre-print policy is non-existent.")</f>
        <v>The Journal of Business Ethics is published by SpringerNature, and offers a rather comprehensive list of policies. However, the peer review process is not described in great detail (one only learns that the journal employs a double blind peer review), and their pre-print policy is non-existent.</v>
      </c>
      <c r="AQ71" t="str">
        <f ca="1">IFERROR(__xludf.DUMMYFUNCTION("""COMPUTED_VALUE"""),"20 mins")</f>
        <v>20 mins</v>
      </c>
      <c r="AR71" t="str">
        <f ca="1">IFERROR(__xludf.DUMMYFUNCTION("""COMPUTED_VALUE"""),"")</f>
        <v/>
      </c>
    </row>
    <row r="72" spans="1:44" ht="13">
      <c r="A72" t="str">
        <f ca="1">IFERROR(__xludf.DUMMYFUNCTION("""COMPUTED_VALUE"""),"SR")</f>
        <v>SR</v>
      </c>
      <c r="B72" s="41">
        <f ca="1">IFERROR(__xludf.DUMMYFUNCTION("""COMPUTED_VALUE"""),43438)</f>
        <v>43438</v>
      </c>
      <c r="C72" t="str">
        <f ca="1">IFERROR(__xludf.DUMMYFUNCTION("""COMPUTED_VALUE"""),"SH")</f>
        <v>SH</v>
      </c>
      <c r="D72" s="39">
        <f ca="1">IFERROR(__xludf.DUMMYFUNCTION("""COMPUTED_VALUE"""),43571)</f>
        <v>43571</v>
      </c>
      <c r="E72" t="str">
        <f ca="1">IFERROR(__xludf.DUMMYFUNCTION("""COMPUTED_VALUE"""),"TRH")</f>
        <v>TRH</v>
      </c>
      <c r="F72" s="28">
        <f ca="1">IFERROR(__xludf.DUMMYFUNCTION("""COMPUTED_VALUE"""),43581)</f>
        <v>43581</v>
      </c>
      <c r="G72" t="str">
        <f ca="1">IFERROR(__xludf.DUMMYFUNCTION("""COMPUTED_VALUE"""),"")</f>
        <v/>
      </c>
      <c r="H72" t="str">
        <f ca="1">IFERROR(__xludf.DUMMYFUNCTION("""COMPUTED_VALUE"""),"0148-2963")</f>
        <v>0148-2963</v>
      </c>
      <c r="I72" t="str">
        <f ca="1">IFERROR(__xludf.DUMMYFUNCTION("""COMPUTED_VALUE"""),"Journal of Business Research")</f>
        <v>Journal of Business Research</v>
      </c>
      <c r="J72" t="str">
        <f ca="1">IFERROR(__xludf.DUMMYFUNCTION("""COMPUTED_VALUE"""),"Business, Economics &amp; Management")</f>
        <v>Business, Economics &amp; Management</v>
      </c>
      <c r="K72" t="str">
        <f ca="1">IFERROR(__xludf.DUMMYFUNCTION("""COMPUTED_VALUE"""),"Elsevier")</f>
        <v>Elsevier</v>
      </c>
      <c r="L72" t="str">
        <f ca="1">IFERROR(__xludf.DUMMYFUNCTION("""COMPUTED_VALUE"""),"Double blind")</f>
        <v>Double blind</v>
      </c>
      <c r="M72" s="93" t="str">
        <f ca="1">IFERROR(__xludf.DUMMYFUNCTION("""COMPUTED_VALUE"""),"https://www.elsevier.com/journals/journal-of-business-research/0148-2963/guide-for-authors")</f>
        <v>https://www.elsevier.com/journals/journal-of-business-research/0148-2963/guide-for-authors</v>
      </c>
      <c r="N72" t="str">
        <f ca="1">IFERROR(__xludf.DUMMYFUNCTION("""COMPUTED_VALUE"""),"")</f>
        <v/>
      </c>
      <c r="O72" s="93" t="str">
        <f ca="1">IFERROR(__xludf.DUMMYFUNCTION("""COMPUTED_VALUE"""),"https://www.elsevier.com/reviewers/role#recognizing")</f>
        <v>https://www.elsevier.com/reviewers/role#recognizing</v>
      </c>
      <c r="P72" t="str">
        <f ca="1">IFERROR(__xludf.DUMMYFUNCTION("""COMPUTED_VALUE"""),"Yes")</f>
        <v>Yes</v>
      </c>
      <c r="Q72"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2" s="93" t="str">
        <f ca="1">IFERROR(__xludf.DUMMYFUNCTION("""COMPUTED_VALUE"""),"https://www.elsevier.com/reviewers/what-is-peer-review")</f>
        <v>https://www.elsevier.com/reviewers/what-is-peer-review</v>
      </c>
      <c r="S72" t="str">
        <f ca="1">IFERROR(__xludf.DUMMYFUNCTION("""COMPUTED_VALUE"""),"Not specified")</f>
        <v>Not specified</v>
      </c>
      <c r="T72" t="str">
        <f ca="1">IFERROR(__xludf.DUMMYFUNCTION("""COMPUTED_VALUE"""),"Not specified")</f>
        <v>Not specified</v>
      </c>
      <c r="U72" t="str">
        <f ca="1">IFERROR(__xludf.DUMMYFUNCTION("""COMPUTED_VALUE"""),"Not specified")</f>
        <v>Not specified</v>
      </c>
      <c r="V72" t="str">
        <f ca="1">IFERROR(__xludf.DUMMYFUNCTION("""COMPUTED_VALUE"""),"Not specified")</f>
        <v>Not specified</v>
      </c>
      <c r="W72" t="str">
        <f ca="1">IFERROR(__xludf.DUMMYFUNCTION("""COMPUTED_VALUE"""),"Not specified")</f>
        <v>Not specified</v>
      </c>
      <c r="X72" t="str">
        <f ca="1">IFERROR(__xludf.DUMMYFUNCTION("""COMPUTED_VALUE"""),"Not specified")</f>
        <v>Not specified</v>
      </c>
      <c r="Y72" t="str">
        <f ca="1">IFERROR(__xludf.DUMMYFUNCTION("""COMPUTED_VALUE"""),"Not specified")</f>
        <v>Not specified</v>
      </c>
      <c r="Z72" t="str">
        <f ca="1">IFERROR(__xludf.DUMMYFUNCTION("""COMPUTED_VALUE"""),"Not specified")</f>
        <v>Not specified</v>
      </c>
      <c r="AA72" t="str">
        <f ca="1">IFERROR(__xludf.DUMMYFUNCTION("""COMPUTED_VALUE"""),"")</f>
        <v/>
      </c>
      <c r="AB72"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2" s="93" t="str">
        <f ca="1">IFERROR(__xludf.DUMMYFUNCTION("""COMPUTED_VALUE"""),"https://www.elsevier.com/reviewers/how-to-review")</f>
        <v>https://www.elsevier.com/reviewers/how-to-review</v>
      </c>
      <c r="AD72" t="str">
        <f ca="1">IFERROR(__xludf.DUMMYFUNCTION("""COMPUTED_VALUE"""),"Unsure")</f>
        <v>Unsure</v>
      </c>
      <c r="AE72" t="str">
        <f ca="1">IFERROR(__xludf.DUMMYFUNCTION("""COMPUTED_VALUE"""),"Unsure")</f>
        <v>Unsure</v>
      </c>
      <c r="AF72" t="str">
        <f ca="1">IFERROR(__xludf.DUMMYFUNCTION("""COMPUTED_VALUE"""),"Unsure")</f>
        <v>Unsure</v>
      </c>
      <c r="AG72" s="93" t="str">
        <f ca="1">IFERROR(__xludf.DUMMYFUNCTION("""COMPUTED_VALUE"""),"https://www.elsevier.com/about/policies/sharing")</f>
        <v>https://www.elsevier.com/about/policies/sharing</v>
      </c>
      <c r="AH72" t="str">
        <f ca="1">IFERROR(__xludf.DUMMYFUNCTION("""COMPUTED_VALUE"""),"Unsure")</f>
        <v>Unsure</v>
      </c>
      <c r="AI72" t="str">
        <f ca="1">IFERROR(__xludf.DUMMYFUNCTION("""COMPUTED_VALUE"""),"Authors can share their preprint anywhere at any time.")</f>
        <v>Authors can share their preprint anywhere at any time.</v>
      </c>
      <c r="AJ72" t="str">
        <f ca="1">IFERROR(__xludf.DUMMYFUNCTION("""COMPUTED_VALUE"""),"Not specified")</f>
        <v>Not specified</v>
      </c>
      <c r="AK72" t="str">
        <f ca="1">IFERROR(__xludf.DUMMYFUNCTION("""COMPUTED_VALUE"""),"Unsure")</f>
        <v>Unsure</v>
      </c>
      <c r="AL72" t="str">
        <f ca="1">IFERROR(__xludf.DUMMYFUNCTION("""COMPUTED_VALUE"""),"")</f>
        <v/>
      </c>
      <c r="AM72" t="str">
        <f ca="1">IFERROR(__xludf.DUMMYFUNCTION("""COMPUTED_VALUE"""),"")</f>
        <v/>
      </c>
      <c r="AN72" t="str">
        <f ca="1">IFERROR(__xludf.DUMMYFUNCTION("""COMPUTED_VALUE"""),"")</f>
        <v/>
      </c>
      <c r="AO72" t="str">
        <f ca="1">IFERROR(__xludf.DUMMYFUNCTION("""COMPUTED_VALUE"""),"")</f>
        <v/>
      </c>
      <c r="AP72" t="str">
        <f ca="1">IFERROR(__xludf.DUMMYFUNCTION("""COMPUTED_VALUE"""),"The JoBR is an Elsevier journal, so most of Elsevier's policies apply. However, these policies (the documents describing them) are not easy to locate on the journal's website. Links are provided to Elsevier's standard documents, though, but it is not alwa"&amp;"ys clear which general provisions apply in this specific case.")</f>
        <v>The JoBR is an Elsevier journal, so most of Elsevier's policies apply. However, these policies (the documents describing them) are not easy to locate on the journal's website. Links are provided to Elsevier's standard documents, though, but it is not always clear which general provisions apply in this specific case.</v>
      </c>
      <c r="AQ72" t="str">
        <f ca="1">IFERROR(__xludf.DUMMYFUNCTION("""COMPUTED_VALUE"""),"20 mins")</f>
        <v>20 mins</v>
      </c>
      <c r="AR72" t="str">
        <f ca="1">IFERROR(__xludf.DUMMYFUNCTION("""COMPUTED_VALUE"""),"")</f>
        <v/>
      </c>
    </row>
    <row r="73" spans="1:44" ht="13">
      <c r="A73" t="str">
        <f ca="1">IFERROR(__xludf.DUMMYFUNCTION("""COMPUTED_VALUE"""),"SR")</f>
        <v>SR</v>
      </c>
      <c r="B73" s="41">
        <f ca="1">IFERROR(__xludf.DUMMYFUNCTION("""COMPUTED_VALUE"""),43438)</f>
        <v>43438</v>
      </c>
      <c r="C73" t="str">
        <f ca="1">IFERROR(__xludf.DUMMYFUNCTION("""COMPUTED_VALUE"""),"SH")</f>
        <v>SH</v>
      </c>
      <c r="D73" s="39">
        <f ca="1">IFERROR(__xludf.DUMMYFUNCTION("""COMPUTED_VALUE"""),43571)</f>
        <v>43571</v>
      </c>
      <c r="E73" t="str">
        <f ca="1">IFERROR(__xludf.DUMMYFUNCTION("""COMPUTED_VALUE"""),"TRH")</f>
        <v>TRH</v>
      </c>
      <c r="F73" s="28">
        <f ca="1">IFERROR(__xludf.DUMMYFUNCTION("""COMPUTED_VALUE"""),43581)</f>
        <v>43581</v>
      </c>
      <c r="G73" t="str">
        <f ca="1">IFERROR(__xludf.DUMMYFUNCTION("""COMPUTED_VALUE"""),"")</f>
        <v/>
      </c>
      <c r="H73" t="str">
        <f ca="1">IFERROR(__xludf.DUMMYFUNCTION("""COMPUTED_VALUE"""),"0959-6526")</f>
        <v>0959-6526</v>
      </c>
      <c r="I73" t="str">
        <f ca="1">IFERROR(__xludf.DUMMYFUNCTION("""COMPUTED_VALUE"""),"Journal of Cleaner Production")</f>
        <v>Journal of Cleaner Production</v>
      </c>
      <c r="J73" t="str">
        <f ca="1">IFERROR(__xludf.DUMMYFUNCTION("""COMPUTED_VALUE"""),"")</f>
        <v/>
      </c>
      <c r="K73" t="str">
        <f ca="1">IFERROR(__xludf.DUMMYFUNCTION("""COMPUTED_VALUE"""),"Elsevier")</f>
        <v>Elsevier</v>
      </c>
      <c r="L73" t="str">
        <f ca="1">IFERROR(__xludf.DUMMYFUNCTION("""COMPUTED_VALUE"""),"Single blind")</f>
        <v>Single blind</v>
      </c>
      <c r="M73" s="93" t="str">
        <f ca="1">IFERROR(__xludf.DUMMYFUNCTION("""COMPUTED_VALUE"""),"https://www.elsevier.com/journals/journal-of-cleaner-production/0959-6526/guide-for-authors")</f>
        <v>https://www.elsevier.com/journals/journal-of-cleaner-production/0959-6526/guide-for-authors</v>
      </c>
      <c r="N73" t="str">
        <f ca="1">IFERROR(__xludf.DUMMYFUNCTION("""COMPUTED_VALUE"""),"")</f>
        <v/>
      </c>
      <c r="O73" s="93" t="str">
        <f ca="1">IFERROR(__xludf.DUMMYFUNCTION("""COMPUTED_VALUE"""),"https://www.elsevier.com/reviewers/role#RRP")</f>
        <v>https://www.elsevier.com/reviewers/role#RRP</v>
      </c>
      <c r="P73" t="str">
        <f ca="1">IFERROR(__xludf.DUMMYFUNCTION("""COMPUTED_VALUE"""),"Yes")</f>
        <v>Yes</v>
      </c>
      <c r="Q73"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73" s="93" t="str">
        <f ca="1">IFERROR(__xludf.DUMMYFUNCTION("""COMPUTED_VALUE"""),"https://www.elsevier.com/reviewers/what-is-peer-review")</f>
        <v>https://www.elsevier.com/reviewers/what-is-peer-review</v>
      </c>
      <c r="S73" t="str">
        <f ca="1">IFERROR(__xludf.DUMMYFUNCTION("""COMPUTED_VALUE"""),"Not specified")</f>
        <v>Not specified</v>
      </c>
      <c r="T73" t="str">
        <f ca="1">IFERROR(__xludf.DUMMYFUNCTION("""COMPUTED_VALUE"""),"Not specified")</f>
        <v>Not specified</v>
      </c>
      <c r="U73" t="str">
        <f ca="1">IFERROR(__xludf.DUMMYFUNCTION("""COMPUTED_VALUE"""),"Not specified")</f>
        <v>Not specified</v>
      </c>
      <c r="V73" t="str">
        <f ca="1">IFERROR(__xludf.DUMMYFUNCTION("""COMPUTED_VALUE"""),"Not specified")</f>
        <v>Not specified</v>
      </c>
      <c r="W73" t="str">
        <f ca="1">IFERROR(__xludf.DUMMYFUNCTION("""COMPUTED_VALUE"""),"Not specified")</f>
        <v>Not specified</v>
      </c>
      <c r="X73" t="str">
        <f ca="1">IFERROR(__xludf.DUMMYFUNCTION("""COMPUTED_VALUE"""),"Not specified")</f>
        <v>Not specified</v>
      </c>
      <c r="Y73" t="str">
        <f ca="1">IFERROR(__xludf.DUMMYFUNCTION("""COMPUTED_VALUE"""),"Not specified")</f>
        <v>Not specified</v>
      </c>
      <c r="Z73" t="str">
        <f ca="1">IFERROR(__xludf.DUMMYFUNCTION("""COMPUTED_VALUE"""),"Not specified")</f>
        <v>Not specified</v>
      </c>
      <c r="AA73" t="str">
        <f ca="1">IFERROR(__xludf.DUMMYFUNCTION("""COMPUTED_VALUE"""),"")</f>
        <v/>
      </c>
      <c r="AB73"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73" s="93" t="str">
        <f ca="1">IFERROR(__xludf.DUMMYFUNCTION("""COMPUTED_VALUE"""),"https://www.elsevier.com/reviewers/how-to-review")</f>
        <v>https://www.elsevier.com/reviewers/how-to-review</v>
      </c>
      <c r="AD73" t="str">
        <f ca="1">IFERROR(__xludf.DUMMYFUNCTION("""COMPUTED_VALUE"""),"Unsure")</f>
        <v>Unsure</v>
      </c>
      <c r="AE73" t="str">
        <f ca="1">IFERROR(__xludf.DUMMYFUNCTION("""COMPUTED_VALUE"""),"Unsure")</f>
        <v>Unsure</v>
      </c>
      <c r="AF73" t="str">
        <f ca="1">IFERROR(__xludf.DUMMYFUNCTION("""COMPUTED_VALUE"""),"Unsure")</f>
        <v>Unsure</v>
      </c>
      <c r="AG73" s="93" t="str">
        <f ca="1">IFERROR(__xludf.DUMMYFUNCTION("""COMPUTED_VALUE"""),"https://www.elsevier.com/about/policies/sharing")</f>
        <v>https://www.elsevier.com/about/policies/sharing</v>
      </c>
      <c r="AH73" t="str">
        <f ca="1">IFERROR(__xludf.DUMMYFUNCTION("""COMPUTED_VALUE"""),"Authors can share their preprint anywhere at any time.")</f>
        <v>Authors can share their preprint anywhere at any time.</v>
      </c>
      <c r="AI73" t="str">
        <f ca="1">IFERROR(__xludf.DUMMYFUNCTION("""COMPUTED_VALUE"""),"")</f>
        <v/>
      </c>
      <c r="AJ73" t="str">
        <f ca="1">IFERROR(__xludf.DUMMYFUNCTION("""COMPUTED_VALUE"""),"Not specified")</f>
        <v>Not specified</v>
      </c>
      <c r="AK73" t="str">
        <f ca="1">IFERROR(__xludf.DUMMYFUNCTION("""COMPUTED_VALUE"""),"Unsure")</f>
        <v>Unsure</v>
      </c>
      <c r="AL73" t="str">
        <f ca="1">IFERROR(__xludf.DUMMYFUNCTION("""COMPUTED_VALUE"""),"")</f>
        <v/>
      </c>
      <c r="AM73" t="str">
        <f ca="1">IFERROR(__xludf.DUMMYFUNCTION("""COMPUTED_VALUE"""),"")</f>
        <v/>
      </c>
      <c r="AN73" t="str">
        <f ca="1">IFERROR(__xludf.DUMMYFUNCTION("""COMPUTED_VALUE"""),"")</f>
        <v/>
      </c>
      <c r="AO73" t="str">
        <f ca="1">IFERROR(__xludf.DUMMYFUNCTION("""COMPUTED_VALUE"""),"")</f>
        <v/>
      </c>
      <c r="AP73" t="str">
        <f ca="1">IFERROR(__xludf.DUMMYFUNCTION("""COMPUTED_VALUE"""),"The journal of cleaner production is published by Elsevier, so many of their general policies apply. As you go through many Elsevier journals, it becomes easier to locate and understand their policies which frequently overlap.")</f>
        <v>The journal of cleaner production is published by Elsevier, so many of their general policies apply. As you go through many Elsevier journals, it becomes easier to locate and understand their policies which frequently overlap.</v>
      </c>
      <c r="AQ73" t="str">
        <f ca="1">IFERROR(__xludf.DUMMYFUNCTION("""COMPUTED_VALUE"""),"10 mins")</f>
        <v>10 mins</v>
      </c>
      <c r="AR73" t="str">
        <f ca="1">IFERROR(__xludf.DUMMYFUNCTION("""COMPUTED_VALUE"""),"")</f>
        <v/>
      </c>
    </row>
    <row r="74" spans="1:44" ht="13">
      <c r="A74" t="str">
        <f ca="1">IFERROR(__xludf.DUMMYFUNCTION("""COMPUTED_VALUE"""),"SR")</f>
        <v>SR</v>
      </c>
      <c r="B74" s="41">
        <f ca="1">IFERROR(__xludf.DUMMYFUNCTION("""COMPUTED_VALUE"""),43438)</f>
        <v>43438</v>
      </c>
      <c r="C74" t="str">
        <f ca="1">IFERROR(__xludf.DUMMYFUNCTION("""COMPUTED_VALUE"""),"SH")</f>
        <v>SH</v>
      </c>
      <c r="D74" s="39">
        <f ca="1">IFERROR(__xludf.DUMMYFUNCTION("""COMPUTED_VALUE"""),43571)</f>
        <v>43571</v>
      </c>
      <c r="E74" t="str">
        <f ca="1">IFERROR(__xludf.DUMMYFUNCTION("""COMPUTED_VALUE"""),"TRH")</f>
        <v>TRH</v>
      </c>
      <c r="F74" s="28">
        <f ca="1">IFERROR(__xludf.DUMMYFUNCTION("""COMPUTED_VALUE"""),43581)</f>
        <v>43581</v>
      </c>
      <c r="G74" t="str">
        <f ca="1">IFERROR(__xludf.DUMMYFUNCTION("""COMPUTED_VALUE"""),"")</f>
        <v/>
      </c>
      <c r="H74" t="str">
        <f ca="1">IFERROR(__xludf.DUMMYFUNCTION("""COMPUTED_VALUE"""),"1527-7755")</f>
        <v>1527-7755</v>
      </c>
      <c r="I74" t="str">
        <f ca="1">IFERROR(__xludf.DUMMYFUNCTION("""COMPUTED_VALUE"""),"Journal of Clinical Oncology")</f>
        <v>Journal of Clinical Oncology</v>
      </c>
      <c r="J74" t="str">
        <f ca="1">IFERROR(__xludf.DUMMYFUNCTION("""COMPUTED_VALUE"""),"Health &amp; Medical Sciences")</f>
        <v>Health &amp; Medical Sciences</v>
      </c>
      <c r="K74" t="str">
        <f ca="1">IFERROR(__xludf.DUMMYFUNCTION("""COMPUTED_VALUE"""),"American Society of Clinical Oncology")</f>
        <v>American Society of Clinical Oncology</v>
      </c>
      <c r="L74" t="str">
        <f ca="1">IFERROR(__xludf.DUMMYFUNCTION("""COMPUTED_VALUE"""),"Single blind")</f>
        <v>Single blind</v>
      </c>
      <c r="M74" s="93" t="str">
        <f ca="1">IFERROR(__xludf.DUMMYFUNCTION("""COMPUTED_VALUE"""),"http://ascopubs.org/jco/site/ifc/my-article-was-submitted.xhtml")</f>
        <v>http://ascopubs.org/jco/site/ifc/my-article-was-submitted.xhtml</v>
      </c>
      <c r="N74" t="str">
        <f ca="1">IFERROR(__xludf.DUMMYFUNCTION("""COMPUTED_VALUE"""),"")</f>
        <v/>
      </c>
      <c r="O74" s="93" t="str">
        <f ca="1">IFERROR(__xludf.DUMMYFUNCTION("""COMPUTED_VALUE"""),"http://ascopubs.org/reviewers")</f>
        <v>http://ascopubs.org/reviewers</v>
      </c>
      <c r="P74" t="str">
        <f ca="1">IFERROR(__xludf.DUMMYFUNCTION("""COMPUTED_VALUE"""),"No")</f>
        <v>No</v>
      </c>
      <c r="Q74" t="str">
        <f ca="1">IFERROR(__xludf.DUMMYFUNCTION("""COMPUTED_VALUE"""),"")</f>
        <v/>
      </c>
      <c r="R74" t="str">
        <f ca="1">IFERROR(__xludf.DUMMYFUNCTION("""COMPUTED_VALUE"""),"")</f>
        <v/>
      </c>
      <c r="S74" t="str">
        <f ca="1">IFERROR(__xludf.DUMMYFUNCTION("""COMPUTED_VALUE"""),"Not specified")</f>
        <v>Not specified</v>
      </c>
      <c r="T74" t="str">
        <f ca="1">IFERROR(__xludf.DUMMYFUNCTION("""COMPUTED_VALUE"""),"Not specified")</f>
        <v>Not specified</v>
      </c>
      <c r="U74" t="str">
        <f ca="1">IFERROR(__xludf.DUMMYFUNCTION("""COMPUTED_VALUE"""),"Not specified")</f>
        <v>Not specified</v>
      </c>
      <c r="V74" t="str">
        <f ca="1">IFERROR(__xludf.DUMMYFUNCTION("""COMPUTED_VALUE"""),"Not specified")</f>
        <v>Not specified</v>
      </c>
      <c r="W74" t="str">
        <f ca="1">IFERROR(__xludf.DUMMYFUNCTION("""COMPUTED_VALUE"""),"Not specified")</f>
        <v>Not specified</v>
      </c>
      <c r="X74" t="str">
        <f ca="1">IFERROR(__xludf.DUMMYFUNCTION("""COMPUTED_VALUE"""),"Not specified")</f>
        <v>Not specified</v>
      </c>
      <c r="Y74" t="str">
        <f ca="1">IFERROR(__xludf.DUMMYFUNCTION("""COMPUTED_VALUE"""),"Not specified")</f>
        <v>Not specified</v>
      </c>
      <c r="Z74" t="str">
        <f ca="1">IFERROR(__xludf.DUMMYFUNCTION("""COMPUTED_VALUE"""),"Not specified")</f>
        <v>Not specified</v>
      </c>
      <c r="AA74" t="str">
        <f ca="1">IFERROR(__xludf.DUMMYFUNCTION("""COMPUTED_VALUE"""),"")</f>
        <v/>
      </c>
      <c r="AB74" t="str">
        <f ca="1">IFERROR(__xludf.DUMMYFUNCTION("""COMPUTED_VALUE"""),"")</f>
        <v/>
      </c>
      <c r="AC74" t="str">
        <f ca="1">IFERROR(__xludf.DUMMYFUNCTION("""COMPUTED_VALUE"""),"")</f>
        <v/>
      </c>
      <c r="AD74" t="str">
        <f ca="1">IFERROR(__xludf.DUMMYFUNCTION("""COMPUTED_VALUE"""),"Unsure")</f>
        <v>Unsure</v>
      </c>
      <c r="AE74" t="str">
        <f ca="1">IFERROR(__xludf.DUMMYFUNCTION("""COMPUTED_VALUE"""),"Unsure")</f>
        <v>Unsure</v>
      </c>
      <c r="AF74" t="str">
        <f ca="1">IFERROR(__xludf.DUMMYFUNCTION("""COMPUTED_VALUE"""),"Unsure")</f>
        <v>Unsure</v>
      </c>
      <c r="AG74" s="93" t="str">
        <f ca="1">IFERROR(__xludf.DUMMYFUNCTION("""COMPUTED_VALUE"""),"http://ascopubs.org/jco/site/ifc/journal-policies.xhtml")</f>
        <v>http://ascopubs.org/jco/site/ifc/journal-policies.xhtml</v>
      </c>
      <c r="AH74" t="str">
        <f ca="1">IFERROR(__xludf.DUMMYFUNCTION("""COMPUTED_VALUE"""),"First submission only (before peer review)")</f>
        <v>First submission only (before peer review)</v>
      </c>
      <c r="AI74" t="str">
        <f ca="1">IFERROR(__xludf.DUMMYFUNCTION("""COMPUTED_VALUE"""),"ASCO journals will consider publication of manuscripts that contain information previously posted on preprint servers. However, authors should be advised that the degree to which the submitted manuscript overlaps with what is already posted on the preprin"&amp;"t server may affect the novelty of the findings for ASCO journal readership, and this will be taken into account in the evaluation of the manuscript. If a report has been published on a preprint server prior to manuscript submission, this must be acknowle"&amp;"dged during the submission process. In addition, a link to that document must be provided so that reviewers and editors can evaluate the preprinted information and compare it with the submitted manuscript. Failure to acknowledge prior dissemination of res"&amp;"earch posted on preprint servers or similar databases will jeopardize the status of the submission. When such a manuscript has been submitted to an ASCO journal, no revisions should be posted to the preprint server during the manuscript's peer review proc"&amp;"ess. If the manuscript is eventually accepted for publication, no revisions should be posted on the preprint server until the final manuscript is published online by ASCO, and any such revisions must not deviate from the final version of the manuscript pu"&amp;"blished by ASCO. Finally, once the manuscript has been published by an ASCO journal, any future changes to the manuscript such as errata, discovered by the authors after journal publication for instance, must be first submitted, approved, and published by"&amp;" ASCO, prior to making any changes to the preprint document. Violation of this preprint policy will be considered grounds for article retraction.")</f>
        <v>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v>
      </c>
      <c r="AJ74" t="str">
        <f ca="1">IFERROR(__xludf.DUMMYFUNCTION("""COMPUTED_VALUE"""),"Not specified")</f>
        <v>Not specified</v>
      </c>
      <c r="AK74" t="str">
        <f ca="1">IFERROR(__xludf.DUMMYFUNCTION("""COMPUTED_VALUE"""),"Unsure")</f>
        <v>Unsure</v>
      </c>
      <c r="AL74" t="str">
        <f ca="1">IFERROR(__xludf.DUMMYFUNCTION("""COMPUTED_VALUE"""),"")</f>
        <v/>
      </c>
      <c r="AM74" t="str">
        <f ca="1">IFERROR(__xludf.DUMMYFUNCTION("""COMPUTED_VALUE"""),"")</f>
        <v/>
      </c>
      <c r="AN74" t="str">
        <f ca="1">IFERROR(__xludf.DUMMYFUNCTION("""COMPUTED_VALUE"""),"")</f>
        <v/>
      </c>
      <c r="AO74" t="str">
        <f ca="1">IFERROR(__xludf.DUMMYFUNCTION("""COMPUTED_VALUE"""),"")</f>
        <v/>
      </c>
      <c r="AP74" t="str">
        <f ca="1">IFERROR(__xludf.DUMMYFUNCTION("""COMPUTED_VALUE"""),"The journal details its review process, but it is very difficult to locate the information. No information on co-reviewing and/or open peer review is provided (which is taken to mean that these are not a priority for the editors). Their preprint policy st"&amp;"ates that they allow preprints but only if they are substantially different to the version submitted to the journal. They also mention in two separate places on the same page that work must be original and not made available elsewhere!! Hmmm...")</f>
        <v>The journal details its review process, but it is very difficult to locate the information. No information on co-reviewing and/or open peer review is provided (which is taken to mean that these are not a priority for the editors). Their preprint policy states that they allow preprints but only if they are substantially different to the version submitted to the journal. They also mention in two separate places on the same page that work must be original and not made available elsewhere!! Hmmm...</v>
      </c>
      <c r="AQ74" t="str">
        <f ca="1">IFERROR(__xludf.DUMMYFUNCTION("""COMPUTED_VALUE"""),"20 mins")</f>
        <v>20 mins</v>
      </c>
      <c r="AR74" t="str">
        <f ca="1">IFERROR(__xludf.DUMMYFUNCTION("""COMPUTED_VALUE"""),"")</f>
        <v/>
      </c>
    </row>
    <row r="75" spans="1:44" ht="13">
      <c r="A75" t="str">
        <f ca="1">IFERROR(__xludf.DUMMYFUNCTION("""COMPUTED_VALUE"""),"SR")</f>
        <v>SR</v>
      </c>
      <c r="B75" s="41">
        <f ca="1">IFERROR(__xludf.DUMMYFUNCTION("""COMPUTED_VALUE"""),43438)</f>
        <v>43438</v>
      </c>
      <c r="C75" t="str">
        <f ca="1">IFERROR(__xludf.DUMMYFUNCTION("""COMPUTED_VALUE"""),"TRH")</f>
        <v>TRH</v>
      </c>
      <c r="D75" s="28">
        <f ca="1">IFERROR(__xludf.DUMMYFUNCTION("""COMPUTED_VALUE"""),43575)</f>
        <v>43575</v>
      </c>
      <c r="E75" t="str">
        <f ca="1">IFERROR(__xludf.DUMMYFUNCTION("""COMPUTED_VALUE"""),"JP")</f>
        <v>JP</v>
      </c>
      <c r="F75" s="28">
        <f ca="1">IFERROR(__xludf.DUMMYFUNCTION("""COMPUTED_VALUE"""),43581)</f>
        <v>43581</v>
      </c>
      <c r="G75" t="str">
        <f ca="1">IFERROR(__xludf.DUMMYFUNCTION("""COMPUTED_VALUE"""),"Having trouble finding info about ""Nos"" in OPR - TRH, changed to not spec'd")</f>
        <v>Having trouble finding info about "Nos" in OPR - TRH, changed to not spec'd</v>
      </c>
      <c r="H75" t="str">
        <f ca="1">IFERROR(__xludf.DUMMYFUNCTION("""COMPUTED_VALUE"""),"1460-2466")</f>
        <v>1460-2466</v>
      </c>
      <c r="I75" t="str">
        <f ca="1">IFERROR(__xludf.DUMMYFUNCTION("""COMPUTED_VALUE"""),"Journal of Communication")</f>
        <v>Journal of Communication</v>
      </c>
      <c r="J75" t="str">
        <f ca="1">IFERROR(__xludf.DUMMYFUNCTION("""COMPUTED_VALUE"""),"Humanities, Literature &amp; Arts")</f>
        <v>Humanities, Literature &amp; Arts</v>
      </c>
      <c r="K75" t="str">
        <f ca="1">IFERROR(__xludf.DUMMYFUNCTION("""COMPUTED_VALUE"""),"Oxford University Press (formerly Wiley until 2018) for International Communication Association")</f>
        <v>Oxford University Press (formerly Wiley until 2018) for International Communication Association</v>
      </c>
      <c r="L75" t="str">
        <f ca="1">IFERROR(__xludf.DUMMYFUNCTION("""COMPUTED_VALUE"""),"Unsure")</f>
        <v>Unsure</v>
      </c>
      <c r="M75" s="93" t="str">
        <f ca="1">IFERROR(__xludf.DUMMYFUNCTION("""COMPUTED_VALUE"""),"https://academic.oup.com/joc/pages/General_Instructions#Peer%20review")</f>
        <v>https://academic.oup.com/joc/pages/General_Instructions#Peer%20review</v>
      </c>
      <c r="N75" t="str">
        <f ca="1">IFERROR(__xludf.DUMMYFUNCTION("""COMPUTED_VALUE"""),"")</f>
        <v/>
      </c>
      <c r="O75" t="str">
        <f ca="1">IFERROR(__xludf.DUMMYFUNCTION("""COMPUTED_VALUE"""),"")</f>
        <v/>
      </c>
      <c r="P75" t="str">
        <f ca="1">IFERROR(__xludf.DUMMYFUNCTION("""COMPUTED_VALUE"""),"Unsure")</f>
        <v>Unsure</v>
      </c>
      <c r="Q75" t="str">
        <f ca="1">IFERROR(__xludf.DUMMYFUNCTION("""COMPUTED_VALUE"""),"")</f>
        <v/>
      </c>
      <c r="R75" t="str">
        <f ca="1">IFERROR(__xludf.DUMMYFUNCTION("""COMPUTED_VALUE"""),"")</f>
        <v/>
      </c>
      <c r="S75" t="str">
        <f ca="1">IFERROR(__xludf.DUMMYFUNCTION("""COMPUTED_VALUE"""),"Not specified")</f>
        <v>Not specified</v>
      </c>
      <c r="T75" t="str">
        <f ca="1">IFERROR(__xludf.DUMMYFUNCTION("""COMPUTED_VALUE"""),"Not specified")</f>
        <v>Not specified</v>
      </c>
      <c r="U75" t="str">
        <f ca="1">IFERROR(__xludf.DUMMYFUNCTION("""COMPUTED_VALUE"""),"Not specified")</f>
        <v>Not specified</v>
      </c>
      <c r="V75" t="str">
        <f ca="1">IFERROR(__xludf.DUMMYFUNCTION("""COMPUTED_VALUE"""),"Not specified")</f>
        <v>Not specified</v>
      </c>
      <c r="W75" t="str">
        <f ca="1">IFERROR(__xludf.DUMMYFUNCTION("""COMPUTED_VALUE"""),"Not specified")</f>
        <v>Not specified</v>
      </c>
      <c r="X75" t="str">
        <f ca="1">IFERROR(__xludf.DUMMYFUNCTION("""COMPUTED_VALUE"""),"Not specified")</f>
        <v>Not specified</v>
      </c>
      <c r="Y75" t="str">
        <f ca="1">IFERROR(__xludf.DUMMYFUNCTION("""COMPUTED_VALUE"""),"Not specified")</f>
        <v>Not specified</v>
      </c>
      <c r="Z75" t="str">
        <f ca="1">IFERROR(__xludf.DUMMYFUNCTION("""COMPUTED_VALUE"""),"Not specified")</f>
        <v>Not specified</v>
      </c>
      <c r="AA75" t="str">
        <f ca="1">IFERROR(__xludf.DUMMYFUNCTION("""COMPUTED_VALUE"""),"")</f>
        <v/>
      </c>
      <c r="AB75" t="str">
        <f ca="1">IFERROR(__xludf.DUMMYFUNCTION("""COMPUTED_VALUE"""),"Not specified")</f>
        <v>Not specified</v>
      </c>
      <c r="AC75" t="str">
        <f ca="1">IFERROR(__xludf.DUMMYFUNCTION("""COMPUTED_VALUE"""),"")</f>
        <v/>
      </c>
      <c r="AD75" t="str">
        <f ca="1">IFERROR(__xludf.DUMMYFUNCTION("""COMPUTED_VALUE"""),"Unsure")</f>
        <v>Unsure</v>
      </c>
      <c r="AE75" t="str">
        <f ca="1">IFERROR(__xludf.DUMMYFUNCTION("""COMPUTED_VALUE"""),"Unsure")</f>
        <v>Unsure</v>
      </c>
      <c r="AF75" t="str">
        <f ca="1">IFERROR(__xludf.DUMMYFUNCTION("""COMPUTED_VALUE"""),"Unsure")</f>
        <v>Unsure</v>
      </c>
      <c r="AG75" s="93" t="str">
        <f ca="1">IFERROR(__xludf.DUMMYFUNCTION("""COMPUTED_VALUE"""),"https://academic.oup.com/journals/pages/access_purchase/rights_and_permissions/self_archiving_policy_f")</f>
        <v>https://academic.oup.com/journals/pages/access_purchase/rights_and_permissions/self_archiving_policy_f</v>
      </c>
      <c r="AH75" t="str">
        <f ca="1">IFERROR(__xludf.DUMMYFUNCTION("""COMPUTED_VALUE"""),"First submission only (before peer review)")</f>
        <v>First submission only (before peer review)</v>
      </c>
      <c r="AI75" t="str">
        <f ca="1">IFERROR(__xludf.DUMMYFUNCTION("""COMPUTED_VALUE"""),"")</f>
        <v/>
      </c>
      <c r="AJ75" t="str">
        <f ca="1">IFERROR(__xludf.DUMMYFUNCTION("""COMPUTED_VALUE"""),"")</f>
        <v/>
      </c>
      <c r="AK75" t="str">
        <f ca="1">IFERROR(__xludf.DUMMYFUNCTION("""COMPUTED_VALUE"""),"")</f>
        <v/>
      </c>
      <c r="AL75" t="str">
        <f ca="1">IFERROR(__xludf.DUMMYFUNCTION("""COMPUTED_VALUE"""),"")</f>
        <v/>
      </c>
      <c r="AM75" t="str">
        <f ca="1">IFERROR(__xludf.DUMMYFUNCTION("""COMPUTED_VALUE"""),"")</f>
        <v/>
      </c>
      <c r="AN75" t="str">
        <f ca="1">IFERROR(__xludf.DUMMYFUNCTION("""COMPUTED_VALUE"""),"")</f>
        <v/>
      </c>
      <c r="AO75" t="str">
        <f ca="1">IFERROR(__xludf.DUMMYFUNCTION("""COMPUTED_VALUE"""),"")</f>
        <v/>
      </c>
      <c r="AP75" t="str">
        <f ca="1">IFERROR(__xludf.DUMMYFUNCTION("""COMPUTED_VALUE"""),"")</f>
        <v/>
      </c>
      <c r="AQ75" t="str">
        <f ca="1">IFERROR(__xludf.DUMMYFUNCTION("""COMPUTED_VALUE"""),"")</f>
        <v/>
      </c>
      <c r="AR75" t="str">
        <f ca="1">IFERROR(__xludf.DUMMYFUNCTION("""COMPUTED_VALUE"""),"")</f>
        <v/>
      </c>
    </row>
    <row r="76" spans="1:44" ht="13">
      <c r="A76" t="str">
        <f ca="1">IFERROR(__xludf.DUMMYFUNCTION("""COMPUTED_VALUE"""),"SH")</f>
        <v>SH</v>
      </c>
      <c r="B76" s="41">
        <f ca="1">IFERROR(__xludf.DUMMYFUNCTION("""COMPUTED_VALUE"""),43475)</f>
        <v>43475</v>
      </c>
      <c r="C76" t="str">
        <f ca="1">IFERROR(__xludf.DUMMYFUNCTION("""COMPUTED_VALUE"""),"TRH")</f>
        <v>TRH</v>
      </c>
      <c r="D76" s="28">
        <f ca="1">IFERROR(__xludf.DUMMYFUNCTION("""COMPUTED_VALUE"""),43575)</f>
        <v>43575</v>
      </c>
      <c r="E76" t="str">
        <f ca="1">IFERROR(__xludf.DUMMYFUNCTION("""COMPUTED_VALUE"""),"JP")</f>
        <v>JP</v>
      </c>
      <c r="F76" s="28">
        <f ca="1">IFERROR(__xludf.DUMMYFUNCTION("""COMPUTED_VALUE"""),43581)</f>
        <v>43581</v>
      </c>
      <c r="G76" t="str">
        <f ca="1">IFERROR(__xludf.DUMMYFUNCTION("""COMPUTED_VALUE"""),"Added reference for statement about no OPR at IOP journals, and link for coreviewing policy, and note about preprint requirement")</f>
        <v>Added reference for statement about no OPR at IOP journals, and link for coreviewing policy, and note about preprint requirement</v>
      </c>
      <c r="H76" t="str">
        <f ca="1">IFERROR(__xludf.DUMMYFUNCTION("""COMPUTED_VALUE"""),"1475-7516")</f>
        <v>1475-7516</v>
      </c>
      <c r="I76" t="str">
        <f ca="1">IFERROR(__xludf.DUMMYFUNCTION("""COMPUTED_VALUE"""),"Journal of Cosmology and Astroparticle Physics")</f>
        <v>Journal of Cosmology and Astroparticle Physics</v>
      </c>
      <c r="J76" t="str">
        <f ca="1">IFERROR(__xludf.DUMMYFUNCTION("""COMPUTED_VALUE"""),"Physics &amp; Mathematics")</f>
        <v>Physics &amp; Mathematics</v>
      </c>
      <c r="K76" t="str">
        <f ca="1">IFERROR(__xludf.DUMMYFUNCTION("""COMPUTED_VALUE"""),"IOP Publishing &amp; SISSA (International School for Advanced Studies)")</f>
        <v>IOP Publishing &amp; SISSA (International School for Advanced Studies)</v>
      </c>
      <c r="L76" t="str">
        <f ca="1">IFERROR(__xludf.DUMMYFUNCTION("""COMPUTED_VALUE"""),"Single blind")</f>
        <v>Single blind</v>
      </c>
      <c r="M76" s="93" t="str">
        <f ca="1">IFERROR(__xludf.DUMMYFUNCTION("""COMPUTED_VALUE"""),"https://publishingsupport.iopscience.iop.org/becoming-a-journal-reviewer/")</f>
        <v>https://publishingsupport.iopscience.iop.org/becoming-a-journal-reviewer/</v>
      </c>
      <c r="N76" t="str">
        <f ca="1">IFERROR(__xludf.DUMMYFUNCTION("""COMPUTED_VALUE"""),"")</f>
        <v/>
      </c>
      <c r="O76" s="93" t="str">
        <f ca="1">IFERROR(__xludf.DUMMYFUNCTION("""COMPUTED_VALUE"""),"https://publishingsupport.iopscience.iop.org/becoming-a-journal-reviewer/")</f>
        <v>https://publishingsupport.iopscience.iop.org/becoming-a-journal-reviewer/</v>
      </c>
      <c r="P76" t="str">
        <f ca="1">IFERROR(__xludf.DUMMYFUNCTION("""COMPUTED_VALUE"""),"Yes")</f>
        <v>Yes</v>
      </c>
      <c r="Q76" t="str">
        <f ca="1">IFERROR(__xludf.DUMMYFUNCTION("""COMPUTED_VALUE"""),"""As part of our service to authors, IOP Publishing offers a free article transfer service with each of our journals. If your submission to your initial journal of choice is unsuccessful, we may suggest another one of our titles for you to consider, which"&amp;" we believe is a more suitable home for your research. If you accept this suggestion, we will transfer all information relating to your article to the new journal (including referee reports if available), so your submission can be considered for publicati"&amp;"on by the new journal without delay.""")</f>
        <v>"As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v>
      </c>
      <c r="R76" s="93" t="str">
        <f ca="1">IFERROR(__xludf.DUMMYFUNCTION("""COMPUTED_VALUE"""),"https://publishingsupport.iopscience.iop.org/questions/article-transfer-service/")</f>
        <v>https://publishingsupport.iopscience.iop.org/questions/article-transfer-service/</v>
      </c>
      <c r="S76" t="str">
        <f ca="1">IFERROR(__xludf.DUMMYFUNCTION("""COMPUTED_VALUE"""),"No")</f>
        <v>No</v>
      </c>
      <c r="T76" t="str">
        <f ca="1">IFERROR(__xludf.DUMMYFUNCTION("""COMPUTED_VALUE"""),"No")</f>
        <v>No</v>
      </c>
      <c r="U76" t="str">
        <f ca="1">IFERROR(__xludf.DUMMYFUNCTION("""COMPUTED_VALUE"""),"No")</f>
        <v>No</v>
      </c>
      <c r="V76" t="str">
        <f ca="1">IFERROR(__xludf.DUMMYFUNCTION("""COMPUTED_VALUE"""),"No")</f>
        <v>No</v>
      </c>
      <c r="W76" t="str">
        <f ca="1">IFERROR(__xludf.DUMMYFUNCTION("""COMPUTED_VALUE"""),"No")</f>
        <v>No</v>
      </c>
      <c r="X76" t="str">
        <f ca="1">IFERROR(__xludf.DUMMYFUNCTION("""COMPUTED_VALUE"""),"Optional")</f>
        <v>Optional</v>
      </c>
      <c r="Y76" t="str">
        <f ca="1">IFERROR(__xludf.DUMMYFUNCTION("""COMPUTED_VALUE"""),"Not specified")</f>
        <v>Not specified</v>
      </c>
      <c r="Z76" t="str">
        <f ca="1">IFERROR(__xludf.DUMMYFUNCTION("""COMPUTED_VALUE"""),"Not specified")</f>
        <v>Not specified</v>
      </c>
      <c r="AA76" t="str">
        <f ca="1">IFERROR(__xludf.DUMMYFUNCTION("""COMPUTED_VALUE"""),"None of our journals conduct any form of open peer review (in which the identity of the reviewer is revealed, the peer review contents are made publicly available or anyone interested in reviewing the article can do so post-publication). - https://publish"&amp;"ingsupport.iopscience.iop.org/questions/peer-review-models-on-iop-journals/")</f>
        <v>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v>
      </c>
      <c r="AB76" t="str">
        <f ca="1">IFERROR(__xludf.DUMMYFUNCTION("""COMPUTED_VALUE"""),"We also ask that you do not discuss the papers you have reviewed with colleagues unless they have been published.")</f>
        <v>We also ask that you do not discuss the papers you have reviewed with colleagues unless they have been published.</v>
      </c>
      <c r="AC76" s="93" t="str">
        <f ca="1">IFERROR(__xludf.DUMMYFUNCTION("""COMPUTED_VALUE"""),"https://publishingsupport.iopscience.iop.org/questions/ethics-for-reviewers/")</f>
        <v>https://publishingsupport.iopscience.iop.org/questions/ethics-for-reviewers/</v>
      </c>
      <c r="AD76" t="str">
        <f ca="1">IFERROR(__xludf.DUMMYFUNCTION("""COMPUTED_VALUE"""),"No")</f>
        <v>No</v>
      </c>
      <c r="AE76" t="str">
        <f ca="1">IFERROR(__xludf.DUMMYFUNCTION("""COMPUTED_VALUE"""),"Unsure")</f>
        <v>Unsure</v>
      </c>
      <c r="AF76" t="str">
        <f ca="1">IFERROR(__xludf.DUMMYFUNCTION("""COMPUTED_VALUE"""),"Unsure")</f>
        <v>Unsure</v>
      </c>
      <c r="AG76" s="93" t="str">
        <f ca="1">IFERROR(__xludf.DUMMYFUNCTION("""COMPUTED_VALUE"""),"https://jcap.sissa.it/jcap/help/helpLoader.jsp?pgType=flow")</f>
        <v>https://jcap.sissa.it/jcap/help/helpLoader.jsp?pgType=flow</v>
      </c>
      <c r="AH76" t="str">
        <f ca="1">IFERROR(__xludf.DUMMYFUNCTION("""COMPUTED_VALUE"""),"Any")</f>
        <v>Any</v>
      </c>
      <c r="AI76" t="str">
        <f ca="1">IFERROR(__xludf.DUMMYFUNCTION("""COMPUTED_VALUE"""),"Only arXiv is explicitly stated (journal runs innovative submission where, in addition to traditional, authors can submit directly via arXiv).")</f>
        <v>Only arXiv is explicitly stated (journal runs innovative submission where, in addition to traditional, authors can submit directly via arXiv).</v>
      </c>
      <c r="AJ76" t="str">
        <f ca="1">IFERROR(__xludf.DUMMYFUNCTION("""COMPUTED_VALUE"""),"Unsure")</f>
        <v>Unsure</v>
      </c>
      <c r="AK76" t="str">
        <f ca="1">IFERROR(__xludf.DUMMYFUNCTION("""COMPUTED_VALUE"""),"Unsure")</f>
        <v>Unsure</v>
      </c>
      <c r="AL76" t="str">
        <f ca="1">IFERROR(__xludf.DUMMYFUNCTION("""COMPUTED_VALUE"""),"")</f>
        <v/>
      </c>
      <c r="AM76" t="str">
        <f ca="1">IFERROR(__xludf.DUMMYFUNCTION("""COMPUTED_VALUE"""),"")</f>
        <v/>
      </c>
      <c r="AN76" t="str">
        <f ca="1">IFERROR(__xludf.DUMMYFUNCTION("""COMPUTED_VALUE"""),"")</f>
        <v/>
      </c>
      <c r="AO76" t="str">
        <f ca="1">IFERROR(__xludf.DUMMYFUNCTION("""COMPUTED_VALUE"""),"")</f>
        <v/>
      </c>
      <c r="AP76" t="str">
        <f ca="1">IFERROR(__xludf.DUMMYFUNCTION("""COMPUTED_VALUE"""),"""It is required to provide an ArXiv id to submit an article to the journal."" - https://jcap.sissa.it/jcap/help/helpLoader.jsp?pgType=flow#general")</f>
        <v>"It is required to provide an ArXiv id to submit an article to the journal." - https://jcap.sissa.it/jcap/help/helpLoader.jsp?pgType=flow#general</v>
      </c>
      <c r="AQ76" t="str">
        <f ca="1">IFERROR(__xludf.DUMMYFUNCTION("""COMPUTED_VALUE"""),"")</f>
        <v/>
      </c>
      <c r="AR76" t="str">
        <f ca="1">IFERROR(__xludf.DUMMYFUNCTION("""COMPUTED_VALUE"""),"")</f>
        <v/>
      </c>
    </row>
    <row r="77" spans="1:44" ht="13">
      <c r="A77" t="str">
        <f ca="1">IFERROR(__xludf.DUMMYFUNCTION("""COMPUTED_VALUE"""),"SH")</f>
        <v>SH</v>
      </c>
      <c r="B77" s="41">
        <f ca="1">IFERROR(__xludf.DUMMYFUNCTION("""COMPUTED_VALUE"""),43475)</f>
        <v>43475</v>
      </c>
      <c r="C77" t="str">
        <f ca="1">IFERROR(__xludf.DUMMYFUNCTION("""COMPUTED_VALUE"""),"TRH")</f>
        <v>TRH</v>
      </c>
      <c r="D77" s="28">
        <f ca="1">IFERROR(__xludf.DUMMYFUNCTION("""COMPUTED_VALUE"""),43575)</f>
        <v>43575</v>
      </c>
      <c r="E77" t="str">
        <f ca="1">IFERROR(__xludf.DUMMYFUNCTION("""COMPUTED_VALUE"""),"JP")</f>
        <v>JP</v>
      </c>
      <c r="F77" s="28">
        <f ca="1">IFERROR(__xludf.DUMMYFUNCTION("""COMPUTED_VALUE"""),43581)</f>
        <v>43581</v>
      </c>
      <c r="G77" t="str">
        <f ca="1">IFERROR(__xludf.DUMMYFUNCTION("""COMPUTED_VALUE"""),"Where is info about not allowing coreviewers? [Changed to unsure] Also changed preprint data to reflect no preprint policy (unsure whether they can be cited) [ok]")</f>
        <v>Where is info about not allowing coreviewers? [Changed to unsure] Also changed preprint data to reflect no preprint policy (unsure whether they can be cited) [ok]</v>
      </c>
      <c r="H77" t="str">
        <f ca="1">IFERROR(__xludf.DUMMYFUNCTION("""COMPUTED_VALUE"""),"1944-7965")</f>
        <v>1944-7965</v>
      </c>
      <c r="I77" t="str">
        <f ca="1">IFERROR(__xludf.DUMMYFUNCTION("""COMPUTED_VALUE"""),"Journal of Economic Perspectives")</f>
        <v>Journal of Economic Perspectives</v>
      </c>
      <c r="J77" t="str">
        <f ca="1">IFERROR(__xludf.DUMMYFUNCTION("""COMPUTED_VALUE"""),"Business, Economics &amp; Management")</f>
        <v>Business, Economics &amp; Management</v>
      </c>
      <c r="K77" t="str">
        <f ca="1">IFERROR(__xludf.DUMMYFUNCTION("""COMPUTED_VALUE"""),"American Economic Association")</f>
        <v>American Economic Association</v>
      </c>
      <c r="L77" t="str">
        <f ca="1">IFERROR(__xludf.DUMMYFUNCTION("""COMPUTED_VALUE"""),"Unsure")</f>
        <v>Unsure</v>
      </c>
      <c r="M77" s="93" t="str">
        <f ca="1">IFERROR(__xludf.DUMMYFUNCTION("""COMPUTED_VALUE"""),"https://www.aeaweb.org/journals/jep/submissions")</f>
        <v>https://www.aeaweb.org/journals/jep/submissions</v>
      </c>
      <c r="N77" t="str">
        <f ca="1">IFERROR(__xludf.DUMMYFUNCTION("""COMPUTED_VALUE"""),"")</f>
        <v/>
      </c>
      <c r="O77" t="str">
        <f ca="1">IFERROR(__xludf.DUMMYFUNCTION("""COMPUTED_VALUE"""),"")</f>
        <v/>
      </c>
      <c r="P77" t="str">
        <f ca="1">IFERROR(__xludf.DUMMYFUNCTION("""COMPUTED_VALUE"""),"Unsure")</f>
        <v>Unsure</v>
      </c>
      <c r="Q77" t="str">
        <f ca="1">IFERROR(__xludf.DUMMYFUNCTION("""COMPUTED_VALUE"""),"")</f>
        <v/>
      </c>
      <c r="R77" t="str">
        <f ca="1">IFERROR(__xludf.DUMMYFUNCTION("""COMPUTED_VALUE"""),"")</f>
        <v/>
      </c>
      <c r="S77" t="str">
        <f ca="1">IFERROR(__xludf.DUMMYFUNCTION("""COMPUTED_VALUE"""),"Not specified")</f>
        <v>Not specified</v>
      </c>
      <c r="T77" t="str">
        <f ca="1">IFERROR(__xludf.DUMMYFUNCTION("""COMPUTED_VALUE"""),"Not specified")</f>
        <v>Not specified</v>
      </c>
      <c r="U77" t="str">
        <f ca="1">IFERROR(__xludf.DUMMYFUNCTION("""COMPUTED_VALUE"""),"Not specified")</f>
        <v>Not specified</v>
      </c>
      <c r="V77" t="str">
        <f ca="1">IFERROR(__xludf.DUMMYFUNCTION("""COMPUTED_VALUE"""),"Not specified")</f>
        <v>Not specified</v>
      </c>
      <c r="W77" t="str">
        <f ca="1">IFERROR(__xludf.DUMMYFUNCTION("""COMPUTED_VALUE"""),"Not specified")</f>
        <v>Not specified</v>
      </c>
      <c r="X77" t="str">
        <f ca="1">IFERROR(__xludf.DUMMYFUNCTION("""COMPUTED_VALUE"""),"Not specified")</f>
        <v>Not specified</v>
      </c>
      <c r="Y77" t="str">
        <f ca="1">IFERROR(__xludf.DUMMYFUNCTION("""COMPUTED_VALUE"""),"Not specified")</f>
        <v>Not specified</v>
      </c>
      <c r="Z77" t="str">
        <f ca="1">IFERROR(__xludf.DUMMYFUNCTION("""COMPUTED_VALUE"""),"Not specified")</f>
        <v>Not specified</v>
      </c>
      <c r="AA77" t="str">
        <f ca="1">IFERROR(__xludf.DUMMYFUNCTION("""COMPUTED_VALUE"""),"")</f>
        <v/>
      </c>
      <c r="AB77" t="str">
        <f ca="1">IFERROR(__xludf.DUMMYFUNCTION("""COMPUTED_VALUE"""),"")</f>
        <v/>
      </c>
      <c r="AC77" t="str">
        <f ca="1">IFERROR(__xludf.DUMMYFUNCTION("""COMPUTED_VALUE"""),"")</f>
        <v/>
      </c>
      <c r="AD77" t="str">
        <f ca="1">IFERROR(__xludf.DUMMYFUNCTION("""COMPUTED_VALUE"""),"Unsure")</f>
        <v>Unsure</v>
      </c>
      <c r="AE77" t="str">
        <f ca="1">IFERROR(__xludf.DUMMYFUNCTION("""COMPUTED_VALUE"""),"Unsure")</f>
        <v>Unsure</v>
      </c>
      <c r="AF77" t="str">
        <f ca="1">IFERROR(__xludf.DUMMYFUNCTION("""COMPUTED_VALUE"""),"Unsure")</f>
        <v>Unsure</v>
      </c>
      <c r="AG77" t="str">
        <f ca="1">IFERROR(__xludf.DUMMYFUNCTION("""COMPUTED_VALUE"""),"")</f>
        <v/>
      </c>
      <c r="AH77" t="str">
        <f ca="1">IFERROR(__xludf.DUMMYFUNCTION("""COMPUTED_VALUE"""),"No preprint policy")</f>
        <v>No preprint policy</v>
      </c>
      <c r="AI77" t="str">
        <f ca="1">IFERROR(__xludf.DUMMYFUNCTION("""COMPUTED_VALUE"""),"")</f>
        <v/>
      </c>
      <c r="AJ77" t="str">
        <f ca="1">IFERROR(__xludf.DUMMYFUNCTION("""COMPUTED_VALUE"""),"Not specified")</f>
        <v>Not specified</v>
      </c>
      <c r="AK77" t="str">
        <f ca="1">IFERROR(__xludf.DUMMYFUNCTION("""COMPUTED_VALUE"""),"Unsure")</f>
        <v>Unsure</v>
      </c>
      <c r="AL77" t="str">
        <f ca="1">IFERROR(__xludf.DUMMYFUNCTION("""COMPUTED_VALUE"""),"")</f>
        <v/>
      </c>
      <c r="AM77" t="str">
        <f ca="1">IFERROR(__xludf.DUMMYFUNCTION("""COMPUTED_VALUE"""),"")</f>
        <v/>
      </c>
      <c r="AN77" t="str">
        <f ca="1">IFERROR(__xludf.DUMMYFUNCTION("""COMPUTED_VALUE"""),"")</f>
        <v/>
      </c>
      <c r="AO77" t="str">
        <f ca="1">IFERROR(__xludf.DUMMYFUNCTION("""COMPUTED_VALUE"""),"")</f>
        <v/>
      </c>
      <c r="AP77" t="str">
        <f ca="1">IFERROR(__xludf.DUMMYFUNCTION("""COMPUTED_VALUE"""),"")</f>
        <v/>
      </c>
      <c r="AQ77" t="str">
        <f ca="1">IFERROR(__xludf.DUMMYFUNCTION("""COMPUTED_VALUE"""),"")</f>
        <v/>
      </c>
      <c r="AR77" t="str">
        <f ca="1">IFERROR(__xludf.DUMMYFUNCTION("""COMPUTED_VALUE"""),"")</f>
        <v/>
      </c>
    </row>
    <row r="78" spans="1:44" ht="13">
      <c r="A78" t="str">
        <f ca="1">IFERROR(__xludf.DUMMYFUNCTION("""COMPUTED_VALUE"""),"SH")</f>
        <v>SH</v>
      </c>
      <c r="B78" s="41">
        <f ca="1">IFERROR(__xludf.DUMMYFUNCTION("""COMPUTED_VALUE"""),43475)</f>
        <v>43475</v>
      </c>
      <c r="C78" t="str">
        <f ca="1">IFERROR(__xludf.DUMMYFUNCTION("""COMPUTED_VALUE"""),"TRH")</f>
        <v>TRH</v>
      </c>
      <c r="D78" s="28">
        <f ca="1">IFERROR(__xludf.DUMMYFUNCTION("""COMPUTED_VALUE"""),43575)</f>
        <v>43575</v>
      </c>
      <c r="E78" t="str">
        <f ca="1">IFERROR(__xludf.DUMMYFUNCTION("""COMPUTED_VALUE"""),"JP")</f>
        <v>JP</v>
      </c>
      <c r="F78" s="28">
        <f ca="1">IFERROR(__xludf.DUMMYFUNCTION("""COMPUTED_VALUE"""),43581)</f>
        <v>43581</v>
      </c>
      <c r="G78" t="str">
        <f ca="1">IFERROR(__xludf.DUMMYFUNCTION("""COMPUTED_VALUE"""),"")</f>
        <v/>
      </c>
      <c r="H78" t="str">
        <f ca="1">IFERROR(__xludf.DUMMYFUNCTION("""COMPUTED_VALUE"""),"1939-2176")</f>
        <v>1939-2176</v>
      </c>
      <c r="I78" t="str">
        <f ca="1">IFERROR(__xludf.DUMMYFUNCTION("""COMPUTED_VALUE"""),"Journal of Educational Psychology")</f>
        <v>Journal of Educational Psychology</v>
      </c>
      <c r="J78" t="str">
        <f ca="1">IFERROR(__xludf.DUMMYFUNCTION("""COMPUTED_VALUE"""),"Social Sciences")</f>
        <v>Social Sciences</v>
      </c>
      <c r="K78" t="str">
        <f ca="1">IFERROR(__xludf.DUMMYFUNCTION("""COMPUTED_VALUE"""),"American Psychological Association")</f>
        <v>American Psychological Association</v>
      </c>
      <c r="L78" t="str">
        <f ca="1">IFERROR(__xludf.DUMMYFUNCTION("""COMPUTED_VALUE"""),"Double blind")</f>
        <v>Double blind</v>
      </c>
      <c r="M78" t="str">
        <f ca="1">IFERROR(__xludf.DUMMYFUNCTION("""COMPUTED_VALUE"""),"https://www.apa.org/pubs/journals/edu/?tab=4, https://www.apa.org/pubs/journals/reviewer-instructions.pdf        ")</f>
        <v xml:space="preserve">https://www.apa.org/pubs/journals/edu/?tab=4, https://www.apa.org/pubs/journals/reviewer-instructions.pdf        </v>
      </c>
      <c r="N78" t="str">
        <f ca="1">IFERROR(__xludf.DUMMYFUNCTION("""COMPUTED_VALUE"""),"")</f>
        <v/>
      </c>
      <c r="O78" t="str">
        <f ca="1">IFERROR(__xludf.DUMMYFUNCTION("""COMPUTED_VALUE"""),"")</f>
        <v/>
      </c>
      <c r="P78" t="str">
        <f ca="1">IFERROR(__xludf.DUMMYFUNCTION("""COMPUTED_VALUE"""),"Unsure")</f>
        <v>Unsure</v>
      </c>
      <c r="Q78" t="str">
        <f ca="1">IFERROR(__xludf.DUMMYFUNCTION("""COMPUTED_VALUE"""),"Unsure")</f>
        <v>Unsure</v>
      </c>
      <c r="R78" t="str">
        <f ca="1">IFERROR(__xludf.DUMMYFUNCTION("""COMPUTED_VALUE"""),"")</f>
        <v/>
      </c>
      <c r="S78" t="str">
        <f ca="1">IFERROR(__xludf.DUMMYFUNCTION("""COMPUTED_VALUE"""),"Not specified")</f>
        <v>Not specified</v>
      </c>
      <c r="T78" t="str">
        <f ca="1">IFERROR(__xludf.DUMMYFUNCTION("""COMPUTED_VALUE"""),"Not specified")</f>
        <v>Not specified</v>
      </c>
      <c r="U78" t="str">
        <f ca="1">IFERROR(__xludf.DUMMYFUNCTION("""COMPUTED_VALUE"""),"Not specified")</f>
        <v>Not specified</v>
      </c>
      <c r="V78" t="str">
        <f ca="1">IFERROR(__xludf.DUMMYFUNCTION("""COMPUTED_VALUE"""),"Not specified")</f>
        <v>Not specified</v>
      </c>
      <c r="W78" t="str">
        <f ca="1">IFERROR(__xludf.DUMMYFUNCTION("""COMPUTED_VALUE"""),"Not specified")</f>
        <v>Not specified</v>
      </c>
      <c r="X78" t="str">
        <f ca="1">IFERROR(__xludf.DUMMYFUNCTION("""COMPUTED_VALUE"""),"Not specified")</f>
        <v>Not specified</v>
      </c>
      <c r="Y78" t="str">
        <f ca="1">IFERROR(__xludf.DUMMYFUNCTION("""COMPUTED_VALUE"""),"Not specified")</f>
        <v>Not specified</v>
      </c>
      <c r="Z78" t="str">
        <f ca="1">IFERROR(__xludf.DUMMYFUNCTION("""COMPUTED_VALUE"""),"Not specified")</f>
        <v>Not specified</v>
      </c>
      <c r="AA78" t="str">
        <f ca="1">IFERROR(__xludf.DUMMYFUNCTION("""COMPUTED_VALUE"""),"")</f>
        <v/>
      </c>
      <c r="AB78" t="str">
        <f ca="1">IFERROR(__xludf.DUMMYFUNCTION("""COMPUTED_VALUE"""),"""Can I have a student co-review with me? Yes, if you are a professor who is mentoring a graduate student, you may co-review the paper with them. Please be sure to contact the handling editor and indicate upon submitting your review that it was completed "&amp;"with a co-reviewer.""")</f>
        <v>"Can I have a student co-review with me? Yes, if you are a professor who is mentoring a graduate student, you may co-review the paper with them. Please be sure to contact the handling editor and indicate upon submitting your review that it was completed with a co-reviewer."</v>
      </c>
      <c r="AC78" s="93" t="str">
        <f ca="1">IFERROR(__xludf.DUMMYFUNCTION("""COMPUTED_VALUE"""),"https://www.apa.org/pubs/journals/reviewer-instructions.pdf")</f>
        <v>https://www.apa.org/pubs/journals/reviewer-instructions.pdf</v>
      </c>
      <c r="AD78" t="str">
        <f ca="1">IFERROR(__xludf.DUMMYFUNCTION("""COMPUTED_VALUE"""),"Yes")</f>
        <v>Yes</v>
      </c>
      <c r="AE78" t="str">
        <f ca="1">IFERROR(__xludf.DUMMYFUNCTION("""COMPUTED_VALUE"""),"Unsure")</f>
        <v>Unsure</v>
      </c>
      <c r="AF78" t="str">
        <f ca="1">IFERROR(__xludf.DUMMYFUNCTION("""COMPUTED_VALUE"""),"Unsue")</f>
        <v>Unsue</v>
      </c>
      <c r="AG78" s="93" t="str">
        <f ca="1">IFERROR(__xludf.DUMMYFUNCTION("""COMPUTED_VALUE"""),"https://www.apa.org/pubs/journals/resources/open-science.aspx")</f>
        <v>https://www.apa.org/pubs/journals/resources/open-science.aspx</v>
      </c>
      <c r="AH78" t="str">
        <f ca="1">IFERROR(__xludf.DUMMYFUNCTION("""COMPUTED_VALUE"""),"Unsure")</f>
        <v>Unsure</v>
      </c>
      <c r="AI78" t="str">
        <f ca="1">IFERROR(__xludf.DUMMYFUNCTION("""COMPUTED_VALUE"""),"""Knowing that many researchers must make results publicly available quickly, APA Journals has designated PsyArXiv as the preferred preprint server for APA journals.""")</f>
        <v>"Knowing that many researchers must make results publicly available quickly, APA Journals has designated PsyArXiv as the preferred preprint server for APA journals."</v>
      </c>
      <c r="AJ78" t="str">
        <f ca="1">IFERROR(__xludf.DUMMYFUNCTION("""COMPUTED_VALUE"""),"Not specified")</f>
        <v>Not specified</v>
      </c>
      <c r="AK78" t="str">
        <f ca="1">IFERROR(__xludf.DUMMYFUNCTION("""COMPUTED_VALUE"""),"Unsure")</f>
        <v>Unsure</v>
      </c>
      <c r="AL78" t="str">
        <f ca="1">IFERROR(__xludf.DUMMYFUNCTION("""COMPUTED_VALUE"""),"")</f>
        <v/>
      </c>
      <c r="AM78" t="str">
        <f ca="1">IFERROR(__xludf.DUMMYFUNCTION("""COMPUTED_VALUE"""),"CC0 and CC-BY are supported by PsyArXiv, so presumably these licenses are ok")</f>
        <v>CC0 and CC-BY are supported by PsyArXiv, so presumably these licenses are ok</v>
      </c>
      <c r="AN78" t="str">
        <f ca="1">IFERROR(__xludf.DUMMYFUNCTION("""COMPUTED_VALUE"""),"")</f>
        <v/>
      </c>
      <c r="AO78" t="str">
        <f ca="1">IFERROR(__xludf.DUMMYFUNCTION("""COMPUTED_VALUE"""),"")</f>
        <v/>
      </c>
      <c r="AP78" t="str">
        <f ca="1">IFERROR(__xludf.DUMMYFUNCTION("""COMPUTED_VALUE"""),"")</f>
        <v/>
      </c>
      <c r="AQ78" t="str">
        <f ca="1">IFERROR(__xludf.DUMMYFUNCTION("""COMPUTED_VALUE"""),"")</f>
        <v/>
      </c>
      <c r="AR78" t="str">
        <f ca="1">IFERROR(__xludf.DUMMYFUNCTION("""COMPUTED_VALUE"""),"")</f>
        <v/>
      </c>
    </row>
    <row r="79" spans="1:44" ht="13">
      <c r="A79" t="str">
        <f ca="1">IFERROR(__xludf.DUMMYFUNCTION("""COMPUTED_VALUE"""),"SH")</f>
        <v>SH</v>
      </c>
      <c r="B79" s="41">
        <f ca="1">IFERROR(__xludf.DUMMYFUNCTION("""COMPUTED_VALUE"""),43477)</f>
        <v>43477</v>
      </c>
      <c r="C79" t="str">
        <f ca="1">IFERROR(__xludf.DUMMYFUNCTION("""COMPUTED_VALUE"""),"GMD")</f>
        <v>GMD</v>
      </c>
      <c r="D79" s="28">
        <f ca="1">IFERROR(__xludf.DUMMYFUNCTION("""COMPUTED_VALUE"""),43579)</f>
        <v>43579</v>
      </c>
      <c r="E79" t="str">
        <f ca="1">IFERROR(__xludf.DUMMYFUNCTION("""COMPUTED_VALUE"""),"JP")</f>
        <v>JP</v>
      </c>
      <c r="F79" s="28">
        <f ca="1">IFERROR(__xludf.DUMMYFUNCTION("""COMPUTED_VALUE"""),43583)</f>
        <v>43583</v>
      </c>
      <c r="G79" t="str">
        <f ca="1">IFERROR(__xludf.DUMMYFUNCTION("""COMPUTED_VALUE"""),"")</f>
        <v/>
      </c>
      <c r="H79" t="str">
        <f ca="1">IFERROR(__xludf.DUMMYFUNCTION("""COMPUTED_VALUE"""),"0304-405X")</f>
        <v>0304-405X</v>
      </c>
      <c r="I79" t="str">
        <f ca="1">IFERROR(__xludf.DUMMYFUNCTION("""COMPUTED_VALUE"""),"Journal of Financial Economics")</f>
        <v>Journal of Financial Economics</v>
      </c>
      <c r="J79" t="str">
        <f ca="1">IFERROR(__xludf.DUMMYFUNCTION("""COMPUTED_VALUE"""),"Business, Economics &amp; Management")</f>
        <v>Business, Economics &amp; Management</v>
      </c>
      <c r="K79" t="str">
        <f ca="1">IFERROR(__xludf.DUMMYFUNCTION("""COMPUTED_VALUE"""),"Elsevier")</f>
        <v>Elsevier</v>
      </c>
      <c r="L79" t="str">
        <f ca="1">IFERROR(__xludf.DUMMYFUNCTION("""COMPUTED_VALUE"""),"Unsure")</f>
        <v>Unsure</v>
      </c>
      <c r="M79" s="93" t="str">
        <f ca="1">IFERROR(__xludf.DUMMYFUNCTION("""COMPUTED_VALUE"""),"https://www.elsevier.com/reviewers/how-to-review")</f>
        <v>https://www.elsevier.com/reviewers/how-to-review</v>
      </c>
      <c r="N79" t="str">
        <f ca="1">IFERROR(__xludf.DUMMYFUNCTION("""COMPUTED_VALUE"""),"")</f>
        <v/>
      </c>
      <c r="O79" s="93" t="str">
        <f ca="1">IFERROR(__xludf.DUMMYFUNCTION("""COMPUTED_VALUE"""),"https://www.elsevier.com/reviewers/role#recognizing")</f>
        <v>https://www.elsevier.com/reviewers/role#recognizing</v>
      </c>
      <c r="P79" t="str">
        <f ca="1">IFERROR(__xludf.DUMMYFUNCTION("""COMPUTED_VALUE"""),"Unsure: Peer Reviewer activity IS deposited into a database by Elsevier, but it is NOT open. This applies across the Elsevier platform. See https://www.elsevier.com/reviewers/role#recognizing")</f>
        <v>Unsure: Peer Reviewer activity IS deposited into a database by Elsevier, but it is NOT open. This applies across the Elsevier platform. See https://www.elsevier.com/reviewers/role#recognizing</v>
      </c>
      <c r="Q79" t="str">
        <f ca="1">IFERROR(__xludf.DUMMYFUNCTION("""COMPUTED_VALUE"""),"via Elsevier’s Article Transfer Service (ATS)")</f>
        <v>via Elsevier’s Article Transfer Service (ATS)</v>
      </c>
      <c r="R79" s="93" t="str">
        <f ca="1">IFERROR(__xludf.DUMMYFUNCTION("""COMPUTED_VALUE"""),"https://www.elsevier.com/authors/journal-authors/submit-your-paper/submit-and-revise/article-transfer-service")</f>
        <v>https://www.elsevier.com/authors/journal-authors/submit-your-paper/submit-and-revise/article-transfer-service</v>
      </c>
      <c r="S79" t="str">
        <f ca="1">IFERROR(__xludf.DUMMYFUNCTION("""COMPUTED_VALUE"""),"Not specified")</f>
        <v>Not specified</v>
      </c>
      <c r="T79" t="str">
        <f ca="1">IFERROR(__xludf.DUMMYFUNCTION("""COMPUTED_VALUE"""),"Not specified")</f>
        <v>Not specified</v>
      </c>
      <c r="U79" t="str">
        <f ca="1">IFERROR(__xludf.DUMMYFUNCTION("""COMPUTED_VALUE"""),"Not specified")</f>
        <v>Not specified</v>
      </c>
      <c r="V79" t="str">
        <f ca="1">IFERROR(__xludf.DUMMYFUNCTION("""COMPUTED_VALUE"""),"Not specified")</f>
        <v>Not specified</v>
      </c>
      <c r="W79" t="str">
        <f ca="1">IFERROR(__xludf.DUMMYFUNCTION("""COMPUTED_VALUE"""),"Not specified")</f>
        <v>Not specified</v>
      </c>
      <c r="X79" t="str">
        <f ca="1">IFERROR(__xludf.DUMMYFUNCTION("""COMPUTED_VALUE"""),"Not specified")</f>
        <v>Not specified</v>
      </c>
      <c r="Y79" t="str">
        <f ca="1">IFERROR(__xludf.DUMMYFUNCTION("""COMPUTED_VALUE"""),"Not specified")</f>
        <v>Not specified</v>
      </c>
      <c r="Z79" t="str">
        <f ca="1">IFERROR(__xludf.DUMMYFUNCTION("""COMPUTED_VALUE"""),"Not specified")</f>
        <v>Not specified</v>
      </c>
      <c r="AA79" t="str">
        <f ca="1">IFERROR(__xludf.DUMMYFUNCTION("""COMPUTED_VALUE"""),"")</f>
        <v/>
      </c>
      <c r="AB79" t="str">
        <f ca="1">IFERROR(__xludf.DUMMYFUNCTION("""COMPUTED_VALUE"""),"""Since peer review is confidential, you also must not share information about the review with anyone without permission from the editors and authors.""")</f>
        <v>"Since peer review is confidential, you also must not share information about the review with anyone without permission from the editors and authors."</v>
      </c>
      <c r="AC79" s="93" t="str">
        <f ca="1">IFERROR(__xludf.DUMMYFUNCTION("""COMPUTED_VALUE"""),"https://www.elsevier.com/reviewers/how-to-review")</f>
        <v>https://www.elsevier.com/reviewers/how-to-review</v>
      </c>
      <c r="AD79" t="str">
        <f ca="1">IFERROR(__xludf.DUMMYFUNCTION("""COMPUTED_VALUE"""),"Unsure")</f>
        <v>Unsure</v>
      </c>
      <c r="AE79" t="str">
        <f ca="1">IFERROR(__xludf.DUMMYFUNCTION("""COMPUTED_VALUE"""),"Unsure")</f>
        <v>Unsure</v>
      </c>
      <c r="AF79" t="str">
        <f ca="1">IFERROR(__xludf.DUMMYFUNCTION("""COMPUTED_VALUE"""),"Unsure")</f>
        <v>Unsure</v>
      </c>
      <c r="AG79" t="str">
        <f ca="1">IFERROR(__xludf.DUMMYFUNCTION("""COMPUTED_VALUE"""),"https://www.elsevier.com/journals/journal-of-financial-economics/0304-405x/guide-for-authors, https://www.elsevier.com/about/policies/sharing")</f>
        <v>https://www.elsevier.com/journals/journal-of-financial-economics/0304-405x/guide-for-authors, https://www.elsevier.com/about/policies/sharing</v>
      </c>
      <c r="AH79" t="str">
        <f ca="1">IFERROR(__xludf.DUMMYFUNCTION("""COMPUTED_VALUE"""),"After peer review (but not final, copyedited version)")</f>
        <v>After peer review (but not final, copyedited version)</v>
      </c>
      <c r="AI79" t="str">
        <f ca="1">IFERROR(__xludf.DUMMYFUNCTION("""COMPUTED_VALUE"""),"Elsevier policy: ""Authors can share their preprint anywhere at any time.""")</f>
        <v>Elsevier policy: "Authors can share their preprint anywhere at any time."</v>
      </c>
      <c r="AJ79" t="str">
        <f ca="1">IFERROR(__xludf.DUMMYFUNCTION("""COMPUTED_VALUE"""),"Not specified")</f>
        <v>Not specified</v>
      </c>
      <c r="AK79" t="str">
        <f ca="1">IFERROR(__xludf.DUMMYFUNCTION("""COMPUTED_VALUE"""),"Unsure")</f>
        <v>Unsure</v>
      </c>
      <c r="AL79" t="str">
        <f ca="1">IFERROR(__xludf.DUMMYFUNCTION("""COMPUTED_VALUE"""),"Unclear, but states ""This journal has an embargo period of 24 months.
 An adapted embargo period of 12 months will apply for UK researchers who are grant recipient from the Research Council UK, Wellcome Trust, Higher Education Funding Council for Engla"&amp;"nd, and who wish to self-archive their accepted author manuscript."" - no mention of media coverage of preprints specifically.")</f>
        <v>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v>
      </c>
      <c r="AM79" t="str">
        <f ca="1">IFERROR(__xludf.DUMMYFUNCTION("""COMPUTED_VALUE"""),"")</f>
        <v/>
      </c>
      <c r="AN79" t="str">
        <f ca="1">IFERROR(__xludf.DUMMYFUNCTION("""COMPUTED_VALUE"""),"")</f>
        <v/>
      </c>
      <c r="AO79" t="str">
        <f ca="1">IFERROR(__xludf.DUMMYFUNCTION("""COMPUTED_VALUE"""),"")</f>
        <v/>
      </c>
      <c r="AP79" t="str">
        <f ca="1">IFERROR(__xludf.DUMMYFUNCTION("""COMPUTED_VALUE"""),"")</f>
        <v/>
      </c>
      <c r="AQ79" t="str">
        <f ca="1">IFERROR(__xludf.DUMMYFUNCTION("""COMPUTED_VALUE"""),"")</f>
        <v/>
      </c>
      <c r="AR79" t="str">
        <f ca="1">IFERROR(__xludf.DUMMYFUNCTION("""COMPUTED_VALUE"""),"")</f>
        <v/>
      </c>
    </row>
    <row r="80" spans="1:44" ht="13">
      <c r="A80" t="str">
        <f ca="1">IFERROR(__xludf.DUMMYFUNCTION("""COMPUTED_VALUE"""),"SH")</f>
        <v>SH</v>
      </c>
      <c r="B80" s="41">
        <f ca="1">IFERROR(__xludf.DUMMYFUNCTION("""COMPUTED_VALUE"""),43477)</f>
        <v>43477</v>
      </c>
      <c r="C80" t="str">
        <f ca="1">IFERROR(__xludf.DUMMYFUNCTION("""COMPUTED_VALUE"""),"GMD")</f>
        <v>GMD</v>
      </c>
      <c r="D80" s="28">
        <f ca="1">IFERROR(__xludf.DUMMYFUNCTION("""COMPUTED_VALUE"""),43579)</f>
        <v>43579</v>
      </c>
      <c r="E80" t="str">
        <f ca="1">IFERROR(__xludf.DUMMYFUNCTION("""COMPUTED_VALUE"""),"JP")</f>
        <v>JP</v>
      </c>
      <c r="F80" s="28">
        <f ca="1">IFERROR(__xludf.DUMMYFUNCTION("""COMPUTED_VALUE"""),43583)</f>
        <v>43583</v>
      </c>
      <c r="G80" t="str">
        <f ca="1">IFERROR(__xludf.DUMMYFUNCTION("""COMPUTED_VALUE"""),"")</f>
        <v/>
      </c>
      <c r="H80" t="str">
        <f ca="1">IFERROR(__xludf.DUMMYFUNCTION("""COMPUTED_VALUE"""),"2156-2202")</f>
        <v>2156-2202</v>
      </c>
      <c r="I80" t="str">
        <f ca="1">IFERROR(__xludf.DUMMYFUNCTION("""COMPUTED_VALUE"""),"Journal of Geophysical Research")</f>
        <v>Journal of Geophysical Research</v>
      </c>
      <c r="J80" t="str">
        <f ca="1">IFERROR(__xludf.DUMMYFUNCTION("""COMPUTED_VALUE"""),"Physics &amp; Mathematics")</f>
        <v>Physics &amp; Mathematics</v>
      </c>
      <c r="K80" t="str">
        <f ca="1">IFERROR(__xludf.DUMMYFUNCTION("""COMPUTED_VALUE"""),"American Geophysical Union")</f>
        <v>American Geophysical Union</v>
      </c>
      <c r="L80" t="str">
        <f ca="1">IFERROR(__xludf.DUMMYFUNCTION("""COMPUTED_VALUE"""),"Unsure")</f>
        <v>Unsure</v>
      </c>
      <c r="M80" s="93" t="str">
        <f ca="1">IFERROR(__xludf.DUMMYFUNCTION("""COMPUTED_VALUE"""),"https://publications.agu.org/reviewer-resources/")</f>
        <v>https://publications.agu.org/reviewer-resources/</v>
      </c>
      <c r="N80" s="93" t="str">
        <f ca="1">IFERROR(__xludf.DUMMYFUNCTION("""COMPUTED_VALUE"""),"https://publications.agu.org/reviewer-resources/review-criteria")</f>
        <v>https://publications.agu.org/reviewer-resources/review-criteria</v>
      </c>
      <c r="O80" s="93" t="str">
        <f ca="1">IFERROR(__xludf.DUMMYFUNCTION("""COMPUTED_VALUE"""),"https://publications.agu.org/reviewer-resources/")</f>
        <v>https://publications.agu.org/reviewer-resources/</v>
      </c>
      <c r="P80" t="str">
        <f ca="1">IFERROR(__xludf.DUMMYFUNCTION("""COMPUTED_VALUE"""),"Yes")</f>
        <v>Yes</v>
      </c>
      <c r="Q80" t="str">
        <f ca="1">IFERROR(__xludf.DUMMYFUNCTION("""COMPUTED_VALUE"""),"")</f>
        <v/>
      </c>
      <c r="R80" t="str">
        <f ca="1">IFERROR(__xludf.DUMMYFUNCTION("""COMPUTED_VALUE"""),"")</f>
        <v/>
      </c>
      <c r="S80" t="str">
        <f ca="1">IFERROR(__xludf.DUMMYFUNCTION("""COMPUTED_VALUE"""),"Not specified")</f>
        <v>Not specified</v>
      </c>
      <c r="T80" t="str">
        <f ca="1">IFERROR(__xludf.DUMMYFUNCTION("""COMPUTED_VALUE"""),"Not specified")</f>
        <v>Not specified</v>
      </c>
      <c r="U80" t="str">
        <f ca="1">IFERROR(__xludf.DUMMYFUNCTION("""COMPUTED_VALUE"""),"Not specified")</f>
        <v>Not specified</v>
      </c>
      <c r="V80" t="str">
        <f ca="1">IFERROR(__xludf.DUMMYFUNCTION("""COMPUTED_VALUE"""),"Not specified")</f>
        <v>Not specified</v>
      </c>
      <c r="W80" t="str">
        <f ca="1">IFERROR(__xludf.DUMMYFUNCTION("""COMPUTED_VALUE"""),"Not specified")</f>
        <v>Not specified</v>
      </c>
      <c r="X80" t="str">
        <f ca="1">IFERROR(__xludf.DUMMYFUNCTION("""COMPUTED_VALUE"""),"Not specified")</f>
        <v>Not specified</v>
      </c>
      <c r="Y80" t="str">
        <f ca="1">IFERROR(__xludf.DUMMYFUNCTION("""COMPUTED_VALUE"""),"Not specified")</f>
        <v>Not specified</v>
      </c>
      <c r="Z80" t="str">
        <f ca="1">IFERROR(__xludf.DUMMYFUNCTION("""COMPUTED_VALUE"""),"Not specified")</f>
        <v>Not specified</v>
      </c>
      <c r="AA80" t="str">
        <f ca="1">IFERROR(__xludf.DUMMYFUNCTION("""COMPUTED_VALUE"""),"")</f>
        <v/>
      </c>
      <c r="AB80" t="str">
        <f ca="1">IFERROR(__xludf.DUMMYFUNCTION("""COMPUTED_VALUE"""),"")</f>
        <v/>
      </c>
      <c r="AC80" t="str">
        <f ca="1">IFERROR(__xludf.DUMMYFUNCTION("""COMPUTED_VALUE"""),"")</f>
        <v/>
      </c>
      <c r="AD80" t="str">
        <f ca="1">IFERROR(__xludf.DUMMYFUNCTION("""COMPUTED_VALUE"""),"Unsure")</f>
        <v>Unsure</v>
      </c>
      <c r="AE80" t="str">
        <f ca="1">IFERROR(__xludf.DUMMYFUNCTION("""COMPUTED_VALUE"""),"Unsure")</f>
        <v>Unsure</v>
      </c>
      <c r="AF80" t="str">
        <f ca="1">IFERROR(__xludf.DUMMYFUNCTION("""COMPUTED_VALUE"""),"Unsure")</f>
        <v>Unsure</v>
      </c>
      <c r="AG80" t="str">
        <f ca="1">IFERROR(__xludf.DUMMYFUNCTION("""COMPUTED_VALUE"""),"https://publications.agu.org/author-resource-center/usage-permissions/, https://publications.agu.org/author-resource-center/publication-policies/dual-publication-policy/prior-publication-and-posting-primer/, https://publications.agu.org/author-resource-ce"&amp;"nter/publication-policies/dual-publication-policy/")</f>
        <v>https://publications.agu.org/author-resource-center/usage-permissions/, https://publications.agu.org/author-resource-center/publication-policies/dual-publication-policy/prior-publication-and-posting-primer/, https://publications.agu.org/author-resource-center/publication-policies/dual-publication-policy/</v>
      </c>
      <c r="AH80" t="str">
        <f ca="1">IFERROR(__xludf.DUMMYFUNCTION("""COMPUTED_VALUE"""),"After peer review (but not final, copyedited version)")</f>
        <v>After peer review (but not final, copyedited version)</v>
      </c>
      <c r="AI80" t="str">
        <f ca="1">IFERROR(__xludf.DUMMYFUNCTION("""COMPUTED_VALUE"""),"""Recently AGU Publications, the Publications Committee, and the AGU Council amended the policy to allow posting of preprints and content by authors on “not-for-profit community preprint servers.” This specifically includes arxiv.org and related groups su"&amp;"ch as astro-ph.org and cond-mat.org. """)</f>
        <v>"Recently AGU Publications, the Publications Committee, and the AGU Council amended the policy to allow posting of preprints and content by authors on “not-for-profit community preprint servers.” This specifically includes arxiv.org and related groups such as astro-ph.org and cond-mat.org. "</v>
      </c>
      <c r="AJ80" t="str">
        <f ca="1">IFERROR(__xludf.DUMMYFUNCTION("""COMPUTED_VALUE"""),"Other (""Citations to papers on the arxiv.org are allowed when other sources are not available."" This is the only reference I found to citation of preprints, but it might not be restricted to arxiv)")</f>
        <v>Other ("Citations to papers on the arxiv.org are allowed when other sources are not available." This is the only reference I found to citation of preprints, but it might not be restricted to arxiv)</v>
      </c>
      <c r="AK80" t="str">
        <f ca="1">IFERROR(__xludf.DUMMYFUNCTION("""COMPUTED_VALUE"""),"Unsure")</f>
        <v>Unsure</v>
      </c>
      <c r="AL80" t="str">
        <f ca="1">IFERROR(__xludf.DUMMYFUNCTION("""COMPUTED_VALUE"""),"Not specific to preprints, but: ""AGU does not consider prior press attention of a result as publication unless the release is so extensive that it would count as prior publication of a paper. AGU encourages authors to release results to the press at the "&amp;"time of publication when a full assessment is possible. AGU does not embargo press notifications and strives to distribute these as soon as AGU content is available online.""")</f>
        <v>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v>
      </c>
      <c r="AM80" t="str">
        <f ca="1">IFERROR(__xludf.DUMMYFUNCTION("""COMPUTED_VALUE"""),"")</f>
        <v/>
      </c>
      <c r="AN80" t="str">
        <f ca="1">IFERROR(__xludf.DUMMYFUNCTION("""COMPUTED_VALUE"""),"")</f>
        <v/>
      </c>
      <c r="AO80" t="str">
        <f ca="1">IFERROR(__xludf.DUMMYFUNCTION("""COMPUTED_VALUE"""),"")</f>
        <v/>
      </c>
      <c r="AP80" t="str">
        <f ca="1">IFERROR(__xludf.DUMMYFUNCTION("""COMPUTED_VALUE"""),"")</f>
        <v/>
      </c>
      <c r="AQ80" t="str">
        <f ca="1">IFERROR(__xludf.DUMMYFUNCTION("""COMPUTED_VALUE"""),"")</f>
        <v/>
      </c>
      <c r="AR80" t="str">
        <f ca="1">IFERROR(__xludf.DUMMYFUNCTION("""COMPUTED_VALUE"""),"")</f>
        <v/>
      </c>
    </row>
    <row r="81" spans="1:44" ht="13">
      <c r="A81" t="str">
        <f ca="1">IFERROR(__xludf.DUMMYFUNCTION("""COMPUTED_VALUE"""),"SH")</f>
        <v>SH</v>
      </c>
      <c r="B81" s="41">
        <f ca="1">IFERROR(__xludf.DUMMYFUNCTION("""COMPUTED_VALUE"""),43477)</f>
        <v>43477</v>
      </c>
      <c r="C81" t="str">
        <f ca="1">IFERROR(__xludf.DUMMYFUNCTION("""COMPUTED_VALUE"""),"GMD")</f>
        <v>GMD</v>
      </c>
      <c r="D81" s="28">
        <f ca="1">IFERROR(__xludf.DUMMYFUNCTION("""COMPUTED_VALUE"""),43579)</f>
        <v>43579</v>
      </c>
      <c r="E81" t="str">
        <f ca="1">IFERROR(__xludf.DUMMYFUNCTION("""COMPUTED_VALUE"""),"JP")</f>
        <v>JP</v>
      </c>
      <c r="F81" s="28">
        <f ca="1">IFERROR(__xludf.DUMMYFUNCTION("""COMPUTED_VALUE"""),43583)</f>
        <v>43583</v>
      </c>
      <c r="G81" t="str">
        <f ca="1">IFERROR(__xludf.DUMMYFUNCTION("""COMPUTED_VALUE"""),"")</f>
        <v/>
      </c>
      <c r="H81" t="str">
        <f ca="1">IFERROR(__xludf.DUMMYFUNCTION("""COMPUTED_VALUE"""),"0168-8278")</f>
        <v>0168-8278</v>
      </c>
      <c r="I81" t="str">
        <f ca="1">IFERROR(__xludf.DUMMYFUNCTION("""COMPUTED_VALUE"""),"Journal of Hepatology")</f>
        <v>Journal of Hepatology</v>
      </c>
      <c r="J81" t="str">
        <f ca="1">IFERROR(__xludf.DUMMYFUNCTION("""COMPUTED_VALUE"""),"")</f>
        <v/>
      </c>
      <c r="K81" t="str">
        <f ca="1">IFERROR(__xludf.DUMMYFUNCTION("""COMPUTED_VALUE"""),"")</f>
        <v/>
      </c>
      <c r="L81" t="str">
        <f ca="1">IFERROR(__xludf.DUMMYFUNCTION("""COMPUTED_VALUE"""),"Unsure")</f>
        <v>Unsure</v>
      </c>
      <c r="M81" t="str">
        <f ca="1">IFERROR(__xludf.DUMMYFUNCTION("""COMPUTED_VALUE"""),"")</f>
        <v/>
      </c>
      <c r="N81" t="str">
        <f ca="1">IFERROR(__xludf.DUMMYFUNCTION("""COMPUTED_VALUE"""),"")</f>
        <v/>
      </c>
      <c r="O81" s="93" t="str">
        <f ca="1">IFERROR(__xludf.DUMMYFUNCTION("""COMPUTED_VALUE"""),"https://www.elsevier.com/reviewers/role#recognizing")</f>
        <v>https://www.elsevier.com/reviewers/role#recognizing</v>
      </c>
      <c r="P81" t="str">
        <f ca="1">IFERROR(__xludf.DUMMYFUNCTION("""COMPUTED_VALUE"""),"Unsure")</f>
        <v>Unsure</v>
      </c>
      <c r="Q81" t="str">
        <f ca="1">IFERROR(__xludf.DUMMYFUNCTION("""COMPUTED_VALUE"""),"")</f>
        <v/>
      </c>
      <c r="R81" t="str">
        <f ca="1">IFERROR(__xludf.DUMMYFUNCTION("""COMPUTED_VALUE"""),"")</f>
        <v/>
      </c>
      <c r="S81" t="str">
        <f ca="1">IFERROR(__xludf.DUMMYFUNCTION("""COMPUTED_VALUE"""),"Not specified")</f>
        <v>Not specified</v>
      </c>
      <c r="T81" t="str">
        <f ca="1">IFERROR(__xludf.DUMMYFUNCTION("""COMPUTED_VALUE"""),"Not specified")</f>
        <v>Not specified</v>
      </c>
      <c r="U81" t="str">
        <f ca="1">IFERROR(__xludf.DUMMYFUNCTION("""COMPUTED_VALUE"""),"Not specified")</f>
        <v>Not specified</v>
      </c>
      <c r="V81" t="str">
        <f ca="1">IFERROR(__xludf.DUMMYFUNCTION("""COMPUTED_VALUE"""),"Not specified")</f>
        <v>Not specified</v>
      </c>
      <c r="W81" t="str">
        <f ca="1">IFERROR(__xludf.DUMMYFUNCTION("""COMPUTED_VALUE"""),"Not specified")</f>
        <v>Not specified</v>
      </c>
      <c r="X81" t="str">
        <f ca="1">IFERROR(__xludf.DUMMYFUNCTION("""COMPUTED_VALUE"""),"Not specified")</f>
        <v>Not specified</v>
      </c>
      <c r="Y81" t="str">
        <f ca="1">IFERROR(__xludf.DUMMYFUNCTION("""COMPUTED_VALUE"""),"Not specified")</f>
        <v>Not specified</v>
      </c>
      <c r="Z81" t="str">
        <f ca="1">IFERROR(__xludf.DUMMYFUNCTION("""COMPUTED_VALUE"""),"Not specified")</f>
        <v>Not specified</v>
      </c>
      <c r="AA81" t="str">
        <f ca="1">IFERROR(__xludf.DUMMYFUNCTION("""COMPUTED_VALUE"""),"")</f>
        <v/>
      </c>
      <c r="AB81" t="str">
        <f ca="1">IFERROR(__xludf.DUMMYFUNCTION("""COMPUTED_VALUE"""),"")</f>
        <v/>
      </c>
      <c r="AC81" t="str">
        <f ca="1">IFERROR(__xludf.DUMMYFUNCTION("""COMPUTED_VALUE"""),"")</f>
        <v/>
      </c>
      <c r="AD81" t="str">
        <f ca="1">IFERROR(__xludf.DUMMYFUNCTION("""COMPUTED_VALUE"""),"Unsure")</f>
        <v>Unsure</v>
      </c>
      <c r="AE81" t="str">
        <f ca="1">IFERROR(__xludf.DUMMYFUNCTION("""COMPUTED_VALUE"""),"Unsure")</f>
        <v>Unsure</v>
      </c>
      <c r="AF81" t="str">
        <f ca="1">IFERROR(__xludf.DUMMYFUNCTION("""COMPUTED_VALUE"""),"Unsure")</f>
        <v>Unsure</v>
      </c>
      <c r="AG81" s="93" t="str">
        <f ca="1">IFERROR(__xludf.DUMMYFUNCTION("""COMPUTED_VALUE"""),"https://www.elsevier.com/about/policies/sharing")</f>
        <v>https://www.elsevier.com/about/policies/sharing</v>
      </c>
      <c r="AH81" t="str">
        <f ca="1">IFERROR(__xludf.DUMMYFUNCTION("""COMPUTED_VALUE"""),"After peer review (but not final, copyedited version)")</f>
        <v>After peer review (but not final, copyedited version)</v>
      </c>
      <c r="AI81" t="str">
        <f ca="1">IFERROR(__xludf.DUMMYFUNCTION("""COMPUTED_VALUE"""),"Elsevier policy: ""Authors can share their preprint anywhere at any time.""")</f>
        <v>Elsevier policy: "Authors can share their preprint anywhere at any time."</v>
      </c>
      <c r="AJ81" t="str">
        <f ca="1">IFERROR(__xludf.DUMMYFUNCTION("""COMPUTED_VALUE"""),"Not specified")</f>
        <v>Not specified</v>
      </c>
      <c r="AK81" t="str">
        <f ca="1">IFERROR(__xludf.DUMMYFUNCTION("""COMPUTED_VALUE"""),"Unsure")</f>
        <v>Unsure</v>
      </c>
      <c r="AL81" t="str">
        <f ca="1">IFERROR(__xludf.DUMMYFUNCTION("""COMPUTED_VALUE"""),"")</f>
        <v/>
      </c>
      <c r="AM81" t="str">
        <f ca="1">IFERROR(__xludf.DUMMYFUNCTION("""COMPUTED_VALUE"""),"")</f>
        <v/>
      </c>
      <c r="AN81" t="str">
        <f ca="1">IFERROR(__xludf.DUMMYFUNCTION("""COMPUTED_VALUE"""),"")</f>
        <v/>
      </c>
      <c r="AO81" t="str">
        <f ca="1">IFERROR(__xludf.DUMMYFUNCTION("""COMPUTED_VALUE"""),"")</f>
        <v/>
      </c>
      <c r="AP81" t="str">
        <f ca="1">IFERROR(__xludf.DUMMYFUNCTION("""COMPUTED_VALUE"""),"")</f>
        <v/>
      </c>
      <c r="AQ81" t="str">
        <f ca="1">IFERROR(__xludf.DUMMYFUNCTION("""COMPUTED_VALUE"""),"")</f>
        <v/>
      </c>
      <c r="AR81" t="str">
        <f ca="1">IFERROR(__xludf.DUMMYFUNCTION("""COMPUTED_VALUE"""),"")</f>
        <v/>
      </c>
    </row>
    <row r="82" spans="1:44" ht="13">
      <c r="A82" t="str">
        <f ca="1">IFERROR(__xludf.DUMMYFUNCTION("""COMPUTED_VALUE"""),"SH")</f>
        <v>SH</v>
      </c>
      <c r="B82" s="41">
        <f ca="1">IFERROR(__xludf.DUMMYFUNCTION("""COMPUTED_VALUE"""),43478)</f>
        <v>43478</v>
      </c>
      <c r="C82" t="str">
        <f ca="1">IFERROR(__xludf.DUMMYFUNCTION("""COMPUTED_VALUE"""),"GMD")</f>
        <v>GMD</v>
      </c>
      <c r="D82" s="28">
        <f ca="1">IFERROR(__xludf.DUMMYFUNCTION("""COMPUTED_VALUE"""),43579)</f>
        <v>43579</v>
      </c>
      <c r="E82" t="str">
        <f ca="1">IFERROR(__xludf.DUMMYFUNCTION("""COMPUTED_VALUE"""),"JP")</f>
        <v>JP</v>
      </c>
      <c r="F82" s="28">
        <f ca="1">IFERROR(__xludf.DUMMYFUNCTION("""COMPUTED_VALUE"""),43583)</f>
        <v>43583</v>
      </c>
      <c r="G82" t="str">
        <f ca="1">IFERROR(__xludf.DUMMYFUNCTION("""COMPUTED_VALUE"""),"Review process is single-blind on orignal peer review URL, added preprint link and changed preprint policies accordingly")</f>
        <v>Review process is single-blind on orignal peer review URL, added preprint link and changed preprint policies accordingly</v>
      </c>
      <c r="H82" t="str">
        <f ca="1">IFERROR(__xludf.DUMMYFUNCTION("""COMPUTED_VALUE"""),"1029-8479")</f>
        <v>1029-8479</v>
      </c>
      <c r="I82" t="str">
        <f ca="1">IFERROR(__xludf.DUMMYFUNCTION("""COMPUTED_VALUE"""),"Journal of High Energy Physics")</f>
        <v>Journal of High Energy Physics</v>
      </c>
      <c r="J82" t="str">
        <f ca="1">IFERROR(__xludf.DUMMYFUNCTION("""COMPUTED_VALUE"""),"Physics &amp; Mathematics")</f>
        <v>Physics &amp; Mathematics</v>
      </c>
      <c r="K82" t="str">
        <f ca="1">IFERROR(__xludf.DUMMYFUNCTION("""COMPUTED_VALUE"""),"Springer")</f>
        <v>Springer</v>
      </c>
      <c r="L82" t="str">
        <f ca="1">IFERROR(__xludf.DUMMYFUNCTION("""COMPUTED_VALUE"""),"Single-blind")</f>
        <v>Single-blind</v>
      </c>
      <c r="M82" s="93" t="str">
        <f ca="1">IFERROR(__xludf.DUMMYFUNCTION("""COMPUTED_VALUE"""),"https://www.springer.com/physics/particle+and+nuclear+physics/journal/13130")</f>
        <v>https://www.springer.com/physics/particle+and+nuclear+physics/journal/13130</v>
      </c>
      <c r="N82" t="str">
        <f ca="1">IFERROR(__xludf.DUMMYFUNCTION("""COMPUTED_VALUE"""),"")</f>
        <v/>
      </c>
      <c r="O82" t="str">
        <f ca="1">IFERROR(__xludf.DUMMYFUNCTION("""COMPUTED_VALUE"""),"")</f>
        <v/>
      </c>
      <c r="P82" t="str">
        <f ca="1">IFERROR(__xludf.DUMMYFUNCTION("""COMPUTED_VALUE"""),"Unsure")</f>
        <v>Unsure</v>
      </c>
      <c r="Q82" t="str">
        <f ca="1">IFERROR(__xludf.DUMMYFUNCTION("""COMPUTED_VALUE"""),"""The Transfer Desk is our manuscript transfer service, which provides you with a convenient way of resubmitting your manuscript to a more suitable journal….""")</f>
        <v>"The Transfer Desk is our manuscript transfer service, which provides you with a convenient way of resubmitting your manuscript to a more suitable journal…."</v>
      </c>
      <c r="R82" s="93" t="str">
        <f ca="1">IFERROR(__xludf.DUMMYFUNCTION("""COMPUTED_VALUE"""),"https://www.springer.com/us/authors-editors/journal-author/the-springer-transfer-desk")</f>
        <v>https://www.springer.com/us/authors-editors/journal-author/the-springer-transfer-desk</v>
      </c>
      <c r="S82" t="str">
        <f ca="1">IFERROR(__xludf.DUMMYFUNCTION("""COMPUTED_VALUE"""),"Not specified")</f>
        <v>Not specified</v>
      </c>
      <c r="T82" t="str">
        <f ca="1">IFERROR(__xludf.DUMMYFUNCTION("""COMPUTED_VALUE"""),"Not specified")</f>
        <v>Not specified</v>
      </c>
      <c r="U82" t="str">
        <f ca="1">IFERROR(__xludf.DUMMYFUNCTION("""COMPUTED_VALUE"""),"Not specified")</f>
        <v>Not specified</v>
      </c>
      <c r="V82" t="str">
        <f ca="1">IFERROR(__xludf.DUMMYFUNCTION("""COMPUTED_VALUE"""),"Not specified")</f>
        <v>Not specified</v>
      </c>
      <c r="W82" t="str">
        <f ca="1">IFERROR(__xludf.DUMMYFUNCTION("""COMPUTED_VALUE"""),"Not specified")</f>
        <v>Not specified</v>
      </c>
      <c r="X82" t="str">
        <f ca="1">IFERROR(__xludf.DUMMYFUNCTION("""COMPUTED_VALUE"""),"Not specified")</f>
        <v>Not specified</v>
      </c>
      <c r="Y82" t="str">
        <f ca="1">IFERROR(__xludf.DUMMYFUNCTION("""COMPUTED_VALUE"""),"Not specified")</f>
        <v>Not specified</v>
      </c>
      <c r="Z82" t="str">
        <f ca="1">IFERROR(__xludf.DUMMYFUNCTION("""COMPUTED_VALUE"""),"Not specified")</f>
        <v>Not specified</v>
      </c>
      <c r="AA82" t="str">
        <f ca="1">IFERROR(__xludf.DUMMYFUNCTION("""COMPUTED_VALUE"""),"")</f>
        <v/>
      </c>
      <c r="AB82" t="str">
        <f ca="1">IFERROR(__xludf.DUMMYFUNCTION("""COMPUTED_VALUE"""),"")</f>
        <v/>
      </c>
      <c r="AC82" t="str">
        <f ca="1">IFERROR(__xludf.DUMMYFUNCTION("""COMPUTED_VALUE"""),"")</f>
        <v/>
      </c>
      <c r="AD82" t="str">
        <f ca="1">IFERROR(__xludf.DUMMYFUNCTION("""COMPUTED_VALUE"""),"Unsure")</f>
        <v>Unsure</v>
      </c>
      <c r="AE82" t="str">
        <f ca="1">IFERROR(__xludf.DUMMYFUNCTION("""COMPUTED_VALUE"""),"Unsure")</f>
        <v>Unsure</v>
      </c>
      <c r="AF82" t="str">
        <f ca="1">IFERROR(__xludf.DUMMYFUNCTION("""COMPUTED_VALUE"""),"Unsure")</f>
        <v>Unsure</v>
      </c>
      <c r="AG82" s="93" t="str">
        <f ca="1">IFERROR(__xludf.DUMMYFUNCTION("""COMPUTED_VALUE"""),"https://jhep.sissa.it/jhep/help/helpLoader.jsp?pgType=author#arXiv")</f>
        <v>https://jhep.sissa.it/jhep/help/helpLoader.jsp?pgType=author#arXiv</v>
      </c>
      <c r="AH82" t="str">
        <f ca="1">IFERROR(__xludf.DUMMYFUNCTION("""COMPUTED_VALUE"""),"Any")</f>
        <v>Any</v>
      </c>
      <c r="AI82" t="str">
        <f ca="1">IFERROR(__xludf.DUMMYFUNCTION("""COMPUTED_VALUE"""),"ArXiv: ""You will need to provide an arXiv article id. This is necessary as JHEP articles are funded by the SCOAP3 consortium and thus need to be categorised and published accordingly if accepted.""")</f>
        <v>ArXiv: "You will need to provide an arXiv article id. This is necessary as JHEP articles are funded by the SCOAP3 consortium and thus need to be categorised and published accordingly if accepted."</v>
      </c>
      <c r="AJ82" t="str">
        <f ca="1">IFERROR(__xludf.DUMMYFUNCTION("""COMPUTED_VALUE"""),"Yes, in the reference list")</f>
        <v>Yes, in the reference list</v>
      </c>
      <c r="AK82" t="str">
        <f ca="1">IFERROR(__xludf.DUMMYFUNCTION("""COMPUTED_VALUE"""),"Unsure")</f>
        <v>Unsure</v>
      </c>
      <c r="AL82" t="str">
        <f ca="1">IFERROR(__xludf.DUMMYFUNCTION("""COMPUTED_VALUE"""),"")</f>
        <v/>
      </c>
      <c r="AM82" t="str">
        <f ca="1">IFERROR(__xludf.DUMMYFUNCTION("""COMPUTED_VALUE"""),"")</f>
        <v/>
      </c>
      <c r="AN82" t="str">
        <f ca="1">IFERROR(__xludf.DUMMYFUNCTION("""COMPUTED_VALUE"""),"")</f>
        <v/>
      </c>
      <c r="AO82" t="str">
        <f ca="1">IFERROR(__xludf.DUMMYFUNCTION("""COMPUTED_VALUE"""),"")</f>
        <v/>
      </c>
      <c r="AP82" t="str">
        <f ca="1">IFERROR(__xludf.DUMMYFUNCTION("""COMPUTED_VALUE"""),"")</f>
        <v/>
      </c>
      <c r="AQ82" t="str">
        <f ca="1">IFERROR(__xludf.DUMMYFUNCTION("""COMPUTED_VALUE"""),"")</f>
        <v/>
      </c>
      <c r="AR82" t="str">
        <f ca="1">IFERROR(__xludf.DUMMYFUNCTION("""COMPUTED_VALUE"""),"")</f>
        <v/>
      </c>
    </row>
    <row r="83" spans="1:44" ht="13">
      <c r="A83" t="str">
        <f ca="1">IFERROR(__xludf.DUMMYFUNCTION("""COMPUTED_VALUE"""),"SH")</f>
        <v>SH</v>
      </c>
      <c r="B83" s="41">
        <f ca="1">IFERROR(__xludf.DUMMYFUNCTION("""COMPUTED_VALUE"""),43478)</f>
        <v>43478</v>
      </c>
      <c r="C83" t="str">
        <f ca="1">IFERROR(__xludf.DUMMYFUNCTION("""COMPUTED_VALUE"""),"JP")</f>
        <v>JP</v>
      </c>
      <c r="D83" s="28">
        <f ca="1">IFERROR(__xludf.DUMMYFUNCTION("""COMPUTED_VALUE"""),43572)</f>
        <v>43572</v>
      </c>
      <c r="E83" t="str">
        <f ca="1">IFERROR(__xludf.DUMMYFUNCTION("""COMPUTED_VALUE"""),"TRH")</f>
        <v>TRH</v>
      </c>
      <c r="F83" s="28">
        <f ca="1">IFERROR(__xludf.DUMMYFUNCTION("""COMPUTED_VALUE"""),43581)</f>
        <v>43581</v>
      </c>
      <c r="G83" t="str">
        <f ca="1">IFERROR(__xludf.DUMMYFUNCTION("""COMPUTED_VALUE"""),"")</f>
        <v/>
      </c>
      <c r="H83" t="str">
        <f ca="1">IFERROR(__xludf.DUMMYFUNCTION("""COMPUTED_VALUE"""),"1557-1211")</f>
        <v>1557-1211</v>
      </c>
      <c r="I83" t="str">
        <f ca="1">IFERROR(__xludf.DUMMYFUNCTION("""COMPUTED_VALUE"""),"Journal of Management")</f>
        <v>Journal of Management</v>
      </c>
      <c r="J83" t="str">
        <f ca="1">IFERROR(__xludf.DUMMYFUNCTION("""COMPUTED_VALUE"""),"Business, Economics &amp; Management")</f>
        <v>Business, Economics &amp; Management</v>
      </c>
      <c r="K83" t="str">
        <f ca="1">IFERROR(__xludf.DUMMYFUNCTION("""COMPUTED_VALUE"""),"SAGE in association with the Southern Management Association")</f>
        <v>SAGE in association with the Southern Management Association</v>
      </c>
      <c r="L83" t="str">
        <f ca="1">IFERROR(__xludf.DUMMYFUNCTION("""COMPUTED_VALUE"""),"Double blind")</f>
        <v>Double blind</v>
      </c>
      <c r="M83" s="93" t="str">
        <f ca="1">IFERROR(__xludf.DUMMYFUNCTION("""COMPUTED_VALUE"""),"https://journals.sagepub.com/pb-assets/cmscontent/JOM/JOM_Style_Guide_revised_2017.pdf")</f>
        <v>https://journals.sagepub.com/pb-assets/cmscontent/JOM/JOM_Style_Guide_revised_2017.pdf</v>
      </c>
      <c r="N83" t="str">
        <f ca="1">IFERROR(__xludf.DUMMYFUNCTION("""COMPUTED_VALUE"""),"")</f>
        <v/>
      </c>
      <c r="O83" s="93" t="str">
        <f ca="1">IFERROR(__xludf.DUMMYFUNCTION("""COMPUTED_VALUE"""),"https://us.sagepub.com/en-us/nam/reviewer-rewards")</f>
        <v>https://us.sagepub.com/en-us/nam/reviewer-rewards</v>
      </c>
      <c r="P83" t="str">
        <f ca="1">IFERROR(__xludf.DUMMYFUNCTION("""COMPUTED_VALUE"""),"Yes")</f>
        <v>Yes</v>
      </c>
      <c r="Q83" t="str">
        <f ca="1">IFERROR(__xludf.DUMMYFUNCTION("""COMPUTED_VALUE"""),"Unsure")</f>
        <v>Unsure</v>
      </c>
      <c r="R83" t="str">
        <f ca="1">IFERROR(__xludf.DUMMYFUNCTION("""COMPUTED_VALUE"""),"")</f>
        <v/>
      </c>
      <c r="S83" t="str">
        <f ca="1">IFERROR(__xludf.DUMMYFUNCTION("""COMPUTED_VALUE"""),"Not specified")</f>
        <v>Not specified</v>
      </c>
      <c r="T83" t="str">
        <f ca="1">IFERROR(__xludf.DUMMYFUNCTION("""COMPUTED_VALUE"""),"Not specified")</f>
        <v>Not specified</v>
      </c>
      <c r="U83" t="str">
        <f ca="1">IFERROR(__xludf.DUMMYFUNCTION("""COMPUTED_VALUE"""),"Not specified")</f>
        <v>Not specified</v>
      </c>
      <c r="V83" t="str">
        <f ca="1">IFERROR(__xludf.DUMMYFUNCTION("""COMPUTED_VALUE"""),"Not specified")</f>
        <v>Not specified</v>
      </c>
      <c r="W83" t="str">
        <f ca="1">IFERROR(__xludf.DUMMYFUNCTION("""COMPUTED_VALUE"""),"Not specified")</f>
        <v>Not specified</v>
      </c>
      <c r="X83" t="str">
        <f ca="1">IFERROR(__xludf.DUMMYFUNCTION("""COMPUTED_VALUE"""),"No")</f>
        <v>No</v>
      </c>
      <c r="Y83" t="str">
        <f ca="1">IFERROR(__xludf.DUMMYFUNCTION("""COMPUTED_VALUE"""),"Not specified")</f>
        <v>Not specified</v>
      </c>
      <c r="Z83" t="str">
        <f ca="1">IFERROR(__xludf.DUMMYFUNCTION("""COMPUTED_VALUE"""),"Not specified")</f>
        <v>Not specified</v>
      </c>
      <c r="AA83" t="str">
        <f ca="1">IFERROR(__xludf.DUMMYFUNCTION("""COMPUTED_VALUE"""),"")</f>
        <v/>
      </c>
      <c r="AB83"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invi"&amp;"tation to review. The names of everyone involved in doing the review should be submitted to the editor so that the journal records accurately reflect the review process that took place. Full guidelines for peer reviewers can be found on the Committee on P"&amp;"ublication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83" s="93" t="str">
        <f ca="1">IFERROR(__xludf.DUMMYFUNCTION("""COMPUTED_VALUE"""),"https://us.sagepub.com/en-us/nam/how-to-review-articles")</f>
        <v>https://us.sagepub.com/en-us/nam/how-to-review-articles</v>
      </c>
      <c r="AD83" t="str">
        <f ca="1">IFERROR(__xludf.DUMMYFUNCTION("""COMPUTED_VALUE"""),"Yes")</f>
        <v>Yes</v>
      </c>
      <c r="AE83" t="str">
        <f ca="1">IFERROR(__xludf.DUMMYFUNCTION("""COMPUTED_VALUE"""),"Unsure")</f>
        <v>Unsure</v>
      </c>
      <c r="AF83" t="str">
        <f ca="1">IFERROR(__xludf.DUMMYFUNCTION("""COMPUTED_VALUE"""),"Unsure")</f>
        <v>Unsure</v>
      </c>
      <c r="AG83" s="93" t="str">
        <f ca="1">IFERROR(__xludf.DUMMYFUNCTION("""COMPUTED_VALUE"""),"https://us.sagepub.com/en-us/nam/prior-publication")</f>
        <v>https://us.sagepub.com/en-us/nam/prior-publication</v>
      </c>
      <c r="AH83" t="str">
        <f ca="1">IFERROR(__xludf.DUMMYFUNCTION("""COMPUTED_VALUE"""),"First submission only (before peer review)")</f>
        <v>First submission only (before peer review)</v>
      </c>
      <c r="AI83" t="str">
        <f ca="1">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83" t="str">
        <f ca="1">IFERROR(__xludf.DUMMYFUNCTION("""COMPUTED_VALUE"""),"Unsure")</f>
        <v>Unsure</v>
      </c>
      <c r="AK83" t="str">
        <f ca="1">IFERROR(__xludf.DUMMYFUNCTION("""COMPUTED_VALUE"""),"Unsure")</f>
        <v>Unsure</v>
      </c>
      <c r="AL83" t="str">
        <f ca="1">IFERROR(__xludf.DUMMYFUNCTION("""COMPUTED_VALUE"""),"")</f>
        <v/>
      </c>
      <c r="AM83" t="str">
        <f ca="1">IFERROR(__xludf.DUMMYFUNCTION("""COMPUTED_VALUE"""),"")</f>
        <v/>
      </c>
      <c r="AN83" t="str">
        <f ca="1">IFERROR(__xludf.DUMMYFUNCTION("""COMPUTED_VALUE"""),"")</f>
        <v/>
      </c>
      <c r="AO83" t="str">
        <f ca="1">IFERROR(__xludf.DUMMYFUNCTION("""COMPUTED_VALUE"""),"")</f>
        <v/>
      </c>
      <c r="AP83" t="str">
        <f ca="1">IFERROR(__xludf.DUMMYFUNCTION("""COMPUTED_VALUE"""),"Note: most of the info here is from the parent (SAGE) website as this is where the journal homepage linked to. Also, re preprint citation - Journal's author guidelines suggests citation format for ""working papers"" so maybe this applies to preprints, tho"&amp;"ugh they are not specifically referred to.")</f>
        <v>Note: most of the info here is from the parent (SAGE) website as this is where the journal homepage linked to. Also, re preprint citation - Journal's author guidelines suggests citation format for "working papers" so maybe this applies to preprints, though they are not specifically referred to.</v>
      </c>
      <c r="AQ83" t="str">
        <f ca="1">IFERROR(__xludf.DUMMYFUNCTION("""COMPUTED_VALUE"""),"35 mins")</f>
        <v>35 mins</v>
      </c>
      <c r="AR83" t="str">
        <f ca="1">IFERROR(__xludf.DUMMYFUNCTION("""COMPUTED_VALUE"""),"")</f>
        <v/>
      </c>
    </row>
    <row r="84" spans="1:44" ht="13">
      <c r="A84" t="str">
        <f ca="1">IFERROR(__xludf.DUMMYFUNCTION("""COMPUTED_VALUE"""),"SH")</f>
        <v>SH</v>
      </c>
      <c r="B84" s="41">
        <f ca="1">IFERROR(__xludf.DUMMYFUNCTION("""COMPUTED_VALUE"""),43478)</f>
        <v>43478</v>
      </c>
      <c r="C84" t="str">
        <f ca="1">IFERROR(__xludf.DUMMYFUNCTION("""COMPUTED_VALUE"""),"JP")</f>
        <v>JP</v>
      </c>
      <c r="D84" s="28">
        <f ca="1">IFERROR(__xludf.DUMMYFUNCTION("""COMPUTED_VALUE"""),43572)</f>
        <v>43572</v>
      </c>
      <c r="E84" t="str">
        <f ca="1">IFERROR(__xludf.DUMMYFUNCTION("""COMPUTED_VALUE"""),"TRH")</f>
        <v>TRH</v>
      </c>
      <c r="F84" s="28">
        <f ca="1">IFERROR(__xludf.DUMMYFUNCTION("""COMPUTED_VALUE"""),43581)</f>
        <v>43581</v>
      </c>
      <c r="G84" t="str">
        <f ca="1">IFERROR(__xludf.DUMMYFUNCTION("""COMPUTED_VALUE"""),"")</f>
        <v/>
      </c>
      <c r="H84" t="str">
        <f ca="1">IFERROR(__xludf.DUMMYFUNCTION("""COMPUTED_VALUE"""),"2050-7488")</f>
        <v>2050-7488</v>
      </c>
      <c r="I84" t="str">
        <f ca="1">IFERROR(__xludf.DUMMYFUNCTION("""COMPUTED_VALUE"""),"Journal of Materials Chemistry. A")</f>
        <v>Journal of Materials Chemistry. A</v>
      </c>
      <c r="J84" t="str">
        <f ca="1">IFERROR(__xludf.DUMMYFUNCTION("""COMPUTED_VALUE"""),"Chemical &amp; Materials Sciences, Engineering &amp; Computer Science")</f>
        <v>Chemical &amp; Materials Sciences, Engineering &amp; Computer Science</v>
      </c>
      <c r="K84" t="str">
        <f ca="1">IFERROR(__xludf.DUMMYFUNCTION("""COMPUTED_VALUE"""),"Royal Society of Chemistry")</f>
        <v>Royal Society of Chemistry</v>
      </c>
      <c r="L84" t="str">
        <f ca="1">IFERROR(__xludf.DUMMYFUNCTION("""COMPUTED_VALUE"""),"Single blind")</f>
        <v>Single blind</v>
      </c>
      <c r="M84" s="93" t="str">
        <f ca="1">IFERROR(__xludf.DUMMYFUNCTION("""COMPUTED_VALUE"""),"http://www.rsc.org/journals-books-databases/journal-authors-reviewers/reviewer-responsibilities/#review-procedure")</f>
        <v>http://www.rsc.org/journals-books-databases/journal-authors-reviewers/reviewer-responsibilities/#review-procedure</v>
      </c>
      <c r="N84" t="str">
        <f ca="1">IFERROR(__xludf.DUMMYFUNCTION("""COMPUTED_VALUE"""),"")</f>
        <v/>
      </c>
      <c r="O84" s="93" t="str">
        <f ca="1">IFERROR(__xludf.DUMMYFUNCTION("""COMPUTED_VALUE"""),"http://www.rsc.org/journals-books-databases/journal-authors-reviewers/reviewer-responsibilities/#review-procedure")</f>
        <v>http://www.rsc.org/journals-books-databases/journal-authors-reviewers/reviewer-responsibilities/#review-procedure</v>
      </c>
      <c r="P84" t="str">
        <f ca="1">IFERROR(__xludf.DUMMYFUNCTION("""COMPUTED_VALUE"""),"Yes")</f>
        <v>Yes</v>
      </c>
      <c r="Q84" t="str">
        <f ca="1">IFERROR(__xludf.DUMMYFUNCTION("""COMPUTED_VALUE"""),"""...Authors should be aware that the reviewers’ comments are transferred to the editor of the receiving journal together with the manuscript files. On submission to the new journal, the manuscript will then be assessed by an editor as to whether further "&amp;"peer review will be necessary.""")</f>
        <v>"...Authors should be aware that the reviewers’ comments are transferred to the editor of the receiving journal together with the manuscript files. On submission to the new journal, the manuscript will then be assessed by an editor as to whether further peer review will be necessary."</v>
      </c>
      <c r="R84" s="93" t="str">
        <f ca="1">IFERROR(__xludf.DUMMYFUNCTION("""COMPUTED_VALUE"""),"http://www.rsc.org/journals-books-databases/journal-authors-reviewers/processes-policies/#transfers")</f>
        <v>http://www.rsc.org/journals-books-databases/journal-authors-reviewers/processes-policies/#transfers</v>
      </c>
      <c r="S84" t="str">
        <f ca="1">IFERROR(__xludf.DUMMYFUNCTION("""COMPUTED_VALUE"""),"Not specified")</f>
        <v>Not specified</v>
      </c>
      <c r="T84" t="str">
        <f ca="1">IFERROR(__xludf.DUMMYFUNCTION("""COMPUTED_VALUE"""),"Not specified")</f>
        <v>Not specified</v>
      </c>
      <c r="U84" t="str">
        <f ca="1">IFERROR(__xludf.DUMMYFUNCTION("""COMPUTED_VALUE"""),"Not specified")</f>
        <v>Not specified</v>
      </c>
      <c r="V84" t="str">
        <f ca="1">IFERROR(__xludf.DUMMYFUNCTION("""COMPUTED_VALUE"""),"Not specified")</f>
        <v>Not specified</v>
      </c>
      <c r="W84" t="str">
        <f ca="1">IFERROR(__xludf.DUMMYFUNCTION("""COMPUTED_VALUE"""),"Not specified")</f>
        <v>Not specified</v>
      </c>
      <c r="X84" t="str">
        <f ca="1">IFERROR(__xludf.DUMMYFUNCTION("""COMPUTED_VALUE"""),"Not specified")</f>
        <v>Not specified</v>
      </c>
      <c r="Y84" t="str">
        <f ca="1">IFERROR(__xludf.DUMMYFUNCTION("""COMPUTED_VALUE"""),"Not specified")</f>
        <v>Not specified</v>
      </c>
      <c r="Z84" t="str">
        <f ca="1">IFERROR(__xludf.DUMMYFUNCTION("""COMPUTED_VALUE"""),"Not specified")</f>
        <v>Not specified</v>
      </c>
      <c r="AA84" t="str">
        <f ca="1">IFERROR(__xludf.DUMMYFUNCTION("""COMPUTED_VALUE"""),"")</f>
        <v/>
      </c>
      <c r="AB84" t="str">
        <f ca="1">IFERROR(__xludf.DUMMYFUNCTION("""COMPUTED_VALUE"""),"Inferred that this is not allowed from the following: ""Treat the manuscript as confidential: The manuscript (or its existence) should not be shown to, disclosed to, or discussed with others, except in special cases, where specific scientific advice may b"&amp;"e sought; in that event the editor must be informed and the identities of those consulted disclosed.""")</f>
        <v>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v>
      </c>
      <c r="AC84" s="93" t="str">
        <f ca="1">IFERROR(__xludf.DUMMYFUNCTION("""COMPUTED_VALUE"""),"http://www.rsc.org/journals-books-databases/journal-authors-reviewers/reviewer-responsibilities/#review-procedure")</f>
        <v>http://www.rsc.org/journals-books-databases/journal-authors-reviewers/reviewer-responsibilities/#review-procedure</v>
      </c>
      <c r="AD84" t="str">
        <f ca="1">IFERROR(__xludf.DUMMYFUNCTION("""COMPUTED_VALUE"""),"Unsure")</f>
        <v>Unsure</v>
      </c>
      <c r="AE84" t="str">
        <f ca="1">IFERROR(__xludf.DUMMYFUNCTION("""COMPUTED_VALUE"""),"Unsure")</f>
        <v>Unsure</v>
      </c>
      <c r="AF84" t="str">
        <f ca="1">IFERROR(__xludf.DUMMYFUNCTION("""COMPUTED_VALUE"""),"Unsure")</f>
        <v>Unsure</v>
      </c>
      <c r="AG84" s="93" t="str">
        <f ca="1">IFERROR(__xludf.DUMMYFUNCTION("""COMPUTED_VALUE"""),"http://www.rsc.org/journals-books-databases/journal-authors-reviewers/processes-policies/#prior-publication")</f>
        <v>http://www.rsc.org/journals-books-databases/journal-authors-reviewers/processes-policies/#prior-publication</v>
      </c>
      <c r="AH84" t="str">
        <f ca="1">IFERROR(__xludf.DUMMYFUNCTION("""COMPUTED_VALUE"""),"First submission only (before peer review)")</f>
        <v>First submission only (before peer review)</v>
      </c>
      <c r="AI84" t="str">
        <f ca="1">IFERROR(__xludf.DUMMYFUNCTION("""COMPUTED_VALUE"""),"Through the deposition of a preprint version of the article in non-commercial repositories (eg ArXiv, ChemRxiv), institutional repositories or authors’ individual websites - a preprint is defined here as an un-refereed author version of the article; a non"&amp;"-commercial repository is defined here as any platform or archiving service that makes digital content free to deposit and access")</f>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J84" t="str">
        <f ca="1">IFERROR(__xludf.DUMMYFUNCTION("""COMPUTED_VALUE"""),"Yes, in the reference list")</f>
        <v>Yes, in the reference list</v>
      </c>
      <c r="AK84" t="str">
        <f ca="1">IFERROR(__xludf.DUMMYFUNCTION("""COMPUTED_VALUE"""),"Unsure")</f>
        <v>Unsure</v>
      </c>
      <c r="AL84" t="str">
        <f ca="1">IFERROR(__xludf.DUMMYFUNCTION("""COMPUTED_VALUE"""),"")</f>
        <v/>
      </c>
      <c r="AM84" t="str">
        <f ca="1">IFERROR(__xludf.DUMMYFUNCTION("""COMPUTED_VALUE"""),"")</f>
        <v/>
      </c>
      <c r="AN84" t="str">
        <f ca="1">IFERROR(__xludf.DUMMYFUNCTION("""COMPUTED_VALUE"""),"")</f>
        <v/>
      </c>
      <c r="AO84" t="str">
        <f ca="1">IFERROR(__xludf.DUMMYFUNCTION("""COMPUTED_VALUE"""),"")</f>
        <v/>
      </c>
      <c r="AP84" t="str">
        <f ca="1">IFERROR(__xludf.DUMMYFUNCTION("""COMPUTED_VALUE"""),"Most sources of info are from the RSC website")</f>
        <v>Most sources of info are from the RSC website</v>
      </c>
      <c r="AQ84" t="str">
        <f ca="1">IFERROR(__xludf.DUMMYFUNCTION("""COMPUTED_VALUE"""),"30 mins")</f>
        <v>30 mins</v>
      </c>
      <c r="AR84" t="str">
        <f ca="1">IFERROR(__xludf.DUMMYFUNCTION("""COMPUTED_VALUE"""),"")</f>
        <v/>
      </c>
    </row>
    <row r="85" spans="1:44" ht="13">
      <c r="A85" t="str">
        <f ca="1">IFERROR(__xludf.DUMMYFUNCTION("""COMPUTED_VALUE"""),"SH")</f>
        <v>SH</v>
      </c>
      <c r="B85" s="41">
        <f ca="1">IFERROR(__xludf.DUMMYFUNCTION("""COMPUTED_VALUE"""),43478)</f>
        <v>43478</v>
      </c>
      <c r="C85" t="str">
        <f ca="1">IFERROR(__xludf.DUMMYFUNCTION("""COMPUTED_VALUE"""),"JP")</f>
        <v>JP</v>
      </c>
      <c r="D85" s="28">
        <f ca="1">IFERROR(__xludf.DUMMYFUNCTION("""COMPUTED_VALUE"""),43572)</f>
        <v>43572</v>
      </c>
      <c r="E85" t="str">
        <f ca="1">IFERROR(__xludf.DUMMYFUNCTION("""COMPUTED_VALUE"""),"TRH")</f>
        <v>TRH</v>
      </c>
      <c r="F85" s="28">
        <f ca="1">IFERROR(__xludf.DUMMYFUNCTION("""COMPUTED_VALUE"""),43581)</f>
        <v>43581</v>
      </c>
      <c r="G85" t="str">
        <f ca="1">IFERROR(__xludf.DUMMYFUNCTION("""COMPUTED_VALUE"""),"")</f>
        <v/>
      </c>
      <c r="H85" t="str">
        <f ca="1">IFERROR(__xludf.DUMMYFUNCTION("""COMPUTED_VALUE"""),"0378-2166")</f>
        <v>0378-2166</v>
      </c>
      <c r="I85" t="str">
        <f ca="1">IFERROR(__xludf.DUMMYFUNCTION("""COMPUTED_VALUE"""),"Journal of Pragmatics")</f>
        <v>Journal of Pragmatics</v>
      </c>
      <c r="J85" t="str">
        <f ca="1">IFERROR(__xludf.DUMMYFUNCTION("""COMPUTED_VALUE"""),"Humanities, Literature &amp; Arts")</f>
        <v>Humanities, Literature &amp; Arts</v>
      </c>
      <c r="K85" t="str">
        <f ca="1">IFERROR(__xludf.DUMMYFUNCTION("""COMPUTED_VALUE"""),"Elsevier")</f>
        <v>Elsevier</v>
      </c>
      <c r="L85" t="str">
        <f ca="1">IFERROR(__xludf.DUMMYFUNCTION("""COMPUTED_VALUE"""),"Double blind")</f>
        <v>Double blind</v>
      </c>
      <c r="M85" s="93" t="str">
        <f ca="1">IFERROR(__xludf.DUMMYFUNCTION("""COMPUTED_VALUE"""),"https://www.journals.elsevier.com/journal-of-pragmatics/policies/peer-review-policy-for-the-journal-of-pragmatics")</f>
        <v>https://www.journals.elsevier.com/journal-of-pragmatics/policies/peer-review-policy-for-the-journal-of-pragmatics</v>
      </c>
      <c r="N85" t="str">
        <f ca="1">IFERROR(__xludf.DUMMYFUNCTION("""COMPUTED_VALUE"""),"")</f>
        <v/>
      </c>
      <c r="O85" t="str">
        <f ca="1">IFERROR(__xludf.DUMMYFUNCTION("""COMPUTED_VALUE"""),"")</f>
        <v/>
      </c>
      <c r="P85" t="str">
        <f ca="1">IFERROR(__xludf.DUMMYFUNCTION("""COMPUTED_VALUE"""),"Unsure")</f>
        <v>Unsure</v>
      </c>
      <c r="Q85" t="str">
        <f ca="1">IFERROR(__xludf.DUMMYFUNCTION("""COMPUTED_VALUE"""),"via Elsevier’s Article Transfer Service (ATS)")</f>
        <v>via Elsevier’s Article Transfer Service (ATS)</v>
      </c>
      <c r="R85" s="93" t="str">
        <f ca="1">IFERROR(__xludf.DUMMYFUNCTION("""COMPUTED_VALUE"""),"https://www.elsevier.com/authors/journal-authors/submit-your-paper/submit-and-revise/article-transfer-service")</f>
        <v>https://www.elsevier.com/authors/journal-authors/submit-your-paper/submit-and-revise/article-transfer-service</v>
      </c>
      <c r="S85" t="str">
        <f ca="1">IFERROR(__xludf.DUMMYFUNCTION("""COMPUTED_VALUE"""),"Not specified")</f>
        <v>Not specified</v>
      </c>
      <c r="T85" t="str">
        <f ca="1">IFERROR(__xludf.DUMMYFUNCTION("""COMPUTED_VALUE"""),"Not specified")</f>
        <v>Not specified</v>
      </c>
      <c r="U85" t="str">
        <f ca="1">IFERROR(__xludf.DUMMYFUNCTION("""COMPUTED_VALUE"""),"Not specified")</f>
        <v>Not specified</v>
      </c>
      <c r="V85" t="str">
        <f ca="1">IFERROR(__xludf.DUMMYFUNCTION("""COMPUTED_VALUE"""),"Not specified")</f>
        <v>Not specified</v>
      </c>
      <c r="W85" t="str">
        <f ca="1">IFERROR(__xludf.DUMMYFUNCTION("""COMPUTED_VALUE"""),"Not specified")</f>
        <v>Not specified</v>
      </c>
      <c r="X85" t="str">
        <f ca="1">IFERROR(__xludf.DUMMYFUNCTION("""COMPUTED_VALUE"""),"Not specified")</f>
        <v>Not specified</v>
      </c>
      <c r="Y85" t="str">
        <f ca="1">IFERROR(__xludf.DUMMYFUNCTION("""COMPUTED_VALUE"""),"Not specified")</f>
        <v>Not specified</v>
      </c>
      <c r="Z85" t="str">
        <f ca="1">IFERROR(__xludf.DUMMYFUNCTION("""COMPUTED_VALUE"""),"Not specified")</f>
        <v>Not specified</v>
      </c>
      <c r="AA85" t="str">
        <f ca="1">IFERROR(__xludf.DUMMYFUNCTION("""COMPUTED_VALUE"""),"")</f>
        <v/>
      </c>
      <c r="AB85" t="str">
        <f ca="1">IFERROR(__xludf.DUMMYFUNCTION("""COMPUTED_VALUE"""),"")</f>
        <v/>
      </c>
      <c r="AC85" t="str">
        <f ca="1">IFERROR(__xludf.DUMMYFUNCTION("""COMPUTED_VALUE"""),"")</f>
        <v/>
      </c>
      <c r="AD85" t="str">
        <f ca="1">IFERROR(__xludf.DUMMYFUNCTION("""COMPUTED_VALUE"""),"Unsure")</f>
        <v>Unsure</v>
      </c>
      <c r="AE85" t="str">
        <f ca="1">IFERROR(__xludf.DUMMYFUNCTION("""COMPUTED_VALUE"""),"Unsure")</f>
        <v>Unsure</v>
      </c>
      <c r="AF85" t="str">
        <f ca="1">IFERROR(__xludf.DUMMYFUNCTION("""COMPUTED_VALUE"""),"Unsure")</f>
        <v>Unsure</v>
      </c>
      <c r="AG85" t="str">
        <f ca="1">IFERROR(__xludf.DUMMYFUNCTION("""COMPUTED_VALUE"""),"https://www.elsevier.com/about/policies/copyright/permissions, https://www.elsevier.com/about/policies/sharing")</f>
        <v>https://www.elsevier.com/about/policies/copyright/permissions, https://www.elsevier.com/about/policies/sharing</v>
      </c>
      <c r="AH85" t="str">
        <f ca="1">IFERROR(__xludf.DUMMYFUNCTION("""COMPUTED_VALUE"""),"After peer review (but not final, copyedited version)")</f>
        <v>After peer review (but not final, copyedited version)</v>
      </c>
      <c r="AI85" t="str">
        <f ca="1">IFERROR(__xludf.DUMMYFUNCTION("""COMPUTED_VALUE"""),"""Yes, you can post your preprint, which is your own write up of your results and analysis, anywhere at any time.
 If you have posted your preprint on ArXiv, which is a non-commercial preprint server, you can also immediately update this version with yo"&amp;"ur accepted manuscript.""")</f>
        <v>"Yes, you can post your preprint, which is your own write up of your results and analysis, anywhere at any time.
 If you have posted your preprint on ArXiv, which is a non-commercial preprint server, you can also immediately update this version with your accepted manuscript."</v>
      </c>
      <c r="AJ85" t="str">
        <f ca="1">IFERROR(__xludf.DUMMYFUNCTION("""COMPUTED_VALUE"""),"Unsure")</f>
        <v>Unsure</v>
      </c>
      <c r="AK85" t="str">
        <f ca="1">IFERROR(__xludf.DUMMYFUNCTION("""COMPUTED_VALUE"""),"Unsure")</f>
        <v>Unsure</v>
      </c>
      <c r="AL85" t="str">
        <f ca="1">IFERROR(__xludf.DUMMYFUNCTION("""COMPUTED_VALUE"""),"")</f>
        <v/>
      </c>
      <c r="AM85" t="str">
        <f ca="1">IFERROR(__xludf.DUMMYFUNCTION("""COMPUTED_VALUE"""),"")</f>
        <v/>
      </c>
      <c r="AN85" t="str">
        <f ca="1">IFERROR(__xludf.DUMMYFUNCTION("""COMPUTED_VALUE"""),"")</f>
        <v/>
      </c>
      <c r="AO85" t="str">
        <f ca="1">IFERROR(__xludf.DUMMYFUNCTION("""COMPUTED_VALUE"""),"")</f>
        <v/>
      </c>
      <c r="AP85" t="str">
        <f ca="1">IFERROR(__xludf.DUMMYFUNCTION("""COMPUTED_VALUE"""),"O30: ""You are always able to share the preprint version or a link to your article. For authors who have published their article open access under a commercial license (CC BY) you can also post your final article.""")</f>
        <v>O30: "You are always able to share the preprint version or a link to your article. For authors who have published their article open access under a commercial license (CC BY) you can also post your final article."</v>
      </c>
      <c r="AQ85" t="str">
        <f ca="1">IFERROR(__xludf.DUMMYFUNCTION("""COMPUTED_VALUE"""),"30 mins")</f>
        <v>30 mins</v>
      </c>
      <c r="AR85" t="str">
        <f ca="1">IFERROR(__xludf.DUMMYFUNCTION("""COMPUTED_VALUE"""),"No specific journal policy - should we trust the Elsevier parent policy, which does say that society &amp; double blind journals may have different policies?")</f>
        <v>No specific journal policy - should we trust the Elsevier parent policy, which does say that society &amp; double blind journals may have different policies?</v>
      </c>
    </row>
    <row r="86" spans="1:44" ht="13">
      <c r="A86" t="str">
        <f ca="1">IFERROR(__xludf.DUMMYFUNCTION("""COMPUTED_VALUE"""),"SH")</f>
        <v>SH</v>
      </c>
      <c r="B86" s="41">
        <f ca="1">IFERROR(__xludf.DUMMYFUNCTION("""COMPUTED_VALUE"""),43479)</f>
        <v>43479</v>
      </c>
      <c r="C86" t="str">
        <f ca="1">IFERROR(__xludf.DUMMYFUNCTION("""COMPUTED_VALUE"""),"JP")</f>
        <v>JP</v>
      </c>
      <c r="D86" s="28">
        <f ca="1">IFERROR(__xludf.DUMMYFUNCTION("""COMPUTED_VALUE"""),43572)</f>
        <v>43572</v>
      </c>
      <c r="E86" t="str">
        <f ca="1">IFERROR(__xludf.DUMMYFUNCTION("""COMPUTED_VALUE"""),"TRH")</f>
        <v>TRH</v>
      </c>
      <c r="F86" s="28">
        <f ca="1">IFERROR(__xludf.DUMMYFUNCTION("""COMPUTED_VALUE"""),43581)</f>
        <v>43581</v>
      </c>
      <c r="G86" t="str">
        <f ca="1">IFERROR(__xludf.DUMMYFUNCTION("""COMPUTED_VALUE"""),"")</f>
        <v/>
      </c>
      <c r="H86" t="str">
        <f ca="1">IFERROR(__xludf.DUMMYFUNCTION("""COMPUTED_VALUE"""),"1520-5126")</f>
        <v>1520-5126</v>
      </c>
      <c r="I86" t="str">
        <f ca="1">IFERROR(__xludf.DUMMYFUNCTION("""COMPUTED_VALUE"""),"Journal of the American Chemical Society")</f>
        <v>Journal of the American Chemical Society</v>
      </c>
      <c r="J86" t="str">
        <f ca="1">IFERROR(__xludf.DUMMYFUNCTION("""COMPUTED_VALUE"""),"Chemical &amp; Materials Sciences")</f>
        <v>Chemical &amp; Materials Sciences</v>
      </c>
      <c r="K86" t="str">
        <f ca="1">IFERROR(__xludf.DUMMYFUNCTION("""COMPUTED_VALUE"""),"ACS Publications")</f>
        <v>ACS Publications</v>
      </c>
      <c r="L86" t="str">
        <f ca="1">IFERROR(__xludf.DUMMYFUNCTION("""COMPUTED_VALUE"""),"Single blind")</f>
        <v>Single blind</v>
      </c>
      <c r="M86" s="93" t="str">
        <f ca="1">IFERROR(__xludf.DUMMYFUNCTION("""COMPUTED_VALUE"""),"http://pubs.acs.org/paragonplus/submission/jacsat/jacsat_authguide.pdf")</f>
        <v>http://pubs.acs.org/paragonplus/submission/jacsat/jacsat_authguide.pdf</v>
      </c>
      <c r="N86" t="str">
        <f ca="1">IFERROR(__xludf.DUMMYFUNCTION("""COMPUTED_VALUE"""),"")</f>
        <v/>
      </c>
      <c r="O86" t="str">
        <f ca="1">IFERROR(__xludf.DUMMYFUNCTION("""COMPUTED_VALUE"""),"")</f>
        <v/>
      </c>
      <c r="P86" t="str">
        <f ca="1">IFERROR(__xludf.DUMMYFUNCTION("""COMPUTED_VALUE"""),"Unsure")</f>
        <v>Unsure</v>
      </c>
      <c r="Q86" t="str">
        <f ca="1">IFERROR(__xludf.DUMMYFUNCTION("""COMPUTED_VALUE"""),"""...For manuscripts that have been peer reviewed, the reviews, reviewer identities, and ACS editor’s decision letter will also be provided to the next journal.""")</f>
        <v>"...For manuscripts that have been peer reviewed, the reviews, reviewer identities, and ACS editor’s decision letter will also be provided to the next journal."</v>
      </c>
      <c r="R86" s="93" t="str">
        <f ca="1">IFERROR(__xludf.DUMMYFUNCTION("""COMPUTED_VALUE"""),"https://pubs.acs.org/page/policy/manuscript_transfer/index.html")</f>
        <v>https://pubs.acs.org/page/policy/manuscript_transfer/index.html</v>
      </c>
      <c r="S86" t="str">
        <f ca="1">IFERROR(__xludf.DUMMYFUNCTION("""COMPUTED_VALUE"""),"Not specified")</f>
        <v>Not specified</v>
      </c>
      <c r="T86" t="str">
        <f ca="1">IFERROR(__xludf.DUMMYFUNCTION("""COMPUTED_VALUE"""),"Not specified")</f>
        <v>Not specified</v>
      </c>
      <c r="U86" t="str">
        <f ca="1">IFERROR(__xludf.DUMMYFUNCTION("""COMPUTED_VALUE"""),"not specified")</f>
        <v>not specified</v>
      </c>
      <c r="V86" t="str">
        <f ca="1">IFERROR(__xludf.DUMMYFUNCTION("""COMPUTED_VALUE"""),"Not specified")</f>
        <v>Not specified</v>
      </c>
      <c r="W86" t="str">
        <f ca="1">IFERROR(__xludf.DUMMYFUNCTION("""COMPUTED_VALUE"""),"Not specified")</f>
        <v>Not specified</v>
      </c>
      <c r="X86" t="str">
        <f ca="1">IFERROR(__xludf.DUMMYFUNCTION("""COMPUTED_VALUE"""),"No")</f>
        <v>No</v>
      </c>
      <c r="Y86" t="str">
        <f ca="1">IFERROR(__xludf.DUMMYFUNCTION("""COMPUTED_VALUE"""),"Not specified")</f>
        <v>Not specified</v>
      </c>
      <c r="Z86" t="str">
        <f ca="1">IFERROR(__xludf.DUMMYFUNCTION("""COMPUTED_VALUE"""),"Not specified")</f>
        <v>Not specified</v>
      </c>
      <c r="AA86" t="str">
        <f ca="1">IFERROR(__xludf.DUMMYFUNCTION("""COMPUTED_VALUE"""),"")</f>
        <v/>
      </c>
      <c r="AB86" t="str">
        <f ca="1">IFERROR(__xludf.DUMMYFUNCTION("""COMPUTED_VALUE"""),"")</f>
        <v/>
      </c>
      <c r="AC86" t="str">
        <f ca="1">IFERROR(__xludf.DUMMYFUNCTION("""COMPUTED_VALUE"""),"")</f>
        <v/>
      </c>
      <c r="AD86" t="str">
        <f ca="1">IFERROR(__xludf.DUMMYFUNCTION("""COMPUTED_VALUE"""),"Unsure")</f>
        <v>Unsure</v>
      </c>
      <c r="AE86" t="str">
        <f ca="1">IFERROR(__xludf.DUMMYFUNCTION("""COMPUTED_VALUE"""),"Unsure")</f>
        <v>Unsure</v>
      </c>
      <c r="AF86" t="str">
        <f ca="1">IFERROR(__xludf.DUMMYFUNCTION("""COMPUTED_VALUE"""),"Unsure")</f>
        <v>Unsure</v>
      </c>
      <c r="AG86" s="93" t="str">
        <f ca="1">IFERROR(__xludf.DUMMYFUNCTION("""COMPUTED_VALUE"""),"http://pubs.acs.org/paragonplus/submission/jacsat/jacsat_authguide.pdf")</f>
        <v>http://pubs.acs.org/paragonplus/submission/jacsat/jacsat_authguide.pdf</v>
      </c>
      <c r="AH86" t="str">
        <f ca="1">IFERROR(__xludf.DUMMYFUNCTION("""COMPUTED_VALUE"""),"After peer review (but not final, copyedited version)")</f>
        <v>After peer review (but not final, copyedited version)</v>
      </c>
      <c r="AI86" t="str">
        <f ca="1">IFERROR(__xludf.DUMMYFUNCTION("""COMPUTED_VALUE"""),"""Journal of the American Chemical Society authors may deposit an initial draft of their manuscript in a preprint service such as ChemRxiv, bioRxiv, arXiv, or the applicable repository for their discipline before the manuscript is accepted for publication"&amp;" in the Journal of the American Chemical Society. Authors may revise the preprint version of their manuscript up until a final acceptance decision has been issued. """)</f>
        <v>"Journal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v>
      </c>
      <c r="AJ86" t="str">
        <f ca="1">IFERROR(__xludf.DUMMYFUNCTION("""COMPUTED_VALUE"""),"Unsure")</f>
        <v>Unsure</v>
      </c>
      <c r="AK86" t="str">
        <f ca="1">IFERROR(__xludf.DUMMYFUNCTION("""COMPUTED_VALUE"""),"Unsure")</f>
        <v>Unsure</v>
      </c>
      <c r="AL86" t="str">
        <f ca="1">IFERROR(__xludf.DUMMYFUNCTION("""COMPUTED_VALUE"""),"")</f>
        <v/>
      </c>
      <c r="AM86" t="str">
        <f ca="1">IFERROR(__xludf.DUMMYFUNCTION("""COMPUTED_VALUE"""),"")</f>
        <v/>
      </c>
      <c r="AN86" t="str">
        <f ca="1">IFERROR(__xludf.DUMMYFUNCTION("""COMPUTED_VALUE"""),"")</f>
        <v/>
      </c>
      <c r="AO86" t="str">
        <f ca="1">IFERROR(__xludf.DUMMYFUNCTION("""COMPUTED_VALUE"""),"")</f>
        <v/>
      </c>
      <c r="AP86" t="str">
        <f ca="1">IFERROR(__xludf.DUMMYFUNCTION("""COMPUTED_VALUE"""),"P8: is based on ""Reviewer identities are confidential, and the names of reviewers will not be
 revealed to an author."" P30: May be ok to post accepted version too (Typeset version?): ""There are many ways in which your Journal Publishing Agreement with "&amp;"the American Chemical Society enables you to share your published research with colleagues. Here are just a few:
 Deposit a copy of your accepted peer-reviewed manuscript to online repositories for non-commercial purposes;""")</f>
        <v>P8: is based on "Reviewer identities are confidential, and the names of reviewers will not be
 revealed to an author." P30: May be ok to post accepted version too (Typeset version?): "There are many ways in which your Journal Publishing Agreement with the American Chemical Society enables you to share your published research with colleagues. Here are just a few:
 Deposit a copy of your accepted peer-reviewed manuscript to online repositories for non-commercial purposes;"</v>
      </c>
      <c r="AQ86" t="str">
        <f ca="1">IFERROR(__xludf.DUMMYFUNCTION("""COMPUTED_VALUE"""),"30 mins")</f>
        <v>30 mins</v>
      </c>
      <c r="AR86" t="str">
        <f ca="1">IFERROR(__xludf.DUMMYFUNCTION("""COMPUTED_VALUE"""),"")</f>
        <v/>
      </c>
    </row>
    <row r="87" spans="1:44" ht="13">
      <c r="A87" t="str">
        <f ca="1">IFERROR(__xludf.DUMMYFUNCTION("""COMPUTED_VALUE"""),"SH")</f>
        <v>SH</v>
      </c>
      <c r="B87" s="41">
        <f ca="1">IFERROR(__xludf.DUMMYFUNCTION("""COMPUTED_VALUE"""),43479)</f>
        <v>43479</v>
      </c>
      <c r="C87" t="str">
        <f ca="1">IFERROR(__xludf.DUMMYFUNCTION("""COMPUTED_VALUE"""),"JP")</f>
        <v>JP</v>
      </c>
      <c r="D87" s="28">
        <f ca="1">IFERROR(__xludf.DUMMYFUNCTION("""COMPUTED_VALUE"""),43566)</f>
        <v>43566</v>
      </c>
      <c r="E87" t="str">
        <f ca="1">IFERROR(__xludf.DUMMYFUNCTION("""COMPUTED_VALUE"""),"TRH")</f>
        <v>TRH</v>
      </c>
      <c r="F87" s="28">
        <f ca="1">IFERROR(__xludf.DUMMYFUNCTION("""COMPUTED_VALUE"""),43581)</f>
        <v>43581</v>
      </c>
      <c r="G87" s="28" t="str">
        <f ca="1">IFERROR(__xludf.DUMMYFUNCTION("""COMPUTED_VALUE"""),"")</f>
        <v/>
      </c>
      <c r="H87" t="str">
        <f ca="1">IFERROR(__xludf.DUMMYFUNCTION("""COMPUTED_VALUE"""),"0735-1097")</f>
        <v>0735-1097</v>
      </c>
      <c r="I87" t="str">
        <f ca="1">IFERROR(__xludf.DUMMYFUNCTION("""COMPUTED_VALUE"""),"Journal of the American College of Cardiology")</f>
        <v>Journal of the American College of Cardiology</v>
      </c>
      <c r="J87" t="str">
        <f ca="1">IFERROR(__xludf.DUMMYFUNCTION("""COMPUTED_VALUE"""),"Health &amp; Medical Sciences")</f>
        <v>Health &amp; Medical Sciences</v>
      </c>
      <c r="K87" t="str">
        <f ca="1">IFERROR(__xludf.DUMMYFUNCTION("""COMPUTED_VALUE"""),"American College of Cardiology, Elsevier")</f>
        <v>American College of Cardiology, Elsevier</v>
      </c>
      <c r="L87" t="str">
        <f ca="1">IFERROR(__xludf.DUMMYFUNCTION("""COMPUTED_VALUE"""),"Single blind")</f>
        <v>Single blind</v>
      </c>
      <c r="M87" s="93" t="str">
        <f ca="1">IFERROR(__xludf.DUMMYFUNCTION("""COMPUTED_VALUE"""),"http://www.onlinejacc.org/content/73/2/A28")</f>
        <v>http://www.onlinejacc.org/content/73/2/A28</v>
      </c>
      <c r="N87" t="str">
        <f ca="1">IFERROR(__xludf.DUMMYFUNCTION("""COMPUTED_VALUE"""),"")</f>
        <v/>
      </c>
      <c r="O87" t="str">
        <f ca="1">IFERROR(__xludf.DUMMYFUNCTION("""COMPUTED_VALUE"""),"")</f>
        <v/>
      </c>
      <c r="P87" t="str">
        <f ca="1">IFERROR(__xludf.DUMMYFUNCTION("""COMPUTED_VALUE"""),"Unsure")</f>
        <v>Unsure</v>
      </c>
      <c r="Q87" t="str">
        <f ca="1">IFERROR(__xludf.DUMMYFUNCTION("""COMPUTED_VALUE"""),"")</f>
        <v/>
      </c>
      <c r="R87" t="str">
        <f ca="1">IFERROR(__xludf.DUMMYFUNCTION("""COMPUTED_VALUE"""),"")</f>
        <v/>
      </c>
      <c r="S87" t="str">
        <f ca="1">IFERROR(__xludf.DUMMYFUNCTION("""COMPUTED_VALUE"""),"Not specified")</f>
        <v>Not specified</v>
      </c>
      <c r="T87" t="str">
        <f ca="1">IFERROR(__xludf.DUMMYFUNCTION("""COMPUTED_VALUE"""),"Not specified")</f>
        <v>Not specified</v>
      </c>
      <c r="U87" t="str">
        <f ca="1">IFERROR(__xludf.DUMMYFUNCTION("""COMPUTED_VALUE"""),"Not specified")</f>
        <v>Not specified</v>
      </c>
      <c r="V87" t="str">
        <f ca="1">IFERROR(__xludf.DUMMYFUNCTION("""COMPUTED_VALUE"""),"Not specified")</f>
        <v>Not specified</v>
      </c>
      <c r="W87" t="str">
        <f ca="1">IFERROR(__xludf.DUMMYFUNCTION("""COMPUTED_VALUE"""),"Not specified")</f>
        <v>Not specified</v>
      </c>
      <c r="X87" t="str">
        <f ca="1">IFERROR(__xludf.DUMMYFUNCTION("""COMPUTED_VALUE"""),"Not specified")</f>
        <v>Not specified</v>
      </c>
      <c r="Y87" t="str">
        <f ca="1">IFERROR(__xludf.DUMMYFUNCTION("""COMPUTED_VALUE"""),"Not specified")</f>
        <v>Not specified</v>
      </c>
      <c r="Z87" t="str">
        <f ca="1">IFERROR(__xludf.DUMMYFUNCTION("""COMPUTED_VALUE"""),"No")</f>
        <v>No</v>
      </c>
      <c r="AA87" t="str">
        <f ca="1">IFERROR(__xludf.DUMMYFUNCTION("""COMPUTED_VALUE"""),"Not open interaction for reviewers, but for editors: ""Once 2 reviews have been completed, the submission is reviewed by all JACC associate editors in a weekly meeting. The group then comes to [a decision]"" http://www.onlinejacc.org/content/73/14/A18")</f>
        <v>Not open interaction for reviewers, but for editors: "Once 2 reviews have been completed, the submission is reviewed by all JACC associate editors in a weekly meeting. The group then comes to [a decision]" http://www.onlinejacc.org/content/73/14/A18</v>
      </c>
      <c r="AB87" t="str">
        <f ca="1">IFERROR(__xludf.DUMMYFUNCTION("""COMPUTED_VALUE"""),"")</f>
        <v/>
      </c>
      <c r="AC87" t="str">
        <f ca="1">IFERROR(__xludf.DUMMYFUNCTION("""COMPUTED_VALUE"""),"")</f>
        <v/>
      </c>
      <c r="AD87" t="str">
        <f ca="1">IFERROR(__xludf.DUMMYFUNCTION("""COMPUTED_VALUE"""),"Unsure")</f>
        <v>Unsure</v>
      </c>
      <c r="AE87" t="str">
        <f ca="1">IFERROR(__xludf.DUMMYFUNCTION("""COMPUTED_VALUE"""),"Unsure")</f>
        <v>Unsure</v>
      </c>
      <c r="AF87" t="str">
        <f ca="1">IFERROR(__xludf.DUMMYFUNCTION("""COMPUTED_VALUE"""),"Unsure")</f>
        <v>Unsure</v>
      </c>
      <c r="AG87" s="93" t="str">
        <f ca="1">IFERROR(__xludf.DUMMYFUNCTION("""COMPUTED_VALUE"""),"http://www.onlinejacc.org/content/73/2/A28")</f>
        <v>http://www.onlinejacc.org/content/73/2/A28</v>
      </c>
      <c r="AH87" t="str">
        <f ca="1">IFERROR(__xludf.DUMMYFUNCTION("""COMPUTED_VALUE"""),"None (preprints are not allowed)")</f>
        <v>None (preprints are not allowed)</v>
      </c>
      <c r="AI87" t="str">
        <f ca="1">IFERROR(__xludf.DUMMYFUNCTION("""COMPUTED_VALUE"""),"")</f>
        <v/>
      </c>
      <c r="AJ87" t="str">
        <f ca="1">IFERROR(__xludf.DUMMYFUNCTION("""COMPUTED_VALUE"""),"Not specified")</f>
        <v>Not specified</v>
      </c>
      <c r="AK87" t="str">
        <f ca="1">IFERROR(__xludf.DUMMYFUNCTION("""COMPUTED_VALUE"""),"No")</f>
        <v>No</v>
      </c>
      <c r="AL87" t="str">
        <f ca="1">IFERROR(__xludf.DUMMYFUNCTION("""COMPUTED_VALUE"""),"")</f>
        <v/>
      </c>
      <c r="AM87" t="str">
        <f ca="1">IFERROR(__xludf.DUMMYFUNCTION("""COMPUTED_VALUE"""),"")</f>
        <v/>
      </c>
      <c r="AN87" t="str">
        <f ca="1">IFERROR(__xludf.DUMMYFUNCTION("""COMPUTED_VALUE"""),"")</f>
        <v/>
      </c>
      <c r="AO87" t="str">
        <f ca="1">IFERROR(__xludf.DUMMYFUNCTION("""COMPUTED_VALUE"""),"")</f>
        <v/>
      </c>
      <c r="AP87" t="str">
        <f ca="1">IFERROR(__xludf.DUMMYFUNCTION("""COMPUTED_VALUE"""),"Sadly, this is a fatastic example of a very restrictive preprint policy ""Public dissemination of manuscripts prior to, simultaneous with, or following submission to this journal, such as posting the manuscript on preprint servers or other repositories, i"&amp;"s discouraged. We ask that authors disclose this information during the submission process, as the JACC Journals will not accept submissions that have previously posted on a preprint server. The Published Journal Article cannot be shared publicly, for exa"&amp;"mple on ResearchGate or Academia.edu, to ensure the sustainability of peer-reviewed research in journal publications."" Q22: ""...although there are exceptions, the reviewers are blinded to each other."". Interesting interactive model for PR on editorial "&amp;"side (editors make group decisions on manuscripts).")</f>
        <v>Sadly, this is a fatastic example of a very restrictive preprint policy "Public dissemination of manuscripts prior to, simultaneous with, or following submission to this journal, such as posting the manuscript on preprint servers or other repositories, is discouraged. We ask that authors disclose this information during the submission process, as the JACC Journals will not accept submissions that have previously posted on a preprint server. The Published Journal Article cannot be shared publicly, for example on ResearchGate or Academia.edu, to ensure the sustainability of peer-reviewed research in journal publications." Q22: "...although there are exceptions, the reviewers are blinded to each other.". Interesting interactive model for PR on editorial side (editors make group decisions on manuscripts).</v>
      </c>
      <c r="AQ87" t="str">
        <f ca="1">IFERROR(__xludf.DUMMYFUNCTION("""COMPUTED_VALUE"""),"30 mins")</f>
        <v>30 mins</v>
      </c>
      <c r="AR87" t="str">
        <f ca="1">IFERROR(__xludf.DUMMYFUNCTION("""COMPUTED_VALUE"""),"")</f>
        <v/>
      </c>
    </row>
    <row r="88" spans="1:44" ht="13">
      <c r="A88" t="str">
        <f ca="1">IFERROR(__xludf.DUMMYFUNCTION("""COMPUTED_VALUE"""),"SH")</f>
        <v>SH</v>
      </c>
      <c r="B88" s="41">
        <f ca="1">IFERROR(__xludf.DUMMYFUNCTION("""COMPUTED_VALUE"""),43479)</f>
        <v>43479</v>
      </c>
      <c r="C88" t="str">
        <f ca="1">IFERROR(__xludf.DUMMYFUNCTION("""COMPUTED_VALUE"""),"JP")</f>
        <v>JP</v>
      </c>
      <c r="D88" s="28">
        <f ca="1">IFERROR(__xludf.DUMMYFUNCTION("""COMPUTED_VALUE"""),43566)</f>
        <v>43566</v>
      </c>
      <c r="E88" t="str">
        <f ca="1">IFERROR(__xludf.DUMMYFUNCTION("""COMPUTED_VALUE"""),"TRH")</f>
        <v>TRH</v>
      </c>
      <c r="F88" s="28">
        <f ca="1">IFERROR(__xludf.DUMMYFUNCTION("""COMPUTED_VALUE"""),43581)</f>
        <v>43581</v>
      </c>
      <c r="G88" s="28" t="str">
        <f ca="1">IFERROR(__xludf.DUMMYFUNCTION("""COMPUTED_VALUE"""),"")</f>
        <v/>
      </c>
      <c r="H88" t="str">
        <f ca="1">IFERROR(__xludf.DUMMYFUNCTION("""COMPUTED_VALUE"""),"1573-6601")</f>
        <v>1573-6601</v>
      </c>
      <c r="I88" t="str">
        <f ca="1">IFERROR(__xludf.DUMMYFUNCTION("""COMPUTED_VALUE"""),"Journal of Youth and Adolescence")</f>
        <v>Journal of Youth and Adolescence</v>
      </c>
      <c r="J88" t="str">
        <f ca="1">IFERROR(__xludf.DUMMYFUNCTION("""COMPUTED_VALUE"""),"Social Sciences")</f>
        <v>Social Sciences</v>
      </c>
      <c r="K88" t="str">
        <f ca="1">IFERROR(__xludf.DUMMYFUNCTION("""COMPUTED_VALUE"""),"Springer")</f>
        <v>Springer</v>
      </c>
      <c r="L88" t="str">
        <f ca="1">IFERROR(__xludf.DUMMYFUNCTION("""COMPUTED_VALUE"""),"Double blind")</f>
        <v>Double blind</v>
      </c>
      <c r="M88" s="93" t="str">
        <f ca="1">IFERROR(__xludf.DUMMYFUNCTION("""COMPUTED_VALUE"""),"https://www.springer.com/psychology/child+%26+school+psychology/journal/10964?detailsPage=pltci_1692324")</f>
        <v>https://www.springer.com/psychology/child+%26+school+psychology/journal/10964?detailsPage=pltci_1692324</v>
      </c>
      <c r="N88" t="str">
        <f ca="1">IFERROR(__xludf.DUMMYFUNCTION("""COMPUTED_VALUE"""),"")</f>
        <v/>
      </c>
      <c r="O88" t="str">
        <f ca="1">IFERROR(__xludf.DUMMYFUNCTION("""COMPUTED_VALUE"""),"")</f>
        <v/>
      </c>
      <c r="P88" t="str">
        <f ca="1">IFERROR(__xludf.DUMMYFUNCTION("""COMPUTED_VALUE"""),"Unsure")</f>
        <v>Unsure</v>
      </c>
      <c r="Q88" t="str">
        <f ca="1">IFERROR(__xludf.DUMMYFUNCTION("""COMPUTED_VALUE"""),"")</f>
        <v/>
      </c>
      <c r="R88" t="str">
        <f ca="1">IFERROR(__xludf.DUMMYFUNCTION("""COMPUTED_VALUE"""),"")</f>
        <v/>
      </c>
      <c r="S88" t="str">
        <f ca="1">IFERROR(__xludf.DUMMYFUNCTION("""COMPUTED_VALUE"""),"Not specified")</f>
        <v>Not specified</v>
      </c>
      <c r="T88" t="str">
        <f ca="1">IFERROR(__xludf.DUMMYFUNCTION("""COMPUTED_VALUE"""),"Not specified")</f>
        <v>Not specified</v>
      </c>
      <c r="U88" t="str">
        <f ca="1">IFERROR(__xludf.DUMMYFUNCTION("""COMPUTED_VALUE"""),"Not specified")</f>
        <v>Not specified</v>
      </c>
      <c r="V88" t="str">
        <f ca="1">IFERROR(__xludf.DUMMYFUNCTION("""COMPUTED_VALUE"""),"Not specified")</f>
        <v>Not specified</v>
      </c>
      <c r="W88" t="str">
        <f ca="1">IFERROR(__xludf.DUMMYFUNCTION("""COMPUTED_VALUE"""),"Not specified")</f>
        <v>Not specified</v>
      </c>
      <c r="X88" t="str">
        <f ca="1">IFERROR(__xludf.DUMMYFUNCTION("""COMPUTED_VALUE"""),"Not specified")</f>
        <v>Not specified</v>
      </c>
      <c r="Y88" t="str">
        <f ca="1">IFERROR(__xludf.DUMMYFUNCTION("""COMPUTED_VALUE"""),"Not specified")</f>
        <v>Not specified</v>
      </c>
      <c r="Z88" t="str">
        <f ca="1">IFERROR(__xludf.DUMMYFUNCTION("""COMPUTED_VALUE"""),"Not specified")</f>
        <v>Not specified</v>
      </c>
      <c r="AA88" t="str">
        <f ca="1">IFERROR(__xludf.DUMMYFUNCTION("""COMPUTED_VALUE"""),"")</f>
        <v/>
      </c>
      <c r="AB88" t="str">
        <f ca="1">IFERROR(__xludf.DUMMYFUNCTION("""COMPUTED_VALUE"""),"")</f>
        <v/>
      </c>
      <c r="AC88" t="str">
        <f ca="1">IFERROR(__xludf.DUMMYFUNCTION("""COMPUTED_VALUE"""),"")</f>
        <v/>
      </c>
      <c r="AD88" t="str">
        <f ca="1">IFERROR(__xludf.DUMMYFUNCTION("""COMPUTED_VALUE"""),"Unsure")</f>
        <v>Unsure</v>
      </c>
      <c r="AE88" t="str">
        <f ca="1">IFERROR(__xludf.DUMMYFUNCTION("""COMPUTED_VALUE"""),"Unsure")</f>
        <v>Unsure</v>
      </c>
      <c r="AF88" t="str">
        <f ca="1">IFERROR(__xludf.DUMMYFUNCTION("""COMPUTED_VALUE"""),"Unsure")</f>
        <v>Unsure</v>
      </c>
      <c r="AG88" t="str">
        <f ca="1">IFERROR(__xludf.DUMMYFUNCTION("""COMPUTED_VALUE"""),"")</f>
        <v/>
      </c>
      <c r="AH88" t="str">
        <f ca="1">IFERROR(__xludf.DUMMYFUNCTION("""COMPUTED_VALUE"""),"No preprint policy")</f>
        <v>No preprint policy</v>
      </c>
      <c r="AI88" t="str">
        <f ca="1">IFERROR(__xludf.DUMMYFUNCTION("""COMPUTED_VALUE"""),"")</f>
        <v/>
      </c>
      <c r="AJ88" t="str">
        <f ca="1">IFERROR(__xludf.DUMMYFUNCTION("""COMPUTED_VALUE"""),"Unsure")</f>
        <v>Unsure</v>
      </c>
      <c r="AK88" t="str">
        <f ca="1">IFERROR(__xludf.DUMMYFUNCTION("""COMPUTED_VALUE"""),"Unsure")</f>
        <v>Unsure</v>
      </c>
      <c r="AL88" t="str">
        <f ca="1">IFERROR(__xludf.DUMMYFUNCTION("""COMPUTED_VALUE"""),"")</f>
        <v/>
      </c>
      <c r="AM88" t="str">
        <f ca="1">IFERROR(__xludf.DUMMYFUNCTION("""COMPUTED_VALUE"""),"")</f>
        <v/>
      </c>
      <c r="AN88" t="str">
        <f ca="1">IFERROR(__xludf.DUMMYFUNCTION("""COMPUTED_VALUE"""),"")</f>
        <v/>
      </c>
      <c r="AO88" t="str">
        <f ca="1">IFERROR(__xludf.DUMMYFUNCTION("""COMPUTED_VALUE"""),"")</f>
        <v/>
      </c>
      <c r="AP88" t="str">
        <f ca="1">IFERROR(__xludf.DUMMYFUNCTION("""COMPUTED_VALUE"""),"Couldn't find any info about preprints")</f>
        <v>Couldn't find any info about preprints</v>
      </c>
      <c r="AQ88" t="str">
        <f ca="1">IFERROR(__xludf.DUMMYFUNCTION("""COMPUTED_VALUE"""),"40 mins")</f>
        <v>40 mins</v>
      </c>
      <c r="AR88" t="str">
        <f ca="1">IFERROR(__xludf.DUMMYFUNCTION("""COMPUTED_VALUE"""),"")</f>
        <v/>
      </c>
    </row>
    <row r="89" spans="1:44" ht="13">
      <c r="A89" t="str">
        <f ca="1">IFERROR(__xludf.DUMMYFUNCTION("""COMPUTED_VALUE"""),"SH")</f>
        <v>SH</v>
      </c>
      <c r="B89" s="41">
        <f ca="1">IFERROR(__xludf.DUMMYFUNCTION("""COMPUTED_VALUE"""),43480)</f>
        <v>43480</v>
      </c>
      <c r="C89" t="str">
        <f ca="1">IFERROR(__xludf.DUMMYFUNCTION("""COMPUTED_VALUE"""),"JP")</f>
        <v>JP</v>
      </c>
      <c r="D89" s="28">
        <f ca="1">IFERROR(__xludf.DUMMYFUNCTION("""COMPUTED_VALUE"""),43566)</f>
        <v>43566</v>
      </c>
      <c r="E89" t="str">
        <f ca="1">IFERROR(__xludf.DUMMYFUNCTION("""COMPUTED_VALUE"""),"TRH")</f>
        <v>TRH</v>
      </c>
      <c r="F89" s="28">
        <f ca="1">IFERROR(__xludf.DUMMYFUNCTION("""COMPUTED_VALUE"""),43581)</f>
        <v>43581</v>
      </c>
      <c r="G89" s="28" t="str">
        <f ca="1">IFERROR(__xludf.DUMMYFUNCTION("""COMPUTED_VALUE"""),"")</f>
        <v/>
      </c>
      <c r="H89" t="str">
        <f ca="1">IFERROR(__xludf.DUMMYFUNCTION("""COMPUTED_VALUE"""),"1741-3001")</f>
        <v>1741-3001</v>
      </c>
      <c r="I89" t="str">
        <f ca="1">IFERROR(__xludf.DUMMYFUNCTION("""COMPUTED_VALUE"""),"Journalism")</f>
        <v>Journalism</v>
      </c>
      <c r="J89" t="str">
        <f ca="1">IFERROR(__xludf.DUMMYFUNCTION("""COMPUTED_VALUE"""),"Humanities, Literature &amp; Arts")</f>
        <v>Humanities, Literature &amp; Arts</v>
      </c>
      <c r="K89" t="str">
        <f ca="1">IFERROR(__xludf.DUMMYFUNCTION("""COMPUTED_VALUE"""),"SAGE")</f>
        <v>SAGE</v>
      </c>
      <c r="L89" t="str">
        <f ca="1">IFERROR(__xludf.DUMMYFUNCTION("""COMPUTED_VALUE"""),"Double blind")</f>
        <v>Double blind</v>
      </c>
      <c r="M89" s="93" t="str">
        <f ca="1">IFERROR(__xludf.DUMMYFUNCTION("""COMPUTED_VALUE"""),"https://us.sagepub.com/en-us/nam/journal/journalism#PeerReviewPolicy")</f>
        <v>https://us.sagepub.com/en-us/nam/journal/journalism#PeerReviewPolicy</v>
      </c>
      <c r="N89" t="str">
        <f ca="1">IFERROR(__xludf.DUMMYFUNCTION("""COMPUTED_VALUE"""),"")</f>
        <v/>
      </c>
      <c r="O89" s="93" t="str">
        <f ca="1">IFERROR(__xludf.DUMMYFUNCTION("""COMPUTED_VALUE"""),"https://us.sagepub.com/en-us/nam/reviewer-rewards")</f>
        <v>https://us.sagepub.com/en-us/nam/reviewer-rewards</v>
      </c>
      <c r="P89" t="str">
        <f ca="1">IFERROR(__xludf.DUMMYFUNCTION("""COMPUTED_VALUE"""),"Yes")</f>
        <v>Yes</v>
      </c>
      <c r="Q89" t="str">
        <f ca="1">IFERROR(__xludf.DUMMYFUNCTION("""COMPUTED_VALUE"""),"")</f>
        <v/>
      </c>
      <c r="R89" t="str">
        <f ca="1">IFERROR(__xludf.DUMMYFUNCTION("""COMPUTED_VALUE"""),"")</f>
        <v/>
      </c>
      <c r="S89" t="str">
        <f ca="1">IFERROR(__xludf.DUMMYFUNCTION("""COMPUTED_VALUE"""),"Not specified")</f>
        <v>Not specified</v>
      </c>
      <c r="T89" t="str">
        <f ca="1">IFERROR(__xludf.DUMMYFUNCTION("""COMPUTED_VALUE"""),"Not specified")</f>
        <v>Not specified</v>
      </c>
      <c r="U89" t="str">
        <f ca="1">IFERROR(__xludf.DUMMYFUNCTION("""COMPUTED_VALUE"""),"Not specified")</f>
        <v>Not specified</v>
      </c>
      <c r="V89" t="str">
        <f ca="1">IFERROR(__xludf.DUMMYFUNCTION("""COMPUTED_VALUE"""),"Not specified")</f>
        <v>Not specified</v>
      </c>
      <c r="W89" t="str">
        <f ca="1">IFERROR(__xludf.DUMMYFUNCTION("""COMPUTED_VALUE"""),"Not specified")</f>
        <v>Not specified</v>
      </c>
      <c r="X89" t="str">
        <f ca="1">IFERROR(__xludf.DUMMYFUNCTION("""COMPUTED_VALUE"""),"Not specified")</f>
        <v>Not specified</v>
      </c>
      <c r="Y89" t="str">
        <f ca="1">IFERROR(__xludf.DUMMYFUNCTION("""COMPUTED_VALUE"""),"Not specified")</f>
        <v>Not specified</v>
      </c>
      <c r="Z89" t="str">
        <f ca="1">IFERROR(__xludf.DUMMYFUNCTION("""COMPUTED_VALUE"""),"Not specified")</f>
        <v>Not specified</v>
      </c>
      <c r="AA89" t="str">
        <f ca="1">IFERROR(__xludf.DUMMYFUNCTION("""COMPUTED_VALUE"""),"")</f>
        <v/>
      </c>
      <c r="AB89"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invi"&amp;"tation to review. The names of everyone involved in doing the review should be submitted to the editor so that the journal records accurately reflect the review process that took place. Full guidelines for peer reviewers can be found on the Committee on P"&amp;"ublication Ethics website here.""")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AC89" s="93" t="str">
        <f ca="1">IFERROR(__xludf.DUMMYFUNCTION("""COMPUTED_VALUE"""),"https://us.sagepub.com/en-us/nam/how-to-review-articles")</f>
        <v>https://us.sagepub.com/en-us/nam/how-to-review-articles</v>
      </c>
      <c r="AD89" t="str">
        <f ca="1">IFERROR(__xludf.DUMMYFUNCTION("""COMPUTED_VALUE"""),"Unsure")</f>
        <v>Unsure</v>
      </c>
      <c r="AE89" t="str">
        <f ca="1">IFERROR(__xludf.DUMMYFUNCTION("""COMPUTED_VALUE"""),"Unsure")</f>
        <v>Unsure</v>
      </c>
      <c r="AF89" t="str">
        <f ca="1">IFERROR(__xludf.DUMMYFUNCTION("""COMPUTED_VALUE"""),"Unsure")</f>
        <v>Unsure</v>
      </c>
      <c r="AG89" s="93" t="str">
        <f ca="1">IFERROR(__xludf.DUMMYFUNCTION("""COMPUTED_VALUE"""),"https://us.sagepub.com/en-us/nam/prior-publication")</f>
        <v>https://us.sagepub.com/en-us/nam/prior-publication</v>
      </c>
      <c r="AH89" t="str">
        <f ca="1">IFERROR(__xludf.DUMMYFUNCTION("""COMPUTED_VALUE"""),"First submission only (before peer review)")</f>
        <v>First submission only (before peer review)</v>
      </c>
      <c r="AI89" t="str">
        <f ca="1">IFERROR(__xludf.DUMMYFUNCTION("""COMPUTED_VALUE"""),"""SAGE supports the early dissemination of research through preprints (the pre-peer review version of the paper, also referenced as a “working paper”), including through SAGE’s own preprint platform, Advance, and other preprint platforms and SCNs, such as"&amp;" bioRxiV, preprints.org, ResearchGate and Academia.edu. Working papers are generally eligible for publication in a SAGE journal, subject to the policy in place for each journal.""")</f>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AJ89" t="str">
        <f ca="1">IFERROR(__xludf.DUMMYFUNCTION("""COMPUTED_VALUE"""),"Unsure")</f>
        <v>Unsure</v>
      </c>
      <c r="AK89" t="str">
        <f ca="1">IFERROR(__xludf.DUMMYFUNCTION("""COMPUTED_VALUE"""),"Unsure")</f>
        <v>Unsure</v>
      </c>
      <c r="AL89" t="str">
        <f ca="1">IFERROR(__xludf.DUMMYFUNCTION("""COMPUTED_VALUE"""),"")</f>
        <v/>
      </c>
      <c r="AM89" t="str">
        <f ca="1">IFERROR(__xludf.DUMMYFUNCTION("""COMPUTED_VALUE"""),"")</f>
        <v/>
      </c>
      <c r="AN89" t="str">
        <f ca="1">IFERROR(__xludf.DUMMYFUNCTION("""COMPUTED_VALUE"""),"")</f>
        <v/>
      </c>
      <c r="AO89" t="str">
        <f ca="1">IFERROR(__xludf.DUMMYFUNCTION("""COMPUTED_VALUE"""),"")</f>
        <v/>
      </c>
      <c r="AP89" t="str">
        <f ca="1">IFERROR(__xludf.DUMMYFUNCTION("""COMPUTED_VALUE"""),"S8: very easy to find the peer review type. S30: SAGE policy")</f>
        <v>S8: very easy to find the peer review type. S30: SAGE policy</v>
      </c>
      <c r="AQ89" t="str">
        <f ca="1">IFERROR(__xludf.DUMMYFUNCTION("""COMPUTED_VALUE"""),"30 mins")</f>
        <v>30 mins</v>
      </c>
      <c r="AR89" t="str">
        <f ca="1">IFERROR(__xludf.DUMMYFUNCTION("""COMPUTED_VALUE"""),"")</f>
        <v/>
      </c>
    </row>
    <row r="90" spans="1:44" ht="13">
      <c r="A90" t="str">
        <f ca="1">IFERROR(__xludf.DUMMYFUNCTION("""COMPUTED_VALUE"""),"SH")</f>
        <v>SH</v>
      </c>
      <c r="B90" s="41">
        <f ca="1">IFERROR(__xludf.DUMMYFUNCTION("""COMPUTED_VALUE"""),43480)</f>
        <v>43480</v>
      </c>
      <c r="C90" t="str">
        <f ca="1">IFERROR(__xludf.DUMMYFUNCTION("""COMPUTED_VALUE"""),"JP")</f>
        <v>JP</v>
      </c>
      <c r="D90" s="28">
        <f ca="1">IFERROR(__xludf.DUMMYFUNCTION("""COMPUTED_VALUE"""),43566)</f>
        <v>43566</v>
      </c>
      <c r="E90" t="str">
        <f ca="1">IFERROR(__xludf.DUMMYFUNCTION("""COMPUTED_VALUE"""),"TRH")</f>
        <v>TRH</v>
      </c>
      <c r="F90" s="28">
        <f ca="1">IFERROR(__xludf.DUMMYFUNCTION("""COMPUTED_VALUE"""),43581)</f>
        <v>43581</v>
      </c>
      <c r="G90" s="28" t="str">
        <f ca="1">IFERROR(__xludf.DUMMYFUNCTION("""COMPUTED_VALUE"""),"")</f>
        <v/>
      </c>
      <c r="H90" t="str">
        <f ca="1">IFERROR(__xludf.DUMMYFUNCTION("""COMPUTED_VALUE"""),"1751-2786")</f>
        <v>1751-2786</v>
      </c>
      <c r="I90" t="str">
        <f ca="1">IFERROR(__xludf.DUMMYFUNCTION("""COMPUTED_VALUE"""),"Journalism Practice")</f>
        <v>Journalism Practice</v>
      </c>
      <c r="J90" t="str">
        <f ca="1">IFERROR(__xludf.DUMMYFUNCTION("""COMPUTED_VALUE"""),"Humanities, Literature &amp; Arts")</f>
        <v>Humanities, Literature &amp; Arts</v>
      </c>
      <c r="K90" t="str">
        <f ca="1">IFERROR(__xludf.DUMMYFUNCTION("""COMPUTED_VALUE"""),"Taylor &amp; Francis")</f>
        <v>Taylor &amp; Francis</v>
      </c>
      <c r="L90" t="str">
        <f ca="1">IFERROR(__xludf.DUMMYFUNCTION("""COMPUTED_VALUE"""),"Double blind")</f>
        <v>Double blind</v>
      </c>
      <c r="M90" s="93" t="str">
        <f ca="1">IFERROR(__xludf.DUMMYFUNCTION("""COMPUTED_VALUE"""),"https://www.tandfonline.com/action/authorSubmission?journalCode=rjop20&amp;page=instructions#Peer_review")</f>
        <v>https://www.tandfonline.com/action/authorSubmission?journalCode=rjop20&amp;page=instructions#Peer_review</v>
      </c>
      <c r="N90" t="str">
        <f ca="1">IFERROR(__xludf.DUMMYFUNCTION("""COMPUTED_VALUE"""),"")</f>
        <v/>
      </c>
      <c r="O90" t="str">
        <f ca="1">IFERROR(__xludf.DUMMYFUNCTION("""COMPUTED_VALUE"""),"")</f>
        <v/>
      </c>
      <c r="P90" t="str">
        <f ca="1">IFERROR(__xludf.DUMMYFUNCTION("""COMPUTED_VALUE"""),"Unsure")</f>
        <v>Unsure</v>
      </c>
      <c r="Q90" t="str">
        <f ca="1">IFERROR(__xludf.DUMMYFUNCTION("""COMPUTED_VALUE"""),"")</f>
        <v/>
      </c>
      <c r="R90" t="str">
        <f ca="1">IFERROR(__xludf.DUMMYFUNCTION("""COMPUTED_VALUE"""),"")</f>
        <v/>
      </c>
      <c r="S90" t="str">
        <f ca="1">IFERROR(__xludf.DUMMYFUNCTION("""COMPUTED_VALUE"""),"Not specified")</f>
        <v>Not specified</v>
      </c>
      <c r="T90" t="str">
        <f ca="1">IFERROR(__xludf.DUMMYFUNCTION("""COMPUTED_VALUE"""),"Not specified")</f>
        <v>Not specified</v>
      </c>
      <c r="U90" t="str">
        <f ca="1">IFERROR(__xludf.DUMMYFUNCTION("""COMPUTED_VALUE"""),"Not specified")</f>
        <v>Not specified</v>
      </c>
      <c r="V90" t="str">
        <f ca="1">IFERROR(__xludf.DUMMYFUNCTION("""COMPUTED_VALUE"""),"Not specified")</f>
        <v>Not specified</v>
      </c>
      <c r="W90" t="str">
        <f ca="1">IFERROR(__xludf.DUMMYFUNCTION("""COMPUTED_VALUE"""),"Not specified")</f>
        <v>Not specified</v>
      </c>
      <c r="X90" t="str">
        <f ca="1">IFERROR(__xludf.DUMMYFUNCTION("""COMPUTED_VALUE"""),"Not specified")</f>
        <v>Not specified</v>
      </c>
      <c r="Y90" t="str">
        <f ca="1">IFERROR(__xludf.DUMMYFUNCTION("""COMPUTED_VALUE"""),"Not specified")</f>
        <v>Not specified</v>
      </c>
      <c r="Z90" t="str">
        <f ca="1">IFERROR(__xludf.DUMMYFUNCTION("""COMPUTED_VALUE"""),"Not specified")</f>
        <v>Not specified</v>
      </c>
      <c r="AA90" t="str">
        <f ca="1">IFERROR(__xludf.DUMMYFUNCTION("""COMPUTED_VALUE"""),"")</f>
        <v/>
      </c>
      <c r="AB90" t="str">
        <f ca="1">IFERROR(__xludf.DUMMYFUNCTION("""COMPUTED_VALUE"""),"""Ask a senior colleague, with experience of reviewing, whether you could work with them on a review. "" This was part of the general T&amp;F site.")</f>
        <v>"Ask a senior colleague, with experience of reviewing, whether you could work with them on a review. " This was part of the general T&amp;F site.</v>
      </c>
      <c r="AC90" t="str">
        <f ca="1">IFERROR(__xludf.DUMMYFUNCTION("""COMPUTED_VALUE"""),"")</f>
        <v/>
      </c>
      <c r="AD90" t="str">
        <f ca="1">IFERROR(__xludf.DUMMYFUNCTION("""COMPUTED_VALUE"""),"Unsure")</f>
        <v>Unsure</v>
      </c>
      <c r="AE90" t="str">
        <f ca="1">IFERROR(__xludf.DUMMYFUNCTION("""COMPUTED_VALUE"""),"Unsure")</f>
        <v>Unsure</v>
      </c>
      <c r="AF90" t="str">
        <f ca="1">IFERROR(__xludf.DUMMYFUNCTION("""COMPUTED_VALUE"""),"Unsure")</f>
        <v>Unsure</v>
      </c>
      <c r="AG90" t="str">
        <f ca="1">IFERROR(__xludf.DUMMYFUNCTION("""COMPUTED_VALUE"""),"")</f>
        <v/>
      </c>
      <c r="AH90" t="str">
        <f ca="1">IFERROR(__xludf.DUMMYFUNCTION("""COMPUTED_VALUE"""),"No preprint policy")</f>
        <v>No preprint policy</v>
      </c>
      <c r="AI90" t="str">
        <f ca="1">IFERROR(__xludf.DUMMYFUNCTION("""COMPUTED_VALUE"""),"")</f>
        <v/>
      </c>
      <c r="AJ90" t="str">
        <f ca="1">IFERROR(__xludf.DUMMYFUNCTION("""COMPUTED_VALUE"""),"Not specified")</f>
        <v>Not specified</v>
      </c>
      <c r="AK90" t="str">
        <f ca="1">IFERROR(__xludf.DUMMYFUNCTION("""COMPUTED_VALUE"""),"")</f>
        <v/>
      </c>
      <c r="AL90" t="str">
        <f ca="1">IFERROR(__xludf.DUMMYFUNCTION("""COMPUTED_VALUE"""),"")</f>
        <v/>
      </c>
      <c r="AM90" t="str">
        <f ca="1">IFERROR(__xludf.DUMMYFUNCTION("""COMPUTED_VALUE"""),"")</f>
        <v/>
      </c>
      <c r="AN90" t="str">
        <f ca="1">IFERROR(__xludf.DUMMYFUNCTION("""COMPUTED_VALUE"""),"")</f>
        <v/>
      </c>
      <c r="AO90" t="str">
        <f ca="1">IFERROR(__xludf.DUMMYFUNCTION("""COMPUTED_VALUE"""),"")</f>
        <v/>
      </c>
      <c r="AP90" t="str">
        <f ca="1">IFERROR(__xludf.DUMMYFUNCTION("""COMPUTED_VALUE"""),"T8: general T&amp;F peer review policy. T24: here is the link for the text - not really a co-reviewer policy but might suggest it's ok with them at T&amp;F generally: ""https://editorresources.taylorandfrancis.com/reviewer-guidelines/""")</f>
        <v>T8: general T&amp;F peer review policy. T24: here is the link for the text - not really a co-reviewer policy but might suggest it's ok with them at T&amp;F generally: "https://editorresources.taylorandfrancis.com/reviewer-guidelines/"</v>
      </c>
      <c r="AQ90" t="str">
        <f ca="1">IFERROR(__xludf.DUMMYFUNCTION("""COMPUTED_VALUE"""),"20 mins")</f>
        <v>20 mins</v>
      </c>
      <c r="AR90" t="str">
        <f ca="1">IFERROR(__xludf.DUMMYFUNCTION("""COMPUTED_VALUE"""),"")</f>
        <v/>
      </c>
    </row>
    <row r="91" spans="1:44" ht="13">
      <c r="A91" t="str">
        <f ca="1">IFERROR(__xludf.DUMMYFUNCTION("""COMPUTED_VALUE"""),"SH")</f>
        <v>SH</v>
      </c>
      <c r="B91" s="41">
        <f ca="1">IFERROR(__xludf.DUMMYFUNCTION("""COMPUTED_VALUE"""),43480)</f>
        <v>43480</v>
      </c>
      <c r="C91" t="str">
        <f ca="1">IFERROR(__xludf.DUMMYFUNCTION("""COMPUTED_VALUE"""),"NP")</f>
        <v>NP</v>
      </c>
      <c r="D91" s="28">
        <f ca="1">IFERROR(__xludf.DUMMYFUNCTION("""COMPUTED_VALUE"""),43575)</f>
        <v>43575</v>
      </c>
      <c r="E91" t="str">
        <f ca="1">IFERROR(__xludf.DUMMYFUNCTION("""COMPUTED_VALUE"""),"TRH")</f>
        <v>TRH</v>
      </c>
      <c r="F91" s="28">
        <f ca="1">IFERROR(__xludf.DUMMYFUNCTION("""COMPUTED_VALUE"""),43581)</f>
        <v>43581</v>
      </c>
      <c r="G91" t="str">
        <f ca="1">IFERROR(__xludf.DUMMYFUNCTION("""COMPUTED_VALUE"""),"")</f>
        <v/>
      </c>
      <c r="H91" t="str">
        <f ca="1">IFERROR(__xludf.DUMMYFUNCTION("""COMPUTED_VALUE"""),"1461-670X")</f>
        <v>1461-670X</v>
      </c>
      <c r="I91" t="str">
        <f ca="1">IFERROR(__xludf.DUMMYFUNCTION("""COMPUTED_VALUE"""),"Journalism Studies")</f>
        <v>Journalism Studies</v>
      </c>
      <c r="J91" t="str">
        <f ca="1">IFERROR(__xludf.DUMMYFUNCTION("""COMPUTED_VALUE"""),"Humanities, Literature &amp; Arts")</f>
        <v>Humanities, Literature &amp; Arts</v>
      </c>
      <c r="K91" t="str">
        <f ca="1">IFERROR(__xludf.DUMMYFUNCTION("""COMPUTED_VALUE"""),"Taylor &amp; Francis")</f>
        <v>Taylor &amp; Francis</v>
      </c>
      <c r="L91" t="str">
        <f ca="1">IFERROR(__xludf.DUMMYFUNCTION("""COMPUTED_VALUE"""),"Double blind")</f>
        <v>Double blind</v>
      </c>
      <c r="M91" s="93" t="str">
        <f ca="1">IFERROR(__xludf.DUMMYFUNCTION("""COMPUTED_VALUE"""),"https://www.tandfonline.com/action/authorSubmission?journalCode=rjos20&amp;page=instructions#Peer_review")</f>
        <v>https://www.tandfonline.com/action/authorSubmission?journalCode=rjos20&amp;page=instructions#Peer_review</v>
      </c>
      <c r="N91" t="str">
        <f ca="1">IFERROR(__xludf.DUMMYFUNCTION("""COMPUTED_VALUE"""),"")</f>
        <v/>
      </c>
      <c r="O91" t="str">
        <f ca="1">IFERROR(__xludf.DUMMYFUNCTION("""COMPUTED_VALUE"""),"")</f>
        <v/>
      </c>
      <c r="P91" t="str">
        <f ca="1">IFERROR(__xludf.DUMMYFUNCTION("""COMPUTED_VALUE"""),"Unsure")</f>
        <v>Unsure</v>
      </c>
      <c r="Q91" t="str">
        <f ca="1">IFERROR(__xludf.DUMMYFUNCTION("""COMPUTED_VALUE"""),"")</f>
        <v/>
      </c>
      <c r="R91" t="str">
        <f ca="1">IFERROR(__xludf.DUMMYFUNCTION("""COMPUTED_VALUE"""),"")</f>
        <v/>
      </c>
      <c r="S91" t="str">
        <f ca="1">IFERROR(__xludf.DUMMYFUNCTION("""COMPUTED_VALUE"""),"Not specified")</f>
        <v>Not specified</v>
      </c>
      <c r="T91" t="str">
        <f ca="1">IFERROR(__xludf.DUMMYFUNCTION("""COMPUTED_VALUE"""),"Not specified")</f>
        <v>Not specified</v>
      </c>
      <c r="U91" t="str">
        <f ca="1">IFERROR(__xludf.DUMMYFUNCTION("""COMPUTED_VALUE"""),"Not specified")</f>
        <v>Not specified</v>
      </c>
      <c r="V91" t="str">
        <f ca="1">IFERROR(__xludf.DUMMYFUNCTION("""COMPUTED_VALUE"""),"Not specified")</f>
        <v>Not specified</v>
      </c>
      <c r="W91" t="str">
        <f ca="1">IFERROR(__xludf.DUMMYFUNCTION("""COMPUTED_VALUE"""),"Not specified")</f>
        <v>Not specified</v>
      </c>
      <c r="X91" t="str">
        <f ca="1">IFERROR(__xludf.DUMMYFUNCTION("""COMPUTED_VALUE"""),"Not specified")</f>
        <v>Not specified</v>
      </c>
      <c r="Y91" t="str">
        <f ca="1">IFERROR(__xludf.DUMMYFUNCTION("""COMPUTED_VALUE"""),"Not specified")</f>
        <v>Not specified</v>
      </c>
      <c r="Z91" t="str">
        <f ca="1">IFERROR(__xludf.DUMMYFUNCTION("""COMPUTED_VALUE"""),"Not specified")</f>
        <v>Not specified</v>
      </c>
      <c r="AA91" t="str">
        <f ca="1">IFERROR(__xludf.DUMMYFUNCTION("""COMPUTED_VALUE"""),"")</f>
        <v/>
      </c>
      <c r="AB91" t="str">
        <f ca="1">IFERROR(__xludf.DUMMYFUNCTION("""COMPUTED_VALUE"""),"""Ask a senior colleague, with experience of reviewing, whether you could work with them on a review. "" This was part of the general T&amp;F site.")</f>
        <v>"Ask a senior colleague, with experience of reviewing, whether you could work with them on a review. " This was part of the general T&amp;F site.</v>
      </c>
      <c r="AC91" t="str">
        <f ca="1">IFERROR(__xludf.DUMMYFUNCTION("""COMPUTED_VALUE"""),"")</f>
        <v/>
      </c>
      <c r="AD91" t="str">
        <f ca="1">IFERROR(__xludf.DUMMYFUNCTION("""COMPUTED_VALUE"""),"Unsure")</f>
        <v>Unsure</v>
      </c>
      <c r="AE91" t="str">
        <f ca="1">IFERROR(__xludf.DUMMYFUNCTION("""COMPUTED_VALUE"""),"Unsure")</f>
        <v>Unsure</v>
      </c>
      <c r="AF91" t="str">
        <f ca="1">IFERROR(__xludf.DUMMYFUNCTION("""COMPUTED_VALUE"""),"Unsure")</f>
        <v>Unsure</v>
      </c>
      <c r="AG91" t="str">
        <f ca="1">IFERROR(__xludf.DUMMYFUNCTION("""COMPUTED_VALUE"""),"")</f>
        <v/>
      </c>
      <c r="AH91" t="str">
        <f ca="1">IFERROR(__xludf.DUMMYFUNCTION("""COMPUTED_VALUE"""),"No preprint policy")</f>
        <v>No preprint policy</v>
      </c>
      <c r="AI91" t="str">
        <f ca="1">IFERROR(__xludf.DUMMYFUNCTION("""COMPUTED_VALUE"""),"")</f>
        <v/>
      </c>
      <c r="AJ91" t="str">
        <f ca="1">IFERROR(__xludf.DUMMYFUNCTION("""COMPUTED_VALUE"""),"Not specified")</f>
        <v>Not specified</v>
      </c>
      <c r="AK91" t="str">
        <f ca="1">IFERROR(__xludf.DUMMYFUNCTION("""COMPUTED_VALUE"""),"")</f>
        <v/>
      </c>
      <c r="AL91" t="str">
        <f ca="1">IFERROR(__xludf.DUMMYFUNCTION("""COMPUTED_VALUE"""),"")</f>
        <v/>
      </c>
      <c r="AM91" t="str">
        <f ca="1">IFERROR(__xludf.DUMMYFUNCTION("""COMPUTED_VALUE"""),"")</f>
        <v/>
      </c>
      <c r="AN91" t="str">
        <f ca="1">IFERROR(__xludf.DUMMYFUNCTION("""COMPUTED_VALUE"""),"")</f>
        <v/>
      </c>
      <c r="AO91" t="str">
        <f ca="1">IFERROR(__xludf.DUMMYFUNCTION("""COMPUTED_VALUE"""),"")</f>
        <v/>
      </c>
      <c r="AP91" t="str">
        <f ca="1">IFERROR(__xludf.DUMMYFUNCTION("""COMPUTED_VALUE"""),"U8: general T&amp;F peer review policy")</f>
        <v>U8: general T&amp;F peer review policy</v>
      </c>
      <c r="AQ91" t="str">
        <f ca="1">IFERROR(__xludf.DUMMYFUNCTION("""COMPUTED_VALUE"""),"20 mins")</f>
        <v>20 mins</v>
      </c>
      <c r="AR91" t="str">
        <f ca="1">IFERROR(__xludf.DUMMYFUNCTION("""COMPUTED_VALUE"""),"")</f>
        <v/>
      </c>
    </row>
    <row r="92" spans="1:44" ht="13">
      <c r="A92" t="str">
        <f ca="1">IFERROR(__xludf.DUMMYFUNCTION("""COMPUTED_VALUE"""),"SH")</f>
        <v>SH</v>
      </c>
      <c r="B92" s="41">
        <f ca="1">IFERROR(__xludf.DUMMYFUNCTION("""COMPUTED_VALUE"""),43480)</f>
        <v>43480</v>
      </c>
      <c r="C92" t="str">
        <f ca="1">IFERROR(__xludf.DUMMYFUNCTION("""COMPUTED_VALUE"""),"NP")</f>
        <v>NP</v>
      </c>
      <c r="D92" s="28">
        <f ca="1">IFERROR(__xludf.DUMMYFUNCTION("""COMPUTED_VALUE"""),43575)</f>
        <v>43575</v>
      </c>
      <c r="E92" t="str">
        <f ca="1">IFERROR(__xludf.DUMMYFUNCTION("""COMPUTED_VALUE"""),"TRH")</f>
        <v>TRH</v>
      </c>
      <c r="F92" s="28">
        <f ca="1">IFERROR(__xludf.DUMMYFUNCTION("""COMPUTED_VALUE"""),43581)</f>
        <v>43581</v>
      </c>
      <c r="G92" t="str">
        <f ca="1">IFERROR(__xludf.DUMMYFUNCTION("""COMPUTED_VALUE"""),"")</f>
        <v/>
      </c>
      <c r="H92" t="str">
        <f ca="1">IFERROR(__xludf.DUMMYFUNCTION("""COMPUTED_VALUE"""),"0264-8377")</f>
        <v>0264-8377</v>
      </c>
      <c r="I92" t="str">
        <f ca="1">IFERROR(__xludf.DUMMYFUNCTION("""COMPUTED_VALUE"""),"Land Use Policy")</f>
        <v>Land Use Policy</v>
      </c>
      <c r="J92" t="str">
        <f ca="1">IFERROR(__xludf.DUMMYFUNCTION("""COMPUTED_VALUE"""),"Social Sciences")</f>
        <v>Social Sciences</v>
      </c>
      <c r="K92" t="str">
        <f ca="1">IFERROR(__xludf.DUMMYFUNCTION("""COMPUTED_VALUE"""),"Elsevier")</f>
        <v>Elsevier</v>
      </c>
      <c r="L92" t="str">
        <f ca="1">IFERROR(__xludf.DUMMYFUNCTION("""COMPUTED_VALUE"""),"Double blind")</f>
        <v>Double blind</v>
      </c>
      <c r="M92" s="93" t="str">
        <f ca="1">IFERROR(__xludf.DUMMYFUNCTION("""COMPUTED_VALUE"""),"https://www.elsevier.com/journals/land-use-policy/0264-8377?generatepdf=true")</f>
        <v>https://www.elsevier.com/journals/land-use-policy/0264-8377?generatepdf=true</v>
      </c>
      <c r="N92" t="str">
        <f ca="1">IFERROR(__xludf.DUMMYFUNCTION("""COMPUTED_VALUE"""),"")</f>
        <v/>
      </c>
      <c r="O92" s="93" t="str">
        <f ca="1">IFERROR(__xludf.DUMMYFUNCTION("""COMPUTED_VALUE"""),"https://www.elsevier.com/reviewers/role#recognizing")</f>
        <v>https://www.elsevier.com/reviewers/role#recognizing</v>
      </c>
      <c r="P92" t="str">
        <f ca="1">IFERROR(__xludf.DUMMYFUNCTION("""COMPUTED_VALUE"""),"Unsure")</f>
        <v>Unsure</v>
      </c>
      <c r="Q92" t="str">
        <f ca="1">IFERROR(__xludf.DUMMYFUNCTION("""COMPUTED_VALUE"""),"via Elsevier’s Article Transfer Service (ATS)")</f>
        <v>via Elsevier’s Article Transfer Service (ATS)</v>
      </c>
      <c r="R92" s="93" t="str">
        <f ca="1">IFERROR(__xludf.DUMMYFUNCTION("""COMPUTED_VALUE"""),"https://www.elsevier.com/authors/journal-authors/submit-your-paper/submit-and-revise/article-transfer-service")</f>
        <v>https://www.elsevier.com/authors/journal-authors/submit-your-paper/submit-and-revise/article-transfer-service</v>
      </c>
      <c r="S92" t="str">
        <f ca="1">IFERROR(__xludf.DUMMYFUNCTION("""COMPUTED_VALUE"""),"Not specified")</f>
        <v>Not specified</v>
      </c>
      <c r="T92" t="str">
        <f ca="1">IFERROR(__xludf.DUMMYFUNCTION("""COMPUTED_VALUE"""),"Not specified")</f>
        <v>Not specified</v>
      </c>
      <c r="U92" t="str">
        <f ca="1">IFERROR(__xludf.DUMMYFUNCTION("""COMPUTED_VALUE"""),"Not specified")</f>
        <v>Not specified</v>
      </c>
      <c r="V92" t="str">
        <f ca="1">IFERROR(__xludf.DUMMYFUNCTION("""COMPUTED_VALUE"""),"Not specified")</f>
        <v>Not specified</v>
      </c>
      <c r="W92" t="str">
        <f ca="1">IFERROR(__xludf.DUMMYFUNCTION("""COMPUTED_VALUE"""),"Not specified")</f>
        <v>Not specified</v>
      </c>
      <c r="X92" t="str">
        <f ca="1">IFERROR(__xludf.DUMMYFUNCTION("""COMPUTED_VALUE"""),"No")</f>
        <v>No</v>
      </c>
      <c r="Y92" t="str">
        <f ca="1">IFERROR(__xludf.DUMMYFUNCTION("""COMPUTED_VALUE"""),"Not specified")</f>
        <v>Not specified</v>
      </c>
      <c r="Z92" t="str">
        <f ca="1">IFERROR(__xludf.DUMMYFUNCTION("""COMPUTED_VALUE"""),"Not specified")</f>
        <v>Not specified</v>
      </c>
      <c r="AA92" t="str">
        <f ca="1">IFERROR(__xludf.DUMMYFUNCTION("""COMPUTED_VALUE"""),"")</f>
        <v/>
      </c>
      <c r="AB92" t="str">
        <f ca="1">IFERROR(__xludf.DUMMYFUNCTION("""COMPUTED_VALUE"""),"")</f>
        <v/>
      </c>
      <c r="AC92" t="str">
        <f ca="1">IFERROR(__xludf.DUMMYFUNCTION("""COMPUTED_VALUE"""),"")</f>
        <v/>
      </c>
      <c r="AD92" t="str">
        <f ca="1">IFERROR(__xludf.DUMMYFUNCTION("""COMPUTED_VALUE"""),"Unsure")</f>
        <v>Unsure</v>
      </c>
      <c r="AE92" t="str">
        <f ca="1">IFERROR(__xludf.DUMMYFUNCTION("""COMPUTED_VALUE"""),"Unsure")</f>
        <v>Unsure</v>
      </c>
      <c r="AF92" t="str">
        <f ca="1">IFERROR(__xludf.DUMMYFUNCTION("""COMPUTED_VALUE"""),"Unsure")</f>
        <v>Unsure</v>
      </c>
      <c r="AG92" s="93" t="str">
        <f ca="1">IFERROR(__xludf.DUMMYFUNCTION("""COMPUTED_VALUE"""),"https://www.elsevier.com/about/policies/copyright/permissions")</f>
        <v>https://www.elsevier.com/about/policies/copyright/permissions</v>
      </c>
      <c r="AH92" t="str">
        <f ca="1">IFERROR(__xludf.DUMMYFUNCTION("""COMPUTED_VALUE"""),"After peer review (but not final, copyedited version)")</f>
        <v>After peer review (but not final, copyedited version)</v>
      </c>
      <c r="AI92" t="str">
        <f ca="1">IFERROR(__xludf.DUMMYFUNCTION("""COMPUTED_VALUE"""),"""Yes, you can post your preprint, which is your own write up of your results and analysis, anywhere at any time.
 If you have posted your preprint on ArXiv, which is a non-commercial preprint server, you can also immediately update this version with yo"&amp;"ur accepted manuscript.""")</f>
        <v>"Yes, you can post your preprint, which is your own write up of your results and analysis, anywhere at any time.
 If you have posted your preprint on ArXiv, which is a non-commercial preprint server, you can also immediately update this version with your accepted manuscript."</v>
      </c>
      <c r="AJ92" t="str">
        <f ca="1">IFERROR(__xludf.DUMMYFUNCTION("""COMPUTED_VALUE"""),"Not specified")</f>
        <v>Not specified</v>
      </c>
      <c r="AK92" t="str">
        <f ca="1">IFERROR(__xludf.DUMMYFUNCTION("""COMPUTED_VALUE"""),"Unsure")</f>
        <v>Unsure</v>
      </c>
      <c r="AL92" t="str">
        <f ca="1">IFERROR(__xludf.DUMMYFUNCTION("""COMPUTED_VALUE"""),"")</f>
        <v/>
      </c>
      <c r="AM92" t="str">
        <f ca="1">IFERROR(__xludf.DUMMYFUNCTION("""COMPUTED_VALUE"""),"")</f>
        <v/>
      </c>
      <c r="AN92" t="str">
        <f ca="1">IFERROR(__xludf.DUMMYFUNCTION("""COMPUTED_VALUE"""),"")</f>
        <v/>
      </c>
      <c r="AO92" t="str">
        <f ca="1">IFERROR(__xludf.DUMMYFUNCTION("""COMPUTED_VALUE"""),"")</f>
        <v/>
      </c>
      <c r="AP92" t="str">
        <f ca="1">IFERROR(__xludf.DUMMYFUNCTION("""COMPUTED_VALUE"""),"V12: they have a Reviewer Recognition Platform that appears to be public. V32: ""References concerning unpublished data, theses, and ""personal communications"" should not be
 cited in the reference list but may be mentioned in the text."" They don't spec"&amp;"ifically state preprints, but maybe this covers them. For the section about OPR, the ""No (inferred)"" refer to the fact that the journal performs double blind review.")</f>
        <v>V12: they have a Reviewer Recognition Platform that appears to be public. V32: "References concerning unpublished data, theses, and "personal communications" should not be
 cited in the reference list but may be mentioned in the text." They don't specifically state preprints, but maybe this covers them. For the section about OPR, the "No (inferred)" refer to the fact that the journal performs double blind review.</v>
      </c>
      <c r="AQ92" t="str">
        <f ca="1">IFERROR(__xludf.DUMMYFUNCTION("""COMPUTED_VALUE"""),"20 mins")</f>
        <v>20 mins</v>
      </c>
      <c r="AR92" t="str">
        <f ca="1">IFERROR(__xludf.DUMMYFUNCTION("""COMPUTED_VALUE"""),"")</f>
        <v/>
      </c>
    </row>
    <row r="93" spans="1:44" ht="13">
      <c r="A93" t="str">
        <f ca="1">IFERROR(__xludf.DUMMYFUNCTION("""COMPUTED_VALUE"""),"SR")</f>
        <v>SR</v>
      </c>
      <c r="B93" s="41">
        <f ca="1">IFERROR(__xludf.DUMMYFUNCTION("""COMPUTED_VALUE"""),43441)</f>
        <v>43441</v>
      </c>
      <c r="C93" t="str">
        <f ca="1">IFERROR(__xludf.DUMMYFUNCTION("""COMPUTED_VALUE"""),"NP")</f>
        <v>NP</v>
      </c>
      <c r="D93" s="28">
        <f ca="1">IFERROR(__xludf.DUMMYFUNCTION("""COMPUTED_VALUE"""),43575)</f>
        <v>43575</v>
      </c>
      <c r="E93" t="str">
        <f ca="1">IFERROR(__xludf.DUMMYFUNCTION("""COMPUTED_VALUE"""),"JP")</f>
        <v>JP</v>
      </c>
      <c r="F93" s="28">
        <f ca="1">IFERROR(__xludf.DUMMYFUNCTION("""COMPUTED_VALUE"""),43581)</f>
        <v>43581</v>
      </c>
      <c r="G93" t="str">
        <f ca="1">IFERROR(__xludf.DUMMYFUNCTION("""COMPUTED_VALUE"""),"Can't find cited text for peer review credit in info for authors")</f>
        <v>Can't find cited text for peer review credit in info for authors</v>
      </c>
      <c r="H93" t="str">
        <f ca="1">IFERROR(__xludf.DUMMYFUNCTION("""COMPUTED_VALUE"""),"1467-9922")</f>
        <v>1467-9922</v>
      </c>
      <c r="I93" t="str">
        <f ca="1">IFERROR(__xludf.DUMMYFUNCTION("""COMPUTED_VALUE"""),"Language Learning")</f>
        <v>Language Learning</v>
      </c>
      <c r="J93" t="str">
        <f ca="1">IFERROR(__xludf.DUMMYFUNCTION("""COMPUTED_VALUE"""),"Humanities, Literature &amp; Arts")</f>
        <v>Humanities, Literature &amp; Arts</v>
      </c>
      <c r="K93" t="str">
        <f ca="1">IFERROR(__xludf.DUMMYFUNCTION("""COMPUTED_VALUE"""),"Wiley")</f>
        <v>Wiley</v>
      </c>
      <c r="L93" t="str">
        <f ca="1">IFERROR(__xludf.DUMMYFUNCTION("""COMPUTED_VALUE"""),"Other: author choice of single or double blind")</f>
        <v>Other: author choice of single or double blind</v>
      </c>
      <c r="M93" s="93" t="str">
        <f ca="1">IFERROR(__xludf.DUMMYFUNCTION("""COMPUTED_VALUE"""),"https://onlinelibrary.wiley.com/page/journal/14679922/homepage/forauthors.html")</f>
        <v>https://onlinelibrary.wiley.com/page/journal/14679922/homepage/forauthors.html</v>
      </c>
      <c r="N93" t="str">
        <f ca="1">IFERROR(__xludf.DUMMYFUNCTION("""COMPUTED_VALUE"""),"")</f>
        <v/>
      </c>
      <c r="O93" t="str">
        <f ca="1">IFERROR(__xludf.DUMMYFUNCTION("""COMPUTED_VALUE"""),"")</f>
        <v/>
      </c>
      <c r="P93" t="str">
        <f ca="1">IFERROR(__xludf.DUMMYFUNCTION("""COMPUTED_VALUE"""),"Unsure")</f>
        <v>Unsure</v>
      </c>
      <c r="Q93" t="str">
        <f ca="1">IFERROR(__xludf.DUMMYFUNCTION("""COMPUTED_VALUE"""),"")</f>
        <v/>
      </c>
      <c r="R93" t="str">
        <f ca="1">IFERROR(__xludf.DUMMYFUNCTION("""COMPUTED_VALUE"""),"")</f>
        <v/>
      </c>
      <c r="S93" t="str">
        <f ca="1">IFERROR(__xludf.DUMMYFUNCTION("""COMPUTED_VALUE"""),"Not specified")</f>
        <v>Not specified</v>
      </c>
      <c r="T93" t="str">
        <f ca="1">IFERROR(__xludf.DUMMYFUNCTION("""COMPUTED_VALUE"""),"Not specified")</f>
        <v>Not specified</v>
      </c>
      <c r="U93" t="str">
        <f ca="1">IFERROR(__xludf.DUMMYFUNCTION("""COMPUTED_VALUE"""),"Not specified")</f>
        <v>Not specified</v>
      </c>
      <c r="V93" t="str">
        <f ca="1">IFERROR(__xludf.DUMMYFUNCTION("""COMPUTED_VALUE"""),"Not specified")</f>
        <v>Not specified</v>
      </c>
      <c r="W93" t="str">
        <f ca="1">IFERROR(__xludf.DUMMYFUNCTION("""COMPUTED_VALUE"""),"Conditional")</f>
        <v>Conditional</v>
      </c>
      <c r="X93" t="str">
        <f ca="1">IFERROR(__xludf.DUMMYFUNCTION("""COMPUTED_VALUE"""),"Not specified")</f>
        <v>Not specified</v>
      </c>
      <c r="Y93" t="str">
        <f ca="1">IFERROR(__xludf.DUMMYFUNCTION("""COMPUTED_VALUE"""),"Not specified")</f>
        <v>Not specified</v>
      </c>
      <c r="Z93" t="str">
        <f ca="1">IFERROR(__xludf.DUMMYFUNCTION("""COMPUTED_VALUE"""),"Not specified")</f>
        <v>Not specified</v>
      </c>
      <c r="AA93" t="str">
        <f ca="1">IFERROR(__xludf.DUMMYFUNCTION("""COMPUTED_VALUE"""),"")</f>
        <v/>
      </c>
      <c r="AB93" t="str">
        <f ca="1">IFERROR(__xludf.DUMMYFUNCTION("""COMPUTED_VALUE"""),"Not specified")</f>
        <v>Not specified</v>
      </c>
      <c r="AC93" t="str">
        <f ca="1">IFERROR(__xludf.DUMMYFUNCTION("""COMPUTED_VALUE"""),"")</f>
        <v/>
      </c>
      <c r="AD93" t="str">
        <f ca="1">IFERROR(__xludf.DUMMYFUNCTION("""COMPUTED_VALUE"""),"Unsure")</f>
        <v>Unsure</v>
      </c>
      <c r="AE93" t="str">
        <f ca="1">IFERROR(__xludf.DUMMYFUNCTION("""COMPUTED_VALUE"""),"Unsure")</f>
        <v>Unsure</v>
      </c>
      <c r="AF93" t="str">
        <f ca="1">IFERROR(__xludf.DUMMYFUNCTION("""COMPUTED_VALUE"""),"Unsure")</f>
        <v>Unsure</v>
      </c>
      <c r="AG93" t="str">
        <f ca="1">IFERROR(__xludf.DUMMYFUNCTION("""COMPUTED_VALUE"""),"")</f>
        <v/>
      </c>
      <c r="AH93" t="str">
        <f ca="1">IFERROR(__xludf.DUMMYFUNCTION("""COMPUTED_VALUE"""),"No preprint policy")</f>
        <v>No preprint policy</v>
      </c>
      <c r="AI93" t="str">
        <f ca="1">IFERROR(__xludf.DUMMYFUNCTION("""COMPUTED_VALUE"""),"")</f>
        <v/>
      </c>
      <c r="AJ93" t="str">
        <f ca="1">IFERROR(__xludf.DUMMYFUNCTION("""COMPUTED_VALUE"""),"Not specified")</f>
        <v>Not specified</v>
      </c>
      <c r="AK93" t="str">
        <f ca="1">IFERROR(__xludf.DUMMYFUNCTION("""COMPUTED_VALUE"""),"Unsure")</f>
        <v>Unsure</v>
      </c>
      <c r="AL93" t="str">
        <f ca="1">IFERROR(__xludf.DUMMYFUNCTION("""COMPUTED_VALUE"""),"")</f>
        <v/>
      </c>
      <c r="AM93" t="str">
        <f ca="1">IFERROR(__xludf.DUMMYFUNCTION("""COMPUTED_VALUE"""),"")</f>
        <v/>
      </c>
      <c r="AN93" t="str">
        <f ca="1">IFERROR(__xludf.DUMMYFUNCTION("""COMPUTED_VALUE"""),"")</f>
        <v/>
      </c>
      <c r="AO93" t="str">
        <f ca="1">IFERROR(__xludf.DUMMYFUNCTION("""COMPUTED_VALUE"""),"")</f>
        <v/>
      </c>
      <c r="AP93" t="str">
        <f ca="1">IFERROR(__xludf.DUMMYFUNCTION("""COMPUTED_VALUE"""),"")</f>
        <v/>
      </c>
      <c r="AQ93" t="str">
        <f ca="1">IFERROR(__xludf.DUMMYFUNCTION("""COMPUTED_VALUE"""),"")</f>
        <v/>
      </c>
      <c r="AR93" t="str">
        <f ca="1">IFERROR(__xludf.DUMMYFUNCTION("""COMPUTED_VALUE"""),"")</f>
        <v/>
      </c>
    </row>
    <row r="94" spans="1:44" ht="13">
      <c r="A94" t="str">
        <f ca="1">IFERROR(__xludf.DUMMYFUNCTION("""COMPUTED_VALUE"""),"SR")</f>
        <v>SR</v>
      </c>
      <c r="B94" s="41">
        <f ca="1">IFERROR(__xludf.DUMMYFUNCTION("""COMPUTED_VALUE"""),43441)</f>
        <v>43441</v>
      </c>
      <c r="C94" t="str">
        <f ca="1">IFERROR(__xludf.DUMMYFUNCTION("""COMPUTED_VALUE"""),"NP")</f>
        <v>NP</v>
      </c>
      <c r="D94" s="28">
        <f ca="1">IFERROR(__xludf.DUMMYFUNCTION("""COMPUTED_VALUE"""),43575)</f>
        <v>43575</v>
      </c>
      <c r="E94" t="str">
        <f ca="1">IFERROR(__xludf.DUMMYFUNCTION("""COMPUTED_VALUE"""),"JP")</f>
        <v>JP</v>
      </c>
      <c r="F94" s="28">
        <f ca="1">IFERROR(__xludf.DUMMYFUNCTION("""COMPUTED_VALUE"""),43581)</f>
        <v>43581</v>
      </c>
      <c r="G94" t="str">
        <f ca="1">IFERROR(__xludf.DUMMYFUNCTION("""COMPUTED_VALUE"""),"")</f>
        <v/>
      </c>
      <c r="H94" t="str">
        <f ca="1">IFERROR(__xludf.DUMMYFUNCTION("""COMPUTED_VALUE"""),"0024-3841")</f>
        <v>0024-3841</v>
      </c>
      <c r="I94" t="str">
        <f ca="1">IFERROR(__xludf.DUMMYFUNCTION("""COMPUTED_VALUE"""),"Lingua")</f>
        <v>Lingua</v>
      </c>
      <c r="J94" t="str">
        <f ca="1">IFERROR(__xludf.DUMMYFUNCTION("""COMPUTED_VALUE"""),"Humanities, Literature &amp; Arts")</f>
        <v>Humanities, Literature &amp; Arts</v>
      </c>
      <c r="K94" t="str">
        <f ca="1">IFERROR(__xludf.DUMMYFUNCTION("""COMPUTED_VALUE"""),"Elsevier")</f>
        <v>Elsevier</v>
      </c>
      <c r="L94" t="str">
        <f ca="1">IFERROR(__xludf.DUMMYFUNCTION("""COMPUTED_VALUE"""),"Double blind")</f>
        <v>Double blind</v>
      </c>
      <c r="M94" s="93" t="str">
        <f ca="1">IFERROR(__xludf.DUMMYFUNCTION("""COMPUTED_VALUE"""),"https://www.elsevier.com/journals/lingua/0024-3841/guide-for-authors")</f>
        <v>https://www.elsevier.com/journals/lingua/0024-3841/guide-for-authors</v>
      </c>
      <c r="N94" t="str">
        <f ca="1">IFERROR(__xludf.DUMMYFUNCTION("""COMPUTED_VALUE"""),"")</f>
        <v/>
      </c>
      <c r="O94" s="93" t="str">
        <f ca="1">IFERROR(__xludf.DUMMYFUNCTION("""COMPUTED_VALUE"""),"https://www.elsevier.com/reviewers/role#RRP")</f>
        <v>https://www.elsevier.com/reviewers/role#RRP</v>
      </c>
      <c r="P94" t="str">
        <f ca="1">IFERROR(__xludf.DUMMYFUNCTION("""COMPUTED_VALUE"""),"Unsure")</f>
        <v>Unsure</v>
      </c>
      <c r="Q94"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94" s="93" t="str">
        <f ca="1">IFERROR(__xludf.DUMMYFUNCTION("""COMPUTED_VALUE"""),"https://www.elsevier.com/reviewers/what-is-peer-review")</f>
        <v>https://www.elsevier.com/reviewers/what-is-peer-review</v>
      </c>
      <c r="S94" t="str">
        <f ca="1">IFERROR(__xludf.DUMMYFUNCTION("""COMPUTED_VALUE"""),"Not specified")</f>
        <v>Not specified</v>
      </c>
      <c r="T94" t="str">
        <f ca="1">IFERROR(__xludf.DUMMYFUNCTION("""COMPUTED_VALUE"""),"Not specified")</f>
        <v>Not specified</v>
      </c>
      <c r="U94" t="str">
        <f ca="1">IFERROR(__xludf.DUMMYFUNCTION("""COMPUTED_VALUE"""),"Not specified")</f>
        <v>Not specified</v>
      </c>
      <c r="V94" t="str">
        <f ca="1">IFERROR(__xludf.DUMMYFUNCTION("""COMPUTED_VALUE"""),"Not specified")</f>
        <v>Not specified</v>
      </c>
      <c r="W94" t="str">
        <f ca="1">IFERROR(__xludf.DUMMYFUNCTION("""COMPUTED_VALUE"""),"Not specified")</f>
        <v>Not specified</v>
      </c>
      <c r="X94" t="str">
        <f ca="1">IFERROR(__xludf.DUMMYFUNCTION("""COMPUTED_VALUE"""),"No")</f>
        <v>No</v>
      </c>
      <c r="Y94" t="str">
        <f ca="1">IFERROR(__xludf.DUMMYFUNCTION("""COMPUTED_VALUE"""),"Not specified")</f>
        <v>Not specified</v>
      </c>
      <c r="Z94" t="str">
        <f ca="1">IFERROR(__xludf.DUMMYFUNCTION("""COMPUTED_VALUE"""),"Not specified")</f>
        <v>Not specified</v>
      </c>
      <c r="AA94"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94"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94" s="93" t="str">
        <f ca="1">IFERROR(__xludf.DUMMYFUNCTION("""COMPUTED_VALUE"""),"https://www.elsevier.com/reviewers/how-to-review")</f>
        <v>https://www.elsevier.com/reviewers/how-to-review</v>
      </c>
      <c r="AD94" t="str">
        <f ca="1">IFERROR(__xludf.DUMMYFUNCTION("""COMPUTED_VALUE"""),"Unsure")</f>
        <v>Unsure</v>
      </c>
      <c r="AE94" t="str">
        <f ca="1">IFERROR(__xludf.DUMMYFUNCTION("""COMPUTED_VALUE"""),"Unsure")</f>
        <v>Unsure</v>
      </c>
      <c r="AF94" t="str">
        <f ca="1">IFERROR(__xludf.DUMMYFUNCTION("""COMPUTED_VALUE"""),"Unsure")</f>
        <v>Unsure</v>
      </c>
      <c r="AG94" t="str">
        <f ca="1">IFERROR(__xludf.DUMMYFUNCTION("""COMPUTED_VALUE"""),"")</f>
        <v/>
      </c>
      <c r="AH94" t="str">
        <f ca="1">IFERROR(__xludf.DUMMYFUNCTION("""COMPUTED_VALUE"""),"After peer review (but not final, copyedited version)")</f>
        <v>After peer review (but not final, copyedited version)</v>
      </c>
      <c r="AI94" t="str">
        <f ca="1">IFERROR(__xludf.DUMMYFUNCTION("""COMPUTED_VALUE"""),"")</f>
        <v/>
      </c>
      <c r="AJ94" t="str">
        <f ca="1">IFERROR(__xludf.DUMMYFUNCTION("""COMPUTED_VALUE"""),"")</f>
        <v/>
      </c>
      <c r="AK94" t="str">
        <f ca="1">IFERROR(__xludf.DUMMYFUNCTION("""COMPUTED_VALUE"""),"")</f>
        <v/>
      </c>
      <c r="AL94" t="str">
        <f ca="1">IFERROR(__xludf.DUMMYFUNCTION("""COMPUTED_VALUE"""),"")</f>
        <v/>
      </c>
      <c r="AM94" t="str">
        <f ca="1">IFERROR(__xludf.DUMMYFUNCTION("""COMPUTED_VALUE"""),"")</f>
        <v/>
      </c>
      <c r="AN94" t="str">
        <f ca="1">IFERROR(__xludf.DUMMYFUNCTION("""COMPUTED_VALUE"""),"")</f>
        <v/>
      </c>
      <c r="AO94" t="str">
        <f ca="1">IFERROR(__xludf.DUMMYFUNCTION("""COMPUTED_VALUE"""),"")</f>
        <v/>
      </c>
      <c r="AP94" t="str">
        <f ca="1">IFERROR(__xludf.DUMMYFUNCTION("""COMPUTED_VALUE"""),"")</f>
        <v/>
      </c>
      <c r="AQ94" t="str">
        <f ca="1">IFERROR(__xludf.DUMMYFUNCTION("""COMPUTED_VALUE"""),"")</f>
        <v/>
      </c>
      <c r="AR94" t="str">
        <f ca="1">IFERROR(__xludf.DUMMYFUNCTION("""COMPUTED_VALUE"""),"")</f>
        <v/>
      </c>
    </row>
    <row r="95" spans="1:44" ht="13">
      <c r="A95" t="str">
        <f ca="1">IFERROR(__xludf.DUMMYFUNCTION("""COMPUTED_VALUE"""),"SR")</f>
        <v>SR</v>
      </c>
      <c r="B95" s="41">
        <f ca="1">IFERROR(__xludf.DUMMYFUNCTION("""COMPUTED_VALUE"""),43441)</f>
        <v>43441</v>
      </c>
      <c r="C95" t="str">
        <f ca="1">IFERROR(__xludf.DUMMYFUNCTION("""COMPUTED_VALUE"""),"SH")</f>
        <v>SH</v>
      </c>
      <c r="D95" s="39">
        <f ca="1">IFERROR(__xludf.DUMMYFUNCTION("""COMPUTED_VALUE"""),43574)</f>
        <v>43574</v>
      </c>
      <c r="E95" t="str">
        <f ca="1">IFERROR(__xludf.DUMMYFUNCTION("""COMPUTED_VALUE"""),"TRH")</f>
        <v>TRH</v>
      </c>
      <c r="F95" s="39">
        <f ca="1">IFERROR(__xludf.DUMMYFUNCTION("""COMPUTED_VALUE"""),43581)</f>
        <v>43581</v>
      </c>
      <c r="G95" t="str">
        <f ca="1">IFERROR(__xludf.DUMMYFUNCTION("""COMPUTED_VALUE"""),"")</f>
        <v/>
      </c>
      <c r="H95" t="str">
        <f ca="1">IFERROR(__xludf.DUMMYFUNCTION("""COMPUTED_VALUE"""),"2162-9730")</f>
        <v>2162-9730</v>
      </c>
      <c r="I95" t="str">
        <f ca="1">IFERROR(__xludf.DUMMYFUNCTION("""COMPUTED_VALUE"""),"Management Information Systems Quarterly")</f>
        <v>Management Information Systems Quarterly</v>
      </c>
      <c r="J95" t="str">
        <f ca="1">IFERROR(__xludf.DUMMYFUNCTION("""COMPUTED_VALUE"""),"Business, Economics &amp; Management")</f>
        <v>Business, Economics &amp; Management</v>
      </c>
      <c r="K95" t="str">
        <f ca="1">IFERROR(__xludf.DUMMYFUNCTION("""COMPUTED_VALUE"""),"Association for Information Systems")</f>
        <v>Association for Information Systems</v>
      </c>
      <c r="L95" t="str">
        <f ca="1">IFERROR(__xludf.DUMMYFUNCTION("""COMPUTED_VALUE"""),"Double-blind")</f>
        <v>Double-blind</v>
      </c>
      <c r="M95" s="93" t="str">
        <f ca="1">IFERROR(__xludf.DUMMYFUNCTION("""COMPUTED_VALUE"""),"https://www.misq.org/skin/frontend/default/misq/pdf/ReviewerRole.pdf")</f>
        <v>https://www.misq.org/skin/frontend/default/misq/pdf/ReviewerRole.pdf</v>
      </c>
      <c r="N95" t="str">
        <f ca="1">IFERROR(__xludf.DUMMYFUNCTION("""COMPUTED_VALUE"""),"")</f>
        <v/>
      </c>
      <c r="O95" t="str">
        <f ca="1">IFERROR(__xludf.DUMMYFUNCTION("""COMPUTED_VALUE"""),"")</f>
        <v/>
      </c>
      <c r="P95" t="str">
        <f ca="1">IFERROR(__xludf.DUMMYFUNCTION("""COMPUTED_VALUE"""),"Unsure")</f>
        <v>Unsure</v>
      </c>
      <c r="Q95" t="str">
        <f ca="1">IFERROR(__xludf.DUMMYFUNCTION("""COMPUTED_VALUE"""),"")</f>
        <v/>
      </c>
      <c r="R95" t="str">
        <f ca="1">IFERROR(__xludf.DUMMYFUNCTION("""COMPUTED_VALUE"""),"")</f>
        <v/>
      </c>
      <c r="S95" t="str">
        <f ca="1">IFERROR(__xludf.DUMMYFUNCTION("""COMPUTED_VALUE"""),"Not specified")</f>
        <v>Not specified</v>
      </c>
      <c r="T95" t="str">
        <f ca="1">IFERROR(__xludf.DUMMYFUNCTION("""COMPUTED_VALUE"""),"Not specified")</f>
        <v>Not specified</v>
      </c>
      <c r="U95" t="str">
        <f ca="1">IFERROR(__xludf.DUMMYFUNCTION("""COMPUTED_VALUE"""),"Not specified")</f>
        <v>Not specified</v>
      </c>
      <c r="V95" t="str">
        <f ca="1">IFERROR(__xludf.DUMMYFUNCTION("""COMPUTED_VALUE"""),"Not specified")</f>
        <v>Not specified</v>
      </c>
      <c r="W95" t="str">
        <f ca="1">IFERROR(__xludf.DUMMYFUNCTION("""COMPUTED_VALUE"""),"Not specified")</f>
        <v>Not specified</v>
      </c>
      <c r="X95" t="str">
        <f ca="1">IFERROR(__xludf.DUMMYFUNCTION("""COMPUTED_VALUE"""),"No")</f>
        <v>No</v>
      </c>
      <c r="Y95" t="str">
        <f ca="1">IFERROR(__xludf.DUMMYFUNCTION("""COMPUTED_VALUE"""),"Not specified")</f>
        <v>Not specified</v>
      </c>
      <c r="Z95" t="str">
        <f ca="1">IFERROR(__xludf.DUMMYFUNCTION("""COMPUTED_VALUE"""),"Not specified")</f>
        <v>Not specified</v>
      </c>
      <c r="AA95" t="str">
        <f ca="1">IFERROR(__xludf.DUMMYFUNCTION("""COMPUTED_VALUE"""),"")</f>
        <v/>
      </c>
      <c r="AB95" t="str">
        <f ca="1">IFERROR(__xludf.DUMMYFUNCTION("""COMPUTED_VALUE"""),"")</f>
        <v/>
      </c>
      <c r="AC95" t="str">
        <f ca="1">IFERROR(__xludf.DUMMYFUNCTION("""COMPUTED_VALUE"""),"")</f>
        <v/>
      </c>
      <c r="AD95" t="str">
        <f ca="1">IFERROR(__xludf.DUMMYFUNCTION("""COMPUTED_VALUE"""),"Unsure")</f>
        <v>Unsure</v>
      </c>
      <c r="AE95" t="str">
        <f ca="1">IFERROR(__xludf.DUMMYFUNCTION("""COMPUTED_VALUE"""),"Unsure")</f>
        <v>Unsure</v>
      </c>
      <c r="AF95" t="str">
        <f ca="1">IFERROR(__xludf.DUMMYFUNCTION("""COMPUTED_VALUE"""),"Unsure")</f>
        <v>Unsure</v>
      </c>
      <c r="AG95" t="str">
        <f ca="1">IFERROR(__xludf.DUMMYFUNCTION("""COMPUTED_VALUE"""),"")</f>
        <v/>
      </c>
      <c r="AH95" t="str">
        <f ca="1">IFERROR(__xludf.DUMMYFUNCTION("""COMPUTED_VALUE"""),"No preprint policy")</f>
        <v>No preprint policy</v>
      </c>
      <c r="AI95" t="str">
        <f ca="1">IFERROR(__xludf.DUMMYFUNCTION("""COMPUTED_VALUE"""),"")</f>
        <v/>
      </c>
      <c r="AJ95" t="str">
        <f ca="1">IFERROR(__xludf.DUMMYFUNCTION("""COMPUTED_VALUE"""),"Not specified")</f>
        <v>Not specified</v>
      </c>
      <c r="AK95" t="str">
        <f ca="1">IFERROR(__xludf.DUMMYFUNCTION("""COMPUTED_VALUE"""),"Unsure")</f>
        <v>Unsure</v>
      </c>
      <c r="AL95" t="str">
        <f ca="1">IFERROR(__xludf.DUMMYFUNCTION("""COMPUTED_VALUE"""),"")</f>
        <v/>
      </c>
      <c r="AM95" t="str">
        <f ca="1">IFERROR(__xludf.DUMMYFUNCTION("""COMPUTED_VALUE"""),"")</f>
        <v/>
      </c>
      <c r="AN95" t="str">
        <f ca="1">IFERROR(__xludf.DUMMYFUNCTION("""COMPUTED_VALUE"""),"")</f>
        <v/>
      </c>
      <c r="AO95" t="str">
        <f ca="1">IFERROR(__xludf.DUMMYFUNCTION("""COMPUTED_VALUE"""),"")</f>
        <v/>
      </c>
      <c r="AP95" t="str">
        <f ca="1">IFERROR(__xludf.DUMMYFUNCTION("""COMPUTED_VALUE"""),"Management Information Systems Quarterly does not offer any information on its website regarding peer review/pre-print policies. // 
I couldn't find any info about a preprint policy, but I found this in the copyright section: ""MIS Quarterly does not anno"&amp;"unce availability of manuscripts under review prior to acceptance. However, authors have every right to post, on their own Websites, versions of their manuscripts that are under review at MISQ; however, they cannot state that they are, in fact, under revi"&amp;"ew at MISQ. Once a paper is accepted for publication in MIS Quarterly, all authors must remove it from their Web sites.""
")</f>
        <v xml:space="preserve">Management Information Systems Quarterly does not offer any information on its website regarding peer review/pre-print policies. // 
I couldn't find any info about a preprint policy, but I found this in the copyright section: "MIS Quarterly does not announce availability of manuscripts under review prior to acceptance. However, authors have every right to post, on their own Websites, versions of their manuscripts that are under review at MISQ; however, they cannot state that they are, in fact, under review at MISQ. Once a paper is accepted for publication in MIS Quarterly, all authors must remove it from their Web sites."
</v>
      </c>
      <c r="AQ95" t="str">
        <f ca="1">IFERROR(__xludf.DUMMYFUNCTION("""COMPUTED_VALUE"""),"10 mins")</f>
        <v>10 mins</v>
      </c>
      <c r="AR95" t="str">
        <f ca="1">IFERROR(__xludf.DUMMYFUNCTION("""COMPUTED_VALUE"""),"")</f>
        <v/>
      </c>
    </row>
    <row r="96" spans="1:44" ht="13">
      <c r="A96" t="str">
        <f ca="1">IFERROR(__xludf.DUMMYFUNCTION("""COMPUTED_VALUE"""),"SR")</f>
        <v>SR</v>
      </c>
      <c r="B96" s="41">
        <f ca="1">IFERROR(__xludf.DUMMYFUNCTION("""COMPUTED_VALUE"""),43441)</f>
        <v>43441</v>
      </c>
      <c r="C96" t="str">
        <f ca="1">IFERROR(__xludf.DUMMYFUNCTION("""COMPUTED_VALUE"""),"SH")</f>
        <v>SH</v>
      </c>
      <c r="D96" s="39">
        <f ca="1">IFERROR(__xludf.DUMMYFUNCTION("""COMPUTED_VALUE"""),43574)</f>
        <v>43574</v>
      </c>
      <c r="E96" t="str">
        <f ca="1">IFERROR(__xludf.DUMMYFUNCTION("""COMPUTED_VALUE"""),"TRH")</f>
        <v>TRH</v>
      </c>
      <c r="F96" s="39">
        <f ca="1">IFERROR(__xludf.DUMMYFUNCTION("""COMPUTED_VALUE"""),43581)</f>
        <v>43581</v>
      </c>
      <c r="G96" t="str">
        <f ca="1">IFERROR(__xludf.DUMMYFUNCTION("""COMPUTED_VALUE"""),"")</f>
        <v/>
      </c>
      <c r="H96" t="str">
        <f ca="1">IFERROR(__xludf.DUMMYFUNCTION("""COMPUTED_VALUE"""),"1526-5501")</f>
        <v>1526-5501</v>
      </c>
      <c r="I96" t="str">
        <f ca="1">IFERROR(__xludf.DUMMYFUNCTION("""COMPUTED_VALUE"""),"Management Science")</f>
        <v>Management Science</v>
      </c>
      <c r="J96" t="str">
        <f ca="1">IFERROR(__xludf.DUMMYFUNCTION("""COMPUTED_VALUE"""),"Business, Economics &amp; Management")</f>
        <v>Business, Economics &amp; Management</v>
      </c>
      <c r="K96" t="str">
        <f ca="1">IFERROR(__xludf.DUMMYFUNCTION("""COMPUTED_VALUE"""),"The Institute for Operations Research and the Management Sciences")</f>
        <v>The Institute for Operations Research and the Management Sciences</v>
      </c>
      <c r="L96" t="str">
        <f ca="1">IFERROR(__xludf.DUMMYFUNCTION("""COMPUTED_VALUE"""),"Double blind")</f>
        <v>Double blind</v>
      </c>
      <c r="M96" s="93" t="str">
        <f ca="1">IFERROR(__xludf.DUMMYFUNCTION("""COMPUTED_VALUE"""),"https://pubsonline.informs.org/page/mnsc/submission-guidelines")</f>
        <v>https://pubsonline.informs.org/page/mnsc/submission-guidelines</v>
      </c>
      <c r="N96" t="str">
        <f ca="1">IFERROR(__xludf.DUMMYFUNCTION("""COMPUTED_VALUE"""),"")</f>
        <v/>
      </c>
      <c r="O96" t="str">
        <f ca="1">IFERROR(__xludf.DUMMYFUNCTION("""COMPUTED_VALUE"""),"")</f>
        <v/>
      </c>
      <c r="P96" t="str">
        <f ca="1">IFERROR(__xludf.DUMMYFUNCTION("""COMPUTED_VALUE"""),"Unsure")</f>
        <v>Unsure</v>
      </c>
      <c r="Q96" t="str">
        <f ca="1">IFERROR(__xludf.DUMMYFUNCTION("""COMPUTED_VALUE"""),"")</f>
        <v/>
      </c>
      <c r="R96" t="str">
        <f ca="1">IFERROR(__xludf.DUMMYFUNCTION("""COMPUTED_VALUE"""),"")</f>
        <v/>
      </c>
      <c r="S96" t="str">
        <f ca="1">IFERROR(__xludf.DUMMYFUNCTION("""COMPUTED_VALUE"""),"Not specified")</f>
        <v>Not specified</v>
      </c>
      <c r="T96" t="str">
        <f ca="1">IFERROR(__xludf.DUMMYFUNCTION("""COMPUTED_VALUE"""),"Not specified")</f>
        <v>Not specified</v>
      </c>
      <c r="U96" t="str">
        <f ca="1">IFERROR(__xludf.DUMMYFUNCTION("""COMPUTED_VALUE"""),"Not specified")</f>
        <v>Not specified</v>
      </c>
      <c r="V96" t="str">
        <f ca="1">IFERROR(__xludf.DUMMYFUNCTION("""COMPUTED_VALUE"""),"Not specified")</f>
        <v>Not specified</v>
      </c>
      <c r="W96" t="str">
        <f ca="1">IFERROR(__xludf.DUMMYFUNCTION("""COMPUTED_VALUE"""),"Not specified")</f>
        <v>Not specified</v>
      </c>
      <c r="X96" t="str">
        <f ca="1">IFERROR(__xludf.DUMMYFUNCTION("""COMPUTED_VALUE"""),"No")</f>
        <v>No</v>
      </c>
      <c r="Y96" t="str">
        <f ca="1">IFERROR(__xludf.DUMMYFUNCTION("""COMPUTED_VALUE"""),"Not specified")</f>
        <v>Not specified</v>
      </c>
      <c r="Z96" t="str">
        <f ca="1">IFERROR(__xludf.DUMMYFUNCTION("""COMPUTED_VALUE"""),"Not specified")</f>
        <v>Not specified</v>
      </c>
      <c r="AA96" t="str">
        <f ca="1">IFERROR(__xludf.DUMMYFUNCTION("""COMPUTED_VALUE"""),"")</f>
        <v/>
      </c>
      <c r="AB96" t="str">
        <f ca="1">IFERROR(__xludf.DUMMYFUNCTION("""COMPUTED_VALUE"""),"")</f>
        <v/>
      </c>
      <c r="AC96" t="str">
        <f ca="1">IFERROR(__xludf.DUMMYFUNCTION("""COMPUTED_VALUE"""),"")</f>
        <v/>
      </c>
      <c r="AD96" t="str">
        <f ca="1">IFERROR(__xludf.DUMMYFUNCTION("""COMPUTED_VALUE"""),"Unsure")</f>
        <v>Unsure</v>
      </c>
      <c r="AE96" t="str">
        <f ca="1">IFERROR(__xludf.DUMMYFUNCTION("""COMPUTED_VALUE"""),"Unsure")</f>
        <v>Unsure</v>
      </c>
      <c r="AF96" t="str">
        <f ca="1">IFERROR(__xludf.DUMMYFUNCTION("""COMPUTED_VALUE"""),"Unsure")</f>
        <v>Unsure</v>
      </c>
      <c r="AG96" t="str">
        <f ca="1">IFERROR(__xludf.DUMMYFUNCTION("""COMPUTED_VALUE"""),"")</f>
        <v/>
      </c>
      <c r="AH96" t="str">
        <f ca="1">IFERROR(__xludf.DUMMYFUNCTION("""COMPUTED_VALUE"""),"No preprint policy")</f>
        <v>No preprint policy</v>
      </c>
      <c r="AI96" t="str">
        <f ca="1">IFERROR(__xludf.DUMMYFUNCTION("""COMPUTED_VALUE"""),"")</f>
        <v/>
      </c>
      <c r="AJ96" t="str">
        <f ca="1">IFERROR(__xludf.DUMMYFUNCTION("""COMPUTED_VALUE"""),"Not specified")</f>
        <v>Not specified</v>
      </c>
      <c r="AK96" t="str">
        <f ca="1">IFERROR(__xludf.DUMMYFUNCTION("""COMPUTED_VALUE"""),"Unsure")</f>
        <v>Unsure</v>
      </c>
      <c r="AL96" t="str">
        <f ca="1">IFERROR(__xludf.DUMMYFUNCTION("""COMPUTED_VALUE"""),"")</f>
        <v/>
      </c>
      <c r="AM96" t="str">
        <f ca="1">IFERROR(__xludf.DUMMYFUNCTION("""COMPUTED_VALUE"""),"")</f>
        <v/>
      </c>
      <c r="AN96" t="str">
        <f ca="1">IFERROR(__xludf.DUMMYFUNCTION("""COMPUTED_VALUE"""),"")</f>
        <v/>
      </c>
      <c r="AO96" t="str">
        <f ca="1">IFERROR(__xludf.DUMMYFUNCTION("""COMPUTED_VALUE"""),"")</f>
        <v/>
      </c>
      <c r="AP96" t="str">
        <f ca="1">IFERROR(__xludf.DUMMYFUNCTION("""COMPUTED_VALUE"""),"The information found on the Management Science website is not very comprehensive in general. However, the review process is detailed, as is the procedure to blind reviewers. // No preprint policy, but it does state ""As a condition of final acceptance of"&amp;" a paper for publication in an INFORMS journal, the author must indicate if the paper is posted on a website other than the author’s personal website. The author is responsible for ensuring that, if any part of the paper has been copyrighted for prepublic"&amp;"ation, for example, as a working paper, the copyright can and will be transferred to INFORMS when the paper has been accepted. This includes both print and electronic forms of the paper. Authors may post their papers on websites after acceptance and prior"&amp;" to publication, as long as the sites are not copyrighted and/or do not serve as formal repositories. Authors may not post their page proofs on websites prior to publication. """)</f>
        <v>The information found on the Management Science website is not very comprehensive in general. However, the review process is detailed, as is the procedure to blind reviewers. // No preprint policy, but it does state "As a condition of final acceptance of a paper for publication in an INFORMS journal, the author must indicate if the paper is posted on a website other than the author’s personal website. The author is responsible for ensuring that, if any part of the paper has been copyrighted for prepublication, for example, as a working paper, the copyright can and will be transferred to INFORMS when the paper has been accepted. This includes both print and electronic forms of the paper. Authors may post their papers on websites after acceptance and prior to publication, as long as the sites are not copyrighted and/or do not serve as formal repositories. Authors may not post their page proofs on websites prior to publication. "</v>
      </c>
      <c r="AQ96" t="str">
        <f ca="1">IFERROR(__xludf.DUMMYFUNCTION("""COMPUTED_VALUE"""),"20 mins")</f>
        <v>20 mins</v>
      </c>
      <c r="AR96" t="str">
        <f ca="1">IFERROR(__xludf.DUMMYFUNCTION("""COMPUTED_VALUE"""),"")</f>
        <v/>
      </c>
    </row>
    <row r="97" spans="1:44" ht="13">
      <c r="A97" t="str">
        <f ca="1">IFERROR(__xludf.DUMMYFUNCTION("""COMPUTED_VALUE"""),"SR")</f>
        <v>SR</v>
      </c>
      <c r="B97" s="41">
        <f ca="1">IFERROR(__xludf.DUMMYFUNCTION("""COMPUTED_VALUE"""),43439)</f>
        <v>43439</v>
      </c>
      <c r="C97" t="str">
        <f ca="1">IFERROR(__xludf.DUMMYFUNCTION("""COMPUTED_VALUE"""),"SH")</f>
        <v>SH</v>
      </c>
      <c r="D97" s="39">
        <f ca="1">IFERROR(__xludf.DUMMYFUNCTION("""COMPUTED_VALUE"""),43574)</f>
        <v>43574</v>
      </c>
      <c r="E97" t="str">
        <f ca="1">IFERROR(__xludf.DUMMYFUNCTION("""COMPUTED_VALUE"""),"TRH")</f>
        <v>TRH</v>
      </c>
      <c r="F97" s="39">
        <f ca="1">IFERROR(__xludf.DUMMYFUNCTION("""COMPUTED_VALUE"""),43581)</f>
        <v>43581</v>
      </c>
      <c r="G97" t="str">
        <f ca="1">IFERROR(__xludf.DUMMYFUNCTION("""COMPUTED_VALUE"""),"")</f>
        <v/>
      </c>
      <c r="H97" t="str">
        <f ca="1">IFERROR(__xludf.DUMMYFUNCTION("""COMPUTED_VALUE"""),"1460-3675")</f>
        <v>1460-3675</v>
      </c>
      <c r="I97" t="str">
        <f ca="1">IFERROR(__xludf.DUMMYFUNCTION("""COMPUTED_VALUE"""),"Media, Culture &amp; Society")</f>
        <v>Media, Culture &amp; Society</v>
      </c>
      <c r="J97" t="str">
        <f ca="1">IFERROR(__xludf.DUMMYFUNCTION("""COMPUTED_VALUE"""),"Humanities, Literature &amp; Arts")</f>
        <v>Humanities, Literature &amp; Arts</v>
      </c>
      <c r="K97" t="str">
        <f ca="1">IFERROR(__xludf.DUMMYFUNCTION("""COMPUTED_VALUE"""),"SAGE")</f>
        <v>SAGE</v>
      </c>
      <c r="L97" t="str">
        <f ca="1">IFERROR(__xludf.DUMMYFUNCTION("""COMPUTED_VALUE"""),"Double blind")</f>
        <v>Double blind</v>
      </c>
      <c r="M97" s="93" t="str">
        <f ca="1">IFERROR(__xludf.DUMMYFUNCTION("""COMPUTED_VALUE"""),"https://uk.sagepub.com/en-gb/eur/journal/media-culture-society#submission-guidelines")</f>
        <v>https://uk.sagepub.com/en-gb/eur/journal/media-culture-society#submission-guidelines</v>
      </c>
      <c r="N97" t="str">
        <f ca="1">IFERROR(__xludf.DUMMYFUNCTION("""COMPUTED_VALUE"""),"")</f>
        <v/>
      </c>
      <c r="O97" t="str">
        <f ca="1">IFERROR(__xludf.DUMMYFUNCTION("""COMPUTED_VALUE"""),"")</f>
        <v/>
      </c>
      <c r="P97" t="str">
        <f ca="1">IFERROR(__xludf.DUMMYFUNCTION("""COMPUTED_VALUE"""),"No")</f>
        <v>No</v>
      </c>
      <c r="Q97" t="str">
        <f ca="1">IFERROR(__xludf.DUMMYFUNCTION("""COMPUTED_VALUE"""),"")</f>
        <v/>
      </c>
      <c r="R97" t="str">
        <f ca="1">IFERROR(__xludf.DUMMYFUNCTION("""COMPUTED_VALUE"""),"")</f>
        <v/>
      </c>
      <c r="S97" t="str">
        <f ca="1">IFERROR(__xludf.DUMMYFUNCTION("""COMPUTED_VALUE"""),"Not specified")</f>
        <v>Not specified</v>
      </c>
      <c r="T97" t="str">
        <f ca="1">IFERROR(__xludf.DUMMYFUNCTION("""COMPUTED_VALUE"""),"Not specified")</f>
        <v>Not specified</v>
      </c>
      <c r="U97" t="str">
        <f ca="1">IFERROR(__xludf.DUMMYFUNCTION("""COMPUTED_VALUE"""),"Not specified")</f>
        <v>Not specified</v>
      </c>
      <c r="V97" t="str">
        <f ca="1">IFERROR(__xludf.DUMMYFUNCTION("""COMPUTED_VALUE"""),"Not specified")</f>
        <v>Not specified</v>
      </c>
      <c r="W97" t="str">
        <f ca="1">IFERROR(__xludf.DUMMYFUNCTION("""COMPUTED_VALUE"""),"Not specified")</f>
        <v>Not specified</v>
      </c>
      <c r="X97" t="str">
        <f ca="1">IFERROR(__xludf.DUMMYFUNCTION("""COMPUTED_VALUE"""),"No")</f>
        <v>No</v>
      </c>
      <c r="Y97" t="str">
        <f ca="1">IFERROR(__xludf.DUMMYFUNCTION("""COMPUTED_VALUE"""),"Not specified")</f>
        <v>Not specified</v>
      </c>
      <c r="Z97" t="str">
        <f ca="1">IFERROR(__xludf.DUMMYFUNCTION("""COMPUTED_VALUE"""),"Not specified")</f>
        <v>Not specified</v>
      </c>
      <c r="AA97" t="str">
        <f ca="1">IFERROR(__xludf.DUMMYFUNCTION("""COMPUTED_VALUE"""),"")</f>
        <v/>
      </c>
      <c r="AB97" t="str">
        <f ca="1">IFERROR(__xludf.DUMMYFUNCTION("""COMPUTED_VALUE"""),"")</f>
        <v/>
      </c>
      <c r="AC97" t="str">
        <f ca="1">IFERROR(__xludf.DUMMYFUNCTION("""COMPUTED_VALUE"""),"")</f>
        <v/>
      </c>
      <c r="AD97" t="str">
        <f ca="1">IFERROR(__xludf.DUMMYFUNCTION("""COMPUTED_VALUE"""),"Unsure")</f>
        <v>Unsure</v>
      </c>
      <c r="AE97" t="str">
        <f ca="1">IFERROR(__xludf.DUMMYFUNCTION("""COMPUTED_VALUE"""),"Unsure")</f>
        <v>Unsure</v>
      </c>
      <c r="AF97" t="str">
        <f ca="1">IFERROR(__xludf.DUMMYFUNCTION("""COMPUTED_VALUE"""),"Unsure")</f>
        <v>Unsure</v>
      </c>
      <c r="AG97" s="93" t="str">
        <f ca="1">IFERROR(__xludf.DUMMYFUNCTION("""COMPUTED_VALUE"""),"https://uk.sagepub.com/en-gb/eur/journal-author-archiving-policies-and-re-use")</f>
        <v>https://uk.sagepub.com/en-gb/eur/journal-author-archiving-policies-and-re-use</v>
      </c>
      <c r="AH97" t="str">
        <f ca="1">IFERROR(__xludf.DUMMYFUNCTION("""COMPUTED_VALUE"""),"First submission only (before peer review) [unless you wait 12 months for the embargo to clear for the accepted version]")</f>
        <v>First submission only (before peer review) [unless you wait 12 months for the embargo to clear for the accepted version]</v>
      </c>
      <c r="AI97" t="str">
        <f ca="1">IFERROR(__xludf.DUMMYFUNCTION("""COMPUTED_VALUE"""),"Insitutional repositories/not-for profit servers outside own institution ")</f>
        <v xml:space="preserve">Insitutional repositories/not-for profit servers outside own institution </v>
      </c>
      <c r="AJ97" t="str">
        <f ca="1">IFERROR(__xludf.DUMMYFUNCTION("""COMPUTED_VALUE"""),"Not specified")</f>
        <v>Not specified</v>
      </c>
      <c r="AK97" t="str">
        <f ca="1">IFERROR(__xludf.DUMMYFUNCTION("""COMPUTED_VALUE"""),"No")</f>
        <v>No</v>
      </c>
      <c r="AL97" t="str">
        <f ca="1">IFERROR(__xludf.DUMMYFUNCTION("""COMPUTED_VALUE"""),"")</f>
        <v/>
      </c>
      <c r="AM97" t="str">
        <f ca="1">IFERROR(__xludf.DUMMYFUNCTION("""COMPUTED_VALUE"""),"")</f>
        <v/>
      </c>
      <c r="AN97" t="str">
        <f ca="1">IFERROR(__xludf.DUMMYFUNCTION("""COMPUTED_VALUE"""),"")</f>
        <v/>
      </c>
      <c r="AO97" t="str">
        <f ca="1">IFERROR(__xludf.DUMMYFUNCTION("""COMPUTED_VALUE"""),"")</f>
        <v/>
      </c>
      <c r="AP97" t="str">
        <f ca="1">IFERROR(__xludf.DUMMYFUNCTION("""COMPUTED_VALUE"""),"SAGE offers comprehensive author guidelines which are specified for the journal in question (in this case, Media, Communication &amp; Society). This information is spread out across a host of documents, which makes it somewhat difficult to retrieve. It's also"&amp;" not very specific about issues of open peer review, but SAGE's guidelines on preprints (prior publication) are comprehensive and fairly easily accessible.")</f>
        <v>SAGE offers comprehensive author guidelines which are specified for the journal in question (in this case, Media, Communication &amp; Society). This information is spread out across a host of documents, which makes it somewhat difficult to retrieve. It's also not very specific about issues of open peer review, but SAGE's guidelines on preprints (prior publication) are comprehensive and fairly easily accessible.</v>
      </c>
      <c r="AQ97" t="str">
        <f ca="1">IFERROR(__xludf.DUMMYFUNCTION("""COMPUTED_VALUE"""),"45 mins")</f>
        <v>45 mins</v>
      </c>
      <c r="AR97" t="str">
        <f ca="1">IFERROR(__xludf.DUMMYFUNCTION("""COMPUTED_VALUE"""),"")</f>
        <v/>
      </c>
    </row>
    <row r="98" spans="1:44" ht="13">
      <c r="A98" t="str">
        <f ca="1">IFERROR(__xludf.DUMMYFUNCTION("""COMPUTED_VALUE"""),"SR")</f>
        <v>SR</v>
      </c>
      <c r="B98" s="41">
        <f ca="1">IFERROR(__xludf.DUMMYFUNCTION("""COMPUTED_VALUE"""),43439)</f>
        <v>43439</v>
      </c>
      <c r="C98" t="str">
        <f ca="1">IFERROR(__xludf.DUMMYFUNCTION("""COMPUTED_VALUE"""),"SH")</f>
        <v>SH</v>
      </c>
      <c r="D98" s="39">
        <f ca="1">IFERROR(__xludf.DUMMYFUNCTION("""COMPUTED_VALUE"""),43574)</f>
        <v>43574</v>
      </c>
      <c r="E98" t="str">
        <f ca="1">IFERROR(__xludf.DUMMYFUNCTION("""COMPUTED_VALUE"""),"TRH")</f>
        <v>TRH</v>
      </c>
      <c r="F98" s="39">
        <f ca="1">IFERROR(__xludf.DUMMYFUNCTION("""COMPUTED_VALUE"""),43581)</f>
        <v>43581</v>
      </c>
      <c r="G98" t="str">
        <f ca="1">IFERROR(__xludf.DUMMYFUNCTION("""COMPUTED_VALUE"""),"")</f>
        <v/>
      </c>
      <c r="H98" t="str">
        <f ca="1">IFERROR(__xludf.DUMMYFUNCTION("""COMPUTED_VALUE"""),"1097-2765")</f>
        <v>1097-2765</v>
      </c>
      <c r="I98" t="str">
        <f ca="1">IFERROR(__xludf.DUMMYFUNCTION("""COMPUTED_VALUE"""),"Molecular Cell")</f>
        <v>Molecular Cell</v>
      </c>
      <c r="J98" t="str">
        <f ca="1">IFERROR(__xludf.DUMMYFUNCTION("""COMPUTED_VALUE"""),"Life Sciences &amp; Earth Sciences")</f>
        <v>Life Sciences &amp; Earth Sciences</v>
      </c>
      <c r="K98" t="str">
        <f ca="1">IFERROR(__xludf.DUMMYFUNCTION("""COMPUTED_VALUE"""),"Elsevier")</f>
        <v>Elsevier</v>
      </c>
      <c r="L98" t="str">
        <f ca="1">IFERROR(__xludf.DUMMYFUNCTION("""COMPUTED_VALUE"""),"Unsure")</f>
        <v>Unsure</v>
      </c>
      <c r="M98" s="93" t="str">
        <f ca="1">IFERROR(__xludf.DUMMYFUNCTION("""COMPUTED_VALUE"""),"https://www.cell.com/molecular-cell/authors")</f>
        <v>https://www.cell.com/molecular-cell/authors</v>
      </c>
      <c r="N98" t="str">
        <f ca="1">IFERROR(__xludf.DUMMYFUNCTION("""COMPUTED_VALUE"""),"")</f>
        <v/>
      </c>
      <c r="O98" t="str">
        <f ca="1">IFERROR(__xludf.DUMMYFUNCTION("""COMPUTED_VALUE"""),"")</f>
        <v/>
      </c>
      <c r="P98" t="str">
        <f ca="1">IFERROR(__xludf.DUMMYFUNCTION("""COMPUTED_VALUE"""),"Unsure")</f>
        <v>Unsure</v>
      </c>
      <c r="Q98" t="str">
        <f ca="1">IFERROR(__xludf.DUMMYFUNCTION("""COMPUTED_VALUE"""),"We know it can be time consuming to serially submit your paper to multiple journals, restarting the review process each time. Cell Press publishes many journals, and we give you the opportunity to transfer your paper, along with the reviews and the review"&amp;"ers' identities, from one journal to another. If you have questions about the suitability of your paper for transfer, please contact the editor of the receiving journal. If you have general questions about the transfer process, please refer to our FAQs on"&amp;" article transfers. Often, the Editor of the target journal will be able to reach a decision based on the existing reviews. Occasionally, the Editor may seek comments from additional reviewers. If you transfer your paper using our online system, you will "&amp;"have a chance to edit your files before they are sent to the receiving journal. You can always submit your paper to another Cell Press journal without mentioning the first review process. In this case, the manuscript will be evaluated as a regular new sub"&amp;"mission.")</f>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98" s="93" t="str">
        <f ca="1">IFERROR(__xludf.DUMMYFUNCTION("""COMPUTED_VALUE"""),"https://www.cell.com/molecular-cell/authors")</f>
        <v>https://www.cell.com/molecular-cell/authors</v>
      </c>
      <c r="S98" t="str">
        <f ca="1">IFERROR(__xludf.DUMMYFUNCTION("""COMPUTED_VALUE"""),"Not specified")</f>
        <v>Not specified</v>
      </c>
      <c r="T98" t="str">
        <f ca="1">IFERROR(__xludf.DUMMYFUNCTION("""COMPUTED_VALUE"""),"Not specified")</f>
        <v>Not specified</v>
      </c>
      <c r="U98" t="str">
        <f ca="1">IFERROR(__xludf.DUMMYFUNCTION("""COMPUTED_VALUE"""),"Not specified")</f>
        <v>Not specified</v>
      </c>
      <c r="V98" t="str">
        <f ca="1">IFERROR(__xludf.DUMMYFUNCTION("""COMPUTED_VALUE"""),"Not specified")</f>
        <v>Not specified</v>
      </c>
      <c r="W98" t="str">
        <f ca="1">IFERROR(__xludf.DUMMYFUNCTION("""COMPUTED_VALUE"""),"Not specified")</f>
        <v>Not specified</v>
      </c>
      <c r="X98" t="str">
        <f ca="1">IFERROR(__xludf.DUMMYFUNCTION("""COMPUTED_VALUE"""),"Not specified")</f>
        <v>Not specified</v>
      </c>
      <c r="Y98" t="str">
        <f ca="1">IFERROR(__xludf.DUMMYFUNCTION("""COMPUTED_VALUE"""),"Not specified")</f>
        <v>Not specified</v>
      </c>
      <c r="Z98" t="str">
        <f ca="1">IFERROR(__xludf.DUMMYFUNCTION("""COMPUTED_VALUE"""),"Not specified")</f>
        <v>Not specified</v>
      </c>
      <c r="AA98" t="str">
        <f ca="1">IFERROR(__xludf.DUMMYFUNCTION("""COMPUTED_VALUE"""),"")</f>
        <v/>
      </c>
      <c r="AB98" t="str">
        <f ca="1">IFERROR(__xludf.DUMMYFUNCTION("""COMPUTED_VALUE"""),"")</f>
        <v/>
      </c>
      <c r="AC98" t="str">
        <f ca="1">IFERROR(__xludf.DUMMYFUNCTION("""COMPUTED_VALUE"""),"")</f>
        <v/>
      </c>
      <c r="AD98" t="str">
        <f ca="1">IFERROR(__xludf.DUMMYFUNCTION("""COMPUTED_VALUE"""),"Unsure")</f>
        <v>Unsure</v>
      </c>
      <c r="AE98" t="str">
        <f ca="1">IFERROR(__xludf.DUMMYFUNCTION("""COMPUTED_VALUE"""),"Unsure")</f>
        <v>Unsure</v>
      </c>
      <c r="AF98" t="str">
        <f ca="1">IFERROR(__xludf.DUMMYFUNCTION("""COMPUTED_VALUE"""),"Unsure")</f>
        <v>Unsure</v>
      </c>
      <c r="AG98" s="93" t="str">
        <f ca="1">IFERROR(__xludf.DUMMYFUNCTION("""COMPUTED_VALUE"""),"https://www.cell.com/molecular-cell/authors")</f>
        <v>https://www.cell.com/molecular-cell/authors</v>
      </c>
      <c r="AH98" t="str">
        <f ca="1">IFERROR(__xludf.DUMMYFUNCTION("""COMPUTED_VALUE"""),"First submission only (before peer review)")</f>
        <v>First submission only (before peer review)</v>
      </c>
      <c r="AI98" t="str">
        <f ca="1">IFERROR(__xludf.DUMMYFUNCTION("""COMPUTED_VALUE"""),"We will consider papers previously posted on preprint servers like arXiv, bioRxiv, BioRN, ChemRxiv, or ChemRN. We are very interested to hear from researchers about their motivations for posting and to discuss with them whether it is the best approach for"&amp;" their paper, so we strongly encourage authors who are planning to submit to us to contact the editors first to discuss their specific paper and situation. This policy only applies to the original submitted version of the paper; we do not support posting "&amp;"of revisions that respond to editorial input and peer review or posting of the final published version to preprint servers. Also, our prepublication publicity policies with regard to coverage in the broader media still apply to studies posted on preprint "&amp;"servers. For more information about preprint servers and the discussions related to them, please see this blog post.")</f>
        <v>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AJ98" t="str">
        <f ca="1">IFERROR(__xludf.DUMMYFUNCTION("""COMPUTED_VALUE"""),"Yes, but only in the text (not in the reference list)")</f>
        <v>Yes, but only in the text (not in the reference list)</v>
      </c>
      <c r="AK98" t="str">
        <f ca="1">IFERROR(__xludf.DUMMYFUNCTION("""COMPUTED_VALUE"""),"Unsure")</f>
        <v>Unsure</v>
      </c>
      <c r="AL98" t="str">
        <f ca="1">IFERROR(__xludf.DUMMYFUNCTION("""COMPUTED_VALUE"""),"Part of our role as a scientific publisher is to help ensure that the work you publish with us reaches the broadest possible readership within both the research community and the broader public. We understand that effective communication of the advances y"&amp;"ou have made helps promote public appreciation of science, and we want to do what we can to further that goal. We also take seriously our responsibility to support informed scientific journalism, and look to encourage balanced and accurate coverage that a"&amp;"voids inappropriate hype. To assist with these aims, we operate an embargoed press release system, which allows reporters a protected window to develop their stories. All Cell Press papers are made available to the media up to 7 days before publication an"&amp;"d are under media embargo until 11 AM (US, ET) on their date of publication. The embargo date and time should be clearly communicated in any materials distributed about them. Work intended for submission to a Cell Press journal, currently under considerat"&amp;"ion at a Cell Press journal, or in press at a Cell Press journal may not be discussed with the media or other scientific journals until one week before publication. If authors choose to make their work available to the scientific community before publicat"&amp;"ion, through presentation at a scientific meeting or posting online, we ask that they and their institutions refrain from actively seeking media attention for the work and avoid participating in interviews about it. Coverage that results from pre-publicat"&amp;"ion communication can impact media interest in a paper at the time of publication and affect our ability to support responsible scientific journalism. Please contact our press office (press@cell.com) if you or your press officer need embargo information f"&amp;"or your paper, you plan on hosting a press conference, or if there are special circumstances that you would like to discuss.")</f>
        <v>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v>
      </c>
      <c r="AM98" t="str">
        <f ca="1">IFERROR(__xludf.DUMMYFUNCTION("""COMPUTED_VALUE"""),"")</f>
        <v/>
      </c>
      <c r="AN98" t="str">
        <f ca="1">IFERROR(__xludf.DUMMYFUNCTION("""COMPUTED_VALUE"""),"")</f>
        <v/>
      </c>
      <c r="AO98" t="str">
        <f ca="1">IFERROR(__xludf.DUMMYFUNCTION("""COMPUTED_VALUE"""),"")</f>
        <v/>
      </c>
      <c r="AP98" t="str">
        <f ca="1">IFERROR(__xludf.DUMMYFUNCTION("""COMPUTED_VALUE"""),"The Molecular Cell website is rather transparent with respect to many of the policies listed above. However, nowhere does it specify which kind of peer review system is used - even though it becomes clear from the rest of the information provided that the"&amp;" editors employ some kind of peer review. On the other hand, the website is particularly vocal on issues of preprints, and their policies are stated in a clear, accessible manner. Regarding preprint citation: although it doesn't specifically call out prep"&amp;"rints: ""References should include only articles that are published or in press.....Unpublished data, submitted manuscripts, abstracts, and personal communications should be cited within the text only and not included in the References list.""")</f>
        <v>The Molecular Cell website is rather transparent with respect to many of the policies listed above. However, nowhere does it specify which kind of peer review system is used - even though it becomes clear from the rest of the information provided that the editors employ some kind of peer review. On the other hand, the website is particularly vocal on issues of preprints, and their policies are stated in a clear, accessible manner. Regarding preprint citation: although it doesn't specifically call out preprints: "References should include only articles that are published or in press.....Unpublished data, submitted manuscripts, abstracts, and personal communications should be cited within the text only and not included in the References list."</v>
      </c>
      <c r="AQ98" t="str">
        <f ca="1">IFERROR(__xludf.DUMMYFUNCTION("""COMPUTED_VALUE"""),"35 mins")</f>
        <v>35 mins</v>
      </c>
      <c r="AR98" t="str">
        <f ca="1">IFERROR(__xludf.DUMMYFUNCTION("""COMPUTED_VALUE"""),"")</f>
        <v/>
      </c>
    </row>
    <row r="99" spans="1:44" ht="13">
      <c r="A99" t="str">
        <f ca="1">IFERROR(__xludf.DUMMYFUNCTION("""COMPUTED_VALUE"""),"SR")</f>
        <v>SR</v>
      </c>
      <c r="B99" s="41">
        <f ca="1">IFERROR(__xludf.DUMMYFUNCTION("""COMPUTED_VALUE"""),43439)</f>
        <v>43439</v>
      </c>
      <c r="C99" t="str">
        <f ca="1">IFERROR(__xludf.DUMMYFUNCTION("""COMPUTED_VALUE"""),"GMD")</f>
        <v>GMD</v>
      </c>
      <c r="D99" s="28">
        <f ca="1">IFERROR(__xludf.DUMMYFUNCTION("""COMPUTED_VALUE"""),43579)</f>
        <v>43579</v>
      </c>
      <c r="E99" t="str">
        <f ca="1">IFERROR(__xludf.DUMMYFUNCTION("""COMPUTED_VALUE"""),"JP")</f>
        <v>JP</v>
      </c>
      <c r="F99" s="28">
        <f ca="1">IFERROR(__xludf.DUMMYFUNCTION("""COMPUTED_VALUE"""),43583)</f>
        <v>43583</v>
      </c>
      <c r="G99" t="str">
        <f ca="1">IFERROR(__xludf.DUMMYFUNCTION("""COMPUTED_VALUE"""),"Updated with journal-specific preprint policy and related records")</f>
        <v>Updated with journal-specific preprint policy and related records</v>
      </c>
      <c r="H99" t="str">
        <f ca="1">IFERROR(__xludf.DUMMYFUNCTION("""COMPUTED_VALUE"""),"1365-2966")</f>
        <v>1365-2966</v>
      </c>
      <c r="I99" t="str">
        <f ca="1">IFERROR(__xludf.DUMMYFUNCTION("""COMPUTED_VALUE"""),"Monthly Notices of the Royal Astronomical Society")</f>
        <v>Monthly Notices of the Royal Astronomical Society</v>
      </c>
      <c r="J99" t="str">
        <f ca="1">IFERROR(__xludf.DUMMYFUNCTION("""COMPUTED_VALUE"""),"Physics &amp; Mathematics")</f>
        <v>Physics &amp; Mathematics</v>
      </c>
      <c r="K99" t="str">
        <f ca="1">IFERROR(__xludf.DUMMYFUNCTION("""COMPUTED_VALUE"""),"")</f>
        <v/>
      </c>
      <c r="L99" t="str">
        <f ca="1">IFERROR(__xludf.DUMMYFUNCTION("""COMPUTED_VALUE"""),"Single blind")</f>
        <v>Single blind</v>
      </c>
      <c r="M99" s="93" t="str">
        <f ca="1">IFERROR(__xludf.DUMMYFUNCTION("""COMPUTED_VALUE"""),"https://academic.oup.com/mnras/pages/General_Instructions#4%20Editorial%20review")</f>
        <v>https://academic.oup.com/mnras/pages/General_Instructions#4%20Editorial%20review</v>
      </c>
      <c r="N99" t="str">
        <f ca="1">IFERROR(__xludf.DUMMYFUNCTION("""COMPUTED_VALUE"""),"")</f>
        <v/>
      </c>
      <c r="O99" s="93" t="str">
        <f ca="1">IFERROR(__xludf.DUMMYFUNCTION("""COMPUTED_VALUE"""),"https://academic.oup.com/mnras/pages/General_Instructions#4%20Editorial%20review")</f>
        <v>https://academic.oup.com/mnras/pages/General_Instructions#4%20Editorial%20review</v>
      </c>
      <c r="P99" t="str">
        <f ca="1">IFERROR(__xludf.DUMMYFUNCTION("""COMPUTED_VALUE"""),"Unsure")</f>
        <v>Unsure</v>
      </c>
      <c r="Q99" t="str">
        <f ca="1">IFERROR(__xludf.DUMMYFUNCTION("""COMPUTED_VALUE"""),"")</f>
        <v/>
      </c>
      <c r="R99" t="str">
        <f ca="1">IFERROR(__xludf.DUMMYFUNCTION("""COMPUTED_VALUE"""),"")</f>
        <v/>
      </c>
      <c r="S99" t="str">
        <f ca="1">IFERROR(__xludf.DUMMYFUNCTION("""COMPUTED_VALUE"""),"Not specified")</f>
        <v>Not specified</v>
      </c>
      <c r="T99" t="str">
        <f ca="1">IFERROR(__xludf.DUMMYFUNCTION("""COMPUTED_VALUE"""),"Not specified")</f>
        <v>Not specified</v>
      </c>
      <c r="U99" t="str">
        <f ca="1">IFERROR(__xludf.DUMMYFUNCTION("""COMPUTED_VALUE"""),"Not specified")</f>
        <v>Not specified</v>
      </c>
      <c r="V99" t="str">
        <f ca="1">IFERROR(__xludf.DUMMYFUNCTION("""COMPUTED_VALUE"""),"Not specified")</f>
        <v>Not specified</v>
      </c>
      <c r="W99" t="str">
        <f ca="1">IFERROR(__xludf.DUMMYFUNCTION("""COMPUTED_VALUE"""),"Not specified")</f>
        <v>Not specified</v>
      </c>
      <c r="X99" t="str">
        <f ca="1">IFERROR(__xludf.DUMMYFUNCTION("""COMPUTED_VALUE"""),"Not specified")</f>
        <v>Not specified</v>
      </c>
      <c r="Y99" t="str">
        <f ca="1">IFERROR(__xludf.DUMMYFUNCTION("""COMPUTED_VALUE"""),"Not specified")</f>
        <v>Not specified</v>
      </c>
      <c r="Z99" t="str">
        <f ca="1">IFERROR(__xludf.DUMMYFUNCTION("""COMPUTED_VALUE"""),"Not specified")</f>
        <v>Not specified</v>
      </c>
      <c r="AA99" t="str">
        <f ca="1">IFERROR(__xludf.DUMMYFUNCTION("""COMPUTED_VALUE"""),"")</f>
        <v/>
      </c>
      <c r="AB99" t="str">
        <f ca="1">IFERROR(__xludf.DUMMYFUNCTION("""COMPUTED_VALUE"""),"")</f>
        <v/>
      </c>
      <c r="AC99" t="str">
        <f ca="1">IFERROR(__xludf.DUMMYFUNCTION("""COMPUTED_VALUE"""),"")</f>
        <v/>
      </c>
      <c r="AD99" t="str">
        <f ca="1">IFERROR(__xludf.DUMMYFUNCTION("""COMPUTED_VALUE"""),"Unsure")</f>
        <v>Unsure</v>
      </c>
      <c r="AE99" t="str">
        <f ca="1">IFERROR(__xludf.DUMMYFUNCTION("""COMPUTED_VALUE"""),"Unsure")</f>
        <v>Unsure</v>
      </c>
      <c r="AF99" t="str">
        <f ca="1">IFERROR(__xludf.DUMMYFUNCTION("""COMPUTED_VALUE"""),"Unsure")</f>
        <v>Unsure</v>
      </c>
      <c r="AG99" t="str">
        <f ca="1">IFERROR(__xludf.DUMMYFUNCTION("""COMPUTED_VALUE"""),"https://academic.oup.com/journals/pages/access_purchase/rights_and_permissions/author_self_archiving_policy
https://academic.oup.com/mnras/pages/General_Instructions#3.5%20Updating%20of%20records%20on%20arXiv")</f>
        <v>https://academic.oup.com/journals/pages/access_purchase/rights_and_permissions/author_self_archiving_policy
https://academic.oup.com/mnras/pages/General_Instructions#3.5%20Updating%20of%20records%20on%20arXiv</v>
      </c>
      <c r="AH99" t="str">
        <f ca="1">IFERROR(__xludf.DUMMYFUNCTION("""COMPUTED_VALUE"""),"Any")</f>
        <v>Any</v>
      </c>
      <c r="AI99" t="str">
        <f ca="1">IFERROR(__xludf.DUMMYFUNCTION("""COMPUTED_VALUE"""),"3.5 Updating of records on arXiv
Authors who have posted a pre-print of their manuscript to arXiv.org may supply their arXiv ID when submitting their article through ScholarOne Manuscripts. If the manuscript is accepted for publication, the arXiv record w"&amp;"ill be updated with the article DOI and will link to the final published version of the article in the journal. The arXiv record will be updated when the article is published online.")</f>
        <v>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v>
      </c>
      <c r="AJ99" t="str">
        <f ca="1">IFERROR(__xludf.DUMMYFUNCTION("""COMPUTED_VALUE"""),"Yes, in the reference list (https://academic.oup.com/mnras/pages/General_Instructions#6.3%20References%20and%20citations)")</f>
        <v>Yes, in the reference list (https://academic.oup.com/mnras/pages/General_Instructions#6.3%20References%20and%20citations)</v>
      </c>
      <c r="AK99" t="str">
        <f ca="1">IFERROR(__xludf.DUMMYFUNCTION("""COMPUTED_VALUE"""),"Unsure")</f>
        <v>Unsure</v>
      </c>
      <c r="AL99" t="str">
        <f ca="1">IFERROR(__xludf.DUMMYFUNCTION("""COMPUTED_VALUE"""),"")</f>
        <v/>
      </c>
      <c r="AM99" t="str">
        <f ca="1">IFERROR(__xludf.DUMMYFUNCTION("""COMPUTED_VALUE"""),"")</f>
        <v/>
      </c>
      <c r="AN99" t="str">
        <f ca="1">IFERROR(__xludf.DUMMYFUNCTION("""COMPUTED_VALUE"""),"")</f>
        <v/>
      </c>
      <c r="AO99" t="str">
        <f ca="1">IFERROR(__xludf.DUMMYFUNCTION("""COMPUTED_VALUE"""),"")</f>
        <v/>
      </c>
      <c r="AP99" t="str">
        <f ca="1">IFERROR(__xludf.DUMMYFUNCTION("""COMPUTED_VALUE"""),"")</f>
        <v/>
      </c>
      <c r="AQ99" t="str">
        <f ca="1">IFERROR(__xludf.DUMMYFUNCTION("""COMPUTED_VALUE"""),"")</f>
        <v/>
      </c>
      <c r="AR99" t="str">
        <f ca="1">IFERROR(__xludf.DUMMYFUNCTION("""COMPUTED_VALUE"""),"")</f>
        <v/>
      </c>
    </row>
    <row r="100" spans="1:44" ht="13">
      <c r="A100" t="str">
        <f ca="1">IFERROR(__xludf.DUMMYFUNCTION("""COMPUTED_VALUE"""),"SR")</f>
        <v>SR</v>
      </c>
      <c r="B100" s="41">
        <f ca="1">IFERROR(__xludf.DUMMYFUNCTION("""COMPUTED_VALUE"""),43439)</f>
        <v>43439</v>
      </c>
      <c r="C100" t="str">
        <f ca="1">IFERROR(__xludf.DUMMYFUNCTION("""COMPUTED_VALUE"""),"GMD")</f>
        <v>GMD</v>
      </c>
      <c r="D100" s="28">
        <f ca="1">IFERROR(__xludf.DUMMYFUNCTION("""COMPUTED_VALUE"""),43579)</f>
        <v>43579</v>
      </c>
      <c r="E100" t="str">
        <f ca="1">IFERROR(__xludf.DUMMYFUNCTION("""COMPUTED_VALUE"""),"JP")</f>
        <v>JP</v>
      </c>
      <c r="F100" s="28">
        <f ca="1">IFERROR(__xludf.DUMMYFUNCTION("""COMPUTED_VALUE"""),43583)</f>
        <v>43583</v>
      </c>
      <c r="G100" t="str">
        <f ca="1">IFERROR(__xludf.DUMMYFUNCTION("""COMPUTED_VALUE"""),"Added co-reviewer policy, Changed preprint policy")</f>
        <v>Added co-reviewer policy, Changed preprint policy</v>
      </c>
      <c r="H100" t="str">
        <f ca="1">IFERROR(__xludf.DUMMYFUNCTION("""COMPUTED_VALUE"""),"1530-6992")</f>
        <v>1530-6992</v>
      </c>
      <c r="I100" t="str">
        <f ca="1">IFERROR(__xludf.DUMMYFUNCTION("""COMPUTED_VALUE"""),"Nano Letters")</f>
        <v>Nano Letters</v>
      </c>
      <c r="J100" t="str">
        <f ca="1">IFERROR(__xludf.DUMMYFUNCTION("""COMPUTED_VALUE"""),"Chemical &amp; Materials Sciences,
Engineering &amp; Computer Science")</f>
        <v>Chemical &amp; Materials Sciences,
Engineering &amp; Computer Science</v>
      </c>
      <c r="K100" t="str">
        <f ca="1">IFERROR(__xludf.DUMMYFUNCTION("""COMPUTED_VALUE"""),"ACS Publications")</f>
        <v>ACS Publications</v>
      </c>
      <c r="L100" t="str">
        <f ca="1">IFERROR(__xludf.DUMMYFUNCTION("""COMPUTED_VALUE"""),"Unsure")</f>
        <v>Unsure</v>
      </c>
      <c r="M100" s="93" t="str">
        <f ca="1">IFERROR(__xludf.DUMMYFUNCTION("""COMPUTED_VALUE"""),"https://pubs.acs.org/paragonplus/submission/nalefd/nalefd_authguide.pdf")</f>
        <v>https://pubs.acs.org/paragonplus/submission/nalefd/nalefd_authguide.pdf</v>
      </c>
      <c r="N100" t="str">
        <f ca="1">IFERROR(__xludf.DUMMYFUNCTION("""COMPUTED_VALUE"""),"")</f>
        <v/>
      </c>
      <c r="O100" t="str">
        <f ca="1">IFERROR(__xludf.DUMMYFUNCTION("""COMPUTED_VALUE"""),"")</f>
        <v/>
      </c>
      <c r="P100" t="str">
        <f ca="1">IFERROR(__xludf.DUMMYFUNCTION("""COMPUTED_VALUE"""),"Unsure")</f>
        <v>Unsure</v>
      </c>
      <c r="Q100" t="str">
        <f ca="1">IFERROR(__xludf.DUMMYFUNCTION("""COMPUTED_VALUE"""),"Reviewers should give estimates of the scientific value of the work, together with some basis for their opinion. They should indicate whether the writing is clear, concise, and relevant. Personal comments should be avoided. Reviewers should realize that t"&amp;"heir reports may be transmitted by the authors to editors of other ACS journals. Existing Reviews Will Be Shared: If the manuscript has been peer reviewed, the reviews and the reviewer identities will be transferred to the next journal. If authors do not "&amp;"wish to share the reviews, they should decline the offer to transfer the submission.")</f>
        <v>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v>
      </c>
      <c r="R100" s="93" t="str">
        <f ca="1">IFERROR(__xludf.DUMMYFUNCTION("""COMPUTED_VALUE"""),"https://pubs.acs.org/page/policy/manuscript_transfer/index.html")</f>
        <v>https://pubs.acs.org/page/policy/manuscript_transfer/index.html</v>
      </c>
      <c r="S100" t="str">
        <f ca="1">IFERROR(__xludf.DUMMYFUNCTION("""COMPUTED_VALUE"""),"Not specified")</f>
        <v>Not specified</v>
      </c>
      <c r="T100" t="str">
        <f ca="1">IFERROR(__xludf.DUMMYFUNCTION("""COMPUTED_VALUE"""),"Not specified")</f>
        <v>Not specified</v>
      </c>
      <c r="U100" t="str">
        <f ca="1">IFERROR(__xludf.DUMMYFUNCTION("""COMPUTED_VALUE"""),"Not specified")</f>
        <v>Not specified</v>
      </c>
      <c r="V100" t="str">
        <f ca="1">IFERROR(__xludf.DUMMYFUNCTION("""COMPUTED_VALUE"""),"Not specified")</f>
        <v>Not specified</v>
      </c>
      <c r="W100" t="str">
        <f ca="1">IFERROR(__xludf.DUMMYFUNCTION("""COMPUTED_VALUE"""),"Not specified")</f>
        <v>Not specified</v>
      </c>
      <c r="X100" t="str">
        <f ca="1">IFERROR(__xludf.DUMMYFUNCTION("""COMPUTED_VALUE"""),"Not specified")</f>
        <v>Not specified</v>
      </c>
      <c r="Y100" t="str">
        <f ca="1">IFERROR(__xludf.DUMMYFUNCTION("""COMPUTED_VALUE"""),"Not specified")</f>
        <v>Not specified</v>
      </c>
      <c r="Z100" t="str">
        <f ca="1">IFERROR(__xludf.DUMMYFUNCTION("""COMPUTED_VALUE"""),"Not specified")</f>
        <v>Not specified</v>
      </c>
      <c r="AA100" t="str">
        <f ca="1">IFERROR(__xludf.DUMMYFUNCTION("""COMPUTED_VALUE"""),"")</f>
        <v/>
      </c>
      <c r="AB100" t="str">
        <f ca="1">IFERROR(__xludf.DUMMYFUNCTION("""COMPUTED_VALUE"""),"""Manuscript Confidentiality: A reviewer should treat both the submitted manuscript and data
as received from the journal, and his/her referee report and related correspondence as
confidential documents. Such documents should neither be disclosed to nor d"&amp;"iscussed with
others except, in special cases, when shared in confidence with persons from whom specific
expert advice may be sought. In such instances, the identities of those to be consulted should
be disclosed to the editor in advance""")</f>
        <v>"Manuscript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v>
      </c>
      <c r="AC100" s="93" t="str">
        <f ca="1">IFERROR(__xludf.DUMMYFUNCTION("""COMPUTED_VALUE"""),"https://pubs.acs.org/userimages/ContentEditor/1218054468605/ethics.pdf")</f>
        <v>https://pubs.acs.org/userimages/ContentEditor/1218054468605/ethics.pdf</v>
      </c>
      <c r="AD100" t="str">
        <f ca="1">IFERROR(__xludf.DUMMYFUNCTION("""COMPUTED_VALUE"""),"Yes")</f>
        <v>Yes</v>
      </c>
      <c r="AE100" t="str">
        <f ca="1">IFERROR(__xludf.DUMMYFUNCTION("""COMPUTED_VALUE"""),"Unsure")</f>
        <v>Unsure</v>
      </c>
      <c r="AF100" t="str">
        <f ca="1">IFERROR(__xludf.DUMMYFUNCTION("""COMPUTED_VALUE"""),"Unsure")</f>
        <v>Unsure</v>
      </c>
      <c r="AG100" s="93" t="str">
        <f ca="1">IFERROR(__xludf.DUMMYFUNCTION("""COMPUTED_VALUE"""),"https://pubs.acs.org/page/nalefd/submission/prior.html")</f>
        <v>https://pubs.acs.org/page/nalefd/submission/prior.html</v>
      </c>
      <c r="AH100" t="str">
        <f ca="1">IFERROR(__xludf.DUMMYFUNCTION("""COMPUTED_VALUE"""),"First submission only (before peer review)")</f>
        <v>First submission only (before peer review)</v>
      </c>
      <c r="AI100" t="str">
        <f ca="1">IFERROR(__xludf.DUMMYFUNCTION("""COMPUTED_VALUE"""),"Nano Letters authors are allowed to deposit an initial draft of their manuscript in a preprint service. Please note any use of a preprint server in the cover letter, and as appropriate, state how the manuscript has been adjusted/updated between deposition"&amp;" and submission. All other prior/redundant publication is forbidden.")</f>
        <v>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v>
      </c>
      <c r="AJ100" t="str">
        <f ca="1">IFERROR(__xludf.DUMMYFUNCTION("""COMPUTED_VALUE"""),"Yes, in the reference list (DOI should be provided)")</f>
        <v>Yes, in the reference list (DOI should be provided)</v>
      </c>
      <c r="AK100" t="str">
        <f ca="1">IFERROR(__xludf.DUMMYFUNCTION("""COMPUTED_VALUE"""),"")</f>
        <v/>
      </c>
      <c r="AL100" t="str">
        <f ca="1">IFERROR(__xludf.DUMMYFUNCTION("""COMPUTED_VALUE"""),"")</f>
        <v/>
      </c>
      <c r="AM100" t="str">
        <f ca="1">IFERROR(__xludf.DUMMYFUNCTION("""COMPUTED_VALUE"""),"Not specified")</f>
        <v>Not specified</v>
      </c>
      <c r="AN100" t="str">
        <f ca="1">IFERROR(__xludf.DUMMYFUNCTION("""COMPUTED_VALUE"""),"")</f>
        <v/>
      </c>
      <c r="AO100" t="str">
        <f ca="1">IFERROR(__xludf.DUMMYFUNCTION("""COMPUTED_VALUE"""),"")</f>
        <v/>
      </c>
      <c r="AP100" t="str">
        <f ca="1">IFERROR(__xludf.DUMMYFUNCTION("""COMPUTED_VALUE"""),"")</f>
        <v/>
      </c>
      <c r="AQ100" t="str">
        <f ca="1">IFERROR(__xludf.DUMMYFUNCTION("""COMPUTED_VALUE"""),"")</f>
        <v/>
      </c>
      <c r="AR100" t="str">
        <f ca="1">IFERROR(__xludf.DUMMYFUNCTION("""COMPUTED_VALUE"""),"")</f>
        <v/>
      </c>
    </row>
    <row r="101" spans="1:44" ht="13">
      <c r="A101" t="str">
        <f ca="1">IFERROR(__xludf.DUMMYFUNCTION("""COMPUTED_VALUE"""),"SR")</f>
        <v>SR</v>
      </c>
      <c r="B101" t="str">
        <f ca="1">IFERROR(__xludf.DUMMYFUNCTION("""COMPUTED_VALUE"""),"")</f>
        <v/>
      </c>
      <c r="C101" t="str">
        <f ca="1">IFERROR(__xludf.DUMMYFUNCTION("""COMPUTED_VALUE"""),"GMD")</f>
        <v>GMD</v>
      </c>
      <c r="D101" s="28">
        <f ca="1">IFERROR(__xludf.DUMMYFUNCTION("""COMPUTED_VALUE"""),43579)</f>
        <v>43579</v>
      </c>
      <c r="E101" t="str">
        <f ca="1">IFERROR(__xludf.DUMMYFUNCTION("""COMPUTED_VALUE"""),"JP")</f>
        <v>JP</v>
      </c>
      <c r="F101" s="28">
        <f ca="1">IFERROR(__xludf.DUMMYFUNCTION("""COMPUTED_VALUE"""),43583)</f>
        <v>43583</v>
      </c>
      <c r="G101" t="str">
        <f ca="1">IFERROR(__xludf.DUMMYFUNCTION("""COMPUTED_VALUE"""),"Added transfer information, rearranged preprint info")</f>
        <v>Added transfer information, rearranged preprint info</v>
      </c>
      <c r="H101" t="str">
        <f ca="1">IFERROR(__xludf.DUMMYFUNCTION("""COMPUTED_VALUE"""),"2040-3372")</f>
        <v>2040-3372</v>
      </c>
      <c r="I101" t="str">
        <f ca="1">IFERROR(__xludf.DUMMYFUNCTION("""COMPUTED_VALUE"""),"Nanoscale")</f>
        <v>Nanoscale</v>
      </c>
      <c r="J101" t="str">
        <f ca="1">IFERROR(__xludf.DUMMYFUNCTION("""COMPUTED_VALUE"""),"Chemical &amp; Materials Sciences,
Engineering &amp; Computer Science")</f>
        <v>Chemical &amp; Materials Sciences,
Engineering &amp; Computer Science</v>
      </c>
      <c r="K101" t="str">
        <f ca="1">IFERROR(__xludf.DUMMYFUNCTION("""COMPUTED_VALUE"""),"Royal Society of Chemistry")</f>
        <v>Royal Society of Chemistry</v>
      </c>
      <c r="L101" t="str">
        <f ca="1">IFERROR(__xludf.DUMMYFUNCTION("""COMPUTED_VALUE"""),"Unsure (at least single blind)")</f>
        <v>Unsure (at least single blind)</v>
      </c>
      <c r="M101" s="93" t="str">
        <f ca="1">IFERROR(__xludf.DUMMYFUNCTION("""COMPUTED_VALUE"""),"https://www.rsc.org/journals-books-databases/journal-authors-reviewers/reviewer-responsibilities/#review-procedure")</f>
        <v>https://www.rsc.org/journals-books-databases/journal-authors-reviewers/reviewer-responsibilities/#review-procedure</v>
      </c>
      <c r="N101" t="str">
        <f ca="1">IFERROR(__xludf.DUMMYFUNCTION("""COMPUTED_VALUE"""),"")</f>
        <v/>
      </c>
      <c r="O101" s="93" t="str">
        <f ca="1">IFERROR(__xludf.DUMMYFUNCTION("""COMPUTED_VALUE"""),"http://www.rsc.org/journals-books-databases/journal-authors-reviewers/reviewer-responsibilities/#peer-review-help")</f>
        <v>http://www.rsc.org/journals-books-databases/journal-authors-reviewers/reviewer-responsibilities/#peer-review-help</v>
      </c>
      <c r="P101" t="str">
        <f ca="1">IFERROR(__xludf.DUMMYFUNCTION("""COMPUTED_VALUE"""),"No")</f>
        <v>No</v>
      </c>
      <c r="Q101" t="str">
        <f ca="1">IFERROR(__xludf.DUMMYFUNCTION("""COMPUTED_VALUE"""),"When a paper is to be rejected from one Royal Society of Chemistry journal, then we would offer the author(s) the option to transfer the paper to one of our other journals for consideration, when this is appropriate.")</f>
        <v>When a paper is to be rejected from one Royal Society of Chemistry journal, then we would offer the author(s) the option to transfer the paper to one of our other journals for consideration, when this is appropriate.</v>
      </c>
      <c r="R101" t="str">
        <f ca="1">IFERROR(__xludf.DUMMYFUNCTION("""COMPUTED_VALUE"""),"When a paper is to be rejected from one Royal Society of Chemistry journal, then we would offer the author(s) the option to transfer the paper to one of our other journals for consideration, when this is appropriate.")</f>
        <v>When a paper is to be rejected from one Royal Society of Chemistry journal, then we would offer the author(s) the option to transfer the paper to one of our other journals for consideration, when this is appropriate.</v>
      </c>
      <c r="S101" t="str">
        <f ca="1">IFERROR(__xludf.DUMMYFUNCTION("""COMPUTED_VALUE"""),"No")</f>
        <v>No</v>
      </c>
      <c r="T101" t="str">
        <f ca="1">IFERROR(__xludf.DUMMYFUNCTION("""COMPUTED_VALUE"""),"No")</f>
        <v>No</v>
      </c>
      <c r="U101" t="str">
        <f ca="1">IFERROR(__xludf.DUMMYFUNCTION("""COMPUTED_VALUE"""),"No")</f>
        <v>No</v>
      </c>
      <c r="V101" t="str">
        <f ca="1">IFERROR(__xludf.DUMMYFUNCTION("""COMPUTED_VALUE"""),"No")</f>
        <v>No</v>
      </c>
      <c r="W101" t="str">
        <f ca="1">IFERROR(__xludf.DUMMYFUNCTION("""COMPUTED_VALUE"""),"No")</f>
        <v>No</v>
      </c>
      <c r="X101" t="str">
        <f ca="1">IFERROR(__xludf.DUMMYFUNCTION("""COMPUTED_VALUE"""),"No")</f>
        <v>No</v>
      </c>
      <c r="Y101" t="str">
        <f ca="1">IFERROR(__xludf.DUMMYFUNCTION("""COMPUTED_VALUE"""),"No")</f>
        <v>No</v>
      </c>
      <c r="Z101" t="str">
        <f ca="1">IFERROR(__xludf.DUMMYFUNCTION("""COMPUTED_VALUE"""),"No")</f>
        <v>No</v>
      </c>
      <c r="AA101" t="str">
        <f ca="1">IFERROR(__xludf.DUMMYFUNCTION("""COMPUTED_VALUE"""),"")</f>
        <v/>
      </c>
      <c r="AB101" t="str">
        <f ca="1">IFERROR(__xludf.DUMMYFUNCTION("""COMPUTED_VALUE"""),"""Treat the manuscript as confidential: The manuscript (or its existence) should not be shown to, disclosed to, or discussed with others, except in special cases, where specific scientific advice may be sought; in that event the editor must be informed an"&amp;"d the identities of those consulted disclosed. Information acquired by a reviewer from such a paper is not available for disclosure or citation until the paper is published.""")</f>
        <v>"Treat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v>
      </c>
      <c r="AC101" s="93" t="str">
        <f ca="1">IFERROR(__xludf.DUMMYFUNCTION("""COMPUTED_VALUE"""),"https://www.rsc.org/journals-books-databases/journal-authors-reviewers/reviewer-responsibilities/#ethical-responsibilities")</f>
        <v>https://www.rsc.org/journals-books-databases/journal-authors-reviewers/reviewer-responsibilities/#ethical-responsibilities</v>
      </c>
      <c r="AD101" t="str">
        <f ca="1">IFERROR(__xludf.DUMMYFUNCTION("""COMPUTED_VALUE"""),"Yes")</f>
        <v>Yes</v>
      </c>
      <c r="AE101" t="str">
        <f ca="1">IFERROR(__xludf.DUMMYFUNCTION("""COMPUTED_VALUE"""),"Unsure")</f>
        <v>Unsure</v>
      </c>
      <c r="AF101" t="str">
        <f ca="1">IFERROR(__xludf.DUMMYFUNCTION("""COMPUTED_VALUE"""),"Unsure")</f>
        <v>Unsure</v>
      </c>
      <c r="AG101" s="93" t="str">
        <f ca="1">IFERROR(__xludf.DUMMYFUNCTION("""COMPUTED_VALUE"""),"http://www.rsc.org/journals-books-databases/journal-authors-reviewers/processes-policies/#prior-publication")</f>
        <v>http://www.rsc.org/journals-books-databases/journal-authors-reviewers/processes-policies/#prior-publication</v>
      </c>
      <c r="AH101" t="str">
        <f ca="1">IFERROR(__xludf.DUMMYFUNCTION("""COMPUTED_VALUE"""),"First submission only (before peer review)")</f>
        <v>First submission only (before peer review)</v>
      </c>
      <c r="AI101" t="str">
        <f ca="1">IFERROR(__xludf.DUMMYFUNCTION("""COMPUTED_VALUE"""),"Authors publishing in our journals may present their research ahead of publication in the following ways. Through the deposition of a preprint version of the article in non-commercial repositories (eg ArXiv, ChemRxiv), institutional repositories or author"&amp;"s’ individual websites - a preprint is defined here as an un-refereed author version of the article; a non-commercial repository is defined here as any platform or archiving service that makes digital content free to deposit and access. At scientific conf"&amp;"erences; this includes recorded presentations, poster presentations and abstracts that are made openly available online. In commercial or non-commercial databases (data without interpretation, discussion, conclusions or context with a wider experimental p"&amp;"roject). In an open electronic lab notebook. In blogs, wikis, tweets, and other informal communication channels. As a thesis or dissertation published as part of an academic or professional qualification, in print and online. In any digital medium which i"&amp;"s operated by the Royal Society of Chemistry, excluding journals, books and magazines")</f>
        <v>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v>
      </c>
      <c r="AJ101" t="str">
        <f ca="1">IFERROR(__xludf.DUMMYFUNCTION("""COMPUTED_VALUE"""),"")</f>
        <v/>
      </c>
      <c r="AK101" t="str">
        <f ca="1">IFERROR(__xludf.DUMMYFUNCTION("""COMPUTED_VALUE"""),"Unsure")</f>
        <v>Unsure</v>
      </c>
      <c r="AL101" t="str">
        <f ca="1">IFERROR(__xludf.DUMMYFUNCTION("""COMPUTED_VALUE"""),"")</f>
        <v/>
      </c>
      <c r="AM101" t="str">
        <f ca="1">IFERROR(__xludf.DUMMYFUNCTION("""COMPUTED_VALUE"""),"")</f>
        <v/>
      </c>
      <c r="AN101" t="str">
        <f ca="1">IFERROR(__xludf.DUMMYFUNCTION("""COMPUTED_VALUE"""),"")</f>
        <v/>
      </c>
      <c r="AO101" t="str">
        <f ca="1">IFERROR(__xludf.DUMMYFUNCTION("""COMPUTED_VALUE"""),"")</f>
        <v/>
      </c>
      <c r="AP101" t="str">
        <f ca="1">IFERROR(__xludf.DUMMYFUNCTION("""COMPUTED_VALUE"""),"")</f>
        <v/>
      </c>
      <c r="AQ101" t="str">
        <f ca="1">IFERROR(__xludf.DUMMYFUNCTION("""COMPUTED_VALUE"""),"")</f>
        <v/>
      </c>
      <c r="AR101" t="str">
        <f ca="1">IFERROR(__xludf.DUMMYFUNCTION("""COMPUTED_VALUE"""),"")</f>
        <v/>
      </c>
    </row>
    <row r="102" spans="1:44" ht="13">
      <c r="A102" t="str">
        <f ca="1">IFERROR(__xludf.DUMMYFUNCTION("""COMPUTED_VALUE"""),"SR")</f>
        <v>SR</v>
      </c>
      <c r="B102" t="str">
        <f ca="1">IFERROR(__xludf.DUMMYFUNCTION("""COMPUTED_VALUE"""),"")</f>
        <v/>
      </c>
      <c r="C102" t="str">
        <f ca="1">IFERROR(__xludf.DUMMYFUNCTION("""COMPUTED_VALUE"""),"TRH")</f>
        <v>TRH</v>
      </c>
      <c r="D102" s="28">
        <f ca="1">IFERROR(__xludf.DUMMYFUNCTION("""COMPUTED_VALUE"""),43575)</f>
        <v>43575</v>
      </c>
      <c r="E102" t="str">
        <f ca="1">IFERROR(__xludf.DUMMYFUNCTION("""COMPUTED_VALUE"""),"JP")</f>
        <v>JP</v>
      </c>
      <c r="F102" s="28">
        <f ca="1">IFERROR(__xludf.DUMMYFUNCTION("""COMPUTED_VALUE"""),43581)</f>
        <v>43581</v>
      </c>
      <c r="G102" t="str">
        <f ca="1">IFERROR(__xludf.DUMMYFUNCTION("""COMPUTED_VALUE"""),"")</f>
        <v/>
      </c>
      <c r="H102" t="str">
        <f ca="1">IFERROR(__xludf.DUMMYFUNCTION("""COMPUTED_VALUE"""),"1476-4687")</f>
        <v>1476-4687</v>
      </c>
      <c r="I102" t="str">
        <f ca="1">IFERROR(__xludf.DUMMYFUNCTION("""COMPUTED_VALUE"""),"Nature")</f>
        <v>Nature</v>
      </c>
      <c r="J102" t="str">
        <f ca="1">IFERROR(__xludf.DUMMYFUNCTION("""COMPUTED_VALUE"""),"Life Sciences &amp; Earth Sciences")</f>
        <v>Life Sciences &amp; Earth Sciences</v>
      </c>
      <c r="K102" t="str">
        <f ca="1">IFERROR(__xludf.DUMMYFUNCTION("""COMPUTED_VALUE"""),"Springer Nature")</f>
        <v>Springer Nature</v>
      </c>
      <c r="L102"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2" s="93" t="str">
        <f ca="1">IFERROR(__xludf.DUMMYFUNCTION("""COMPUTED_VALUE"""),"https://www.nature.com/authors/policies/peer_review.html")</f>
        <v>https://www.nature.com/authors/policies/peer_review.html</v>
      </c>
      <c r="N102" t="str">
        <f ca="1">IFERROR(__xludf.DUMMYFUNCTION("""COMPUTED_VALUE"""),"")</f>
        <v/>
      </c>
      <c r="O102" t="str">
        <f ca="1">IFERROR(__xludf.DUMMYFUNCTION("""COMPUTED_VALUE"""),"")</f>
        <v/>
      </c>
      <c r="P102" t="str">
        <f ca="1">IFERROR(__xludf.DUMMYFUNCTION("""COMPUTED_VALUE"""),"Unsure")</f>
        <v>Unsure</v>
      </c>
      <c r="Q102"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2" s="93" t="str">
        <f ca="1">IFERROR(__xludf.DUMMYFUNCTION("""COMPUTED_VALUE"""),"https://www.nature.com/authors/author_resources/transfer_manuscripts.html")</f>
        <v>https://www.nature.com/authors/author_resources/transfer_manuscripts.html</v>
      </c>
      <c r="S102" t="str">
        <f ca="1">IFERROR(__xludf.DUMMYFUNCTION("""COMPUTED_VALUE"""),"No")</f>
        <v>No</v>
      </c>
      <c r="T102" t="str">
        <f ca="1">IFERROR(__xludf.DUMMYFUNCTION("""COMPUTED_VALUE"""),"No")</f>
        <v>No</v>
      </c>
      <c r="U102" t="str">
        <f ca="1">IFERROR(__xludf.DUMMYFUNCTION("""COMPUTED_VALUE"""),"No")</f>
        <v>No</v>
      </c>
      <c r="V102" t="str">
        <f ca="1">IFERROR(__xludf.DUMMYFUNCTION("""COMPUTED_VALUE"""),"No")</f>
        <v>No</v>
      </c>
      <c r="W102" t="str">
        <f ca="1">IFERROR(__xludf.DUMMYFUNCTION("""COMPUTED_VALUE"""),"No")</f>
        <v>No</v>
      </c>
      <c r="X102" t="str">
        <f ca="1">IFERROR(__xludf.DUMMYFUNCTION("""COMPUTED_VALUE"""),"No")</f>
        <v>No</v>
      </c>
      <c r="Y102" t="str">
        <f ca="1">IFERROR(__xludf.DUMMYFUNCTION("""COMPUTED_VALUE"""),"No")</f>
        <v>No</v>
      </c>
      <c r="Z102" t="str">
        <f ca="1">IFERROR(__xludf.DUMMYFUNCTION("""COMPUTED_VALUE"""),"No")</f>
        <v>No</v>
      </c>
      <c r="AA102" t="str">
        <f ca="1">IFERROR(__xludf.DUMMYFUNCTION("""COMPUTED_VALUE"""),"")</f>
        <v/>
      </c>
      <c r="AB102"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2" s="93" t="str">
        <f ca="1">IFERROR(__xludf.DUMMYFUNCTION("""COMPUTED_VALUE"""),"https://www.nature.com/nature/for-referees/policies-and-processes")</f>
        <v>https://www.nature.com/nature/for-referees/policies-and-processes</v>
      </c>
      <c r="AD102" t="str">
        <f ca="1">IFERROR(__xludf.DUMMYFUNCTION("""COMPUTED_VALUE"""),"Unsure")</f>
        <v>Unsure</v>
      </c>
      <c r="AE102" t="str">
        <f ca="1">IFERROR(__xludf.DUMMYFUNCTION("""COMPUTED_VALUE"""),"Unsure")</f>
        <v>Unsure</v>
      </c>
      <c r="AF102" t="str">
        <f ca="1">IFERROR(__xludf.DUMMYFUNCTION("""COMPUTED_VALUE"""),"Unsure")</f>
        <v>Unsure</v>
      </c>
      <c r="AG102" s="93" t="str">
        <f ca="1">IFERROR(__xludf.DUMMYFUNCTION("""COMPUTED_VALUE"""),"https://www.nature.com/authors/policies/preprints.html")</f>
        <v>https://www.nature.com/authors/policies/preprints.html</v>
      </c>
      <c r="AH102" t="str">
        <f ca="1">IFERROR(__xludf.DUMMYFUNCTION("""COMPUTED_VALUE"""),"First submission only (before peer review)")</f>
        <v>First submission only (before peer review)</v>
      </c>
      <c r="AI102" t="str">
        <f ca="1">IFERROR(__xludf.DUMMYFUNCTION("""COMPUTED_VALUE"""),"")</f>
        <v/>
      </c>
      <c r="AJ102" t="str">
        <f ca="1">IFERROR(__xludf.DUMMYFUNCTION("""COMPUTED_VALUE"""),"Yes, in the reference list.")</f>
        <v>Yes, in the reference list.</v>
      </c>
      <c r="AK102" t="str">
        <f ca="1">IFERROR(__xludf.DUMMYFUNCTION("""COMPUTED_VALUE"""),"Yes")</f>
        <v>Yes</v>
      </c>
      <c r="AL102"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2" t="str">
        <f ca="1">IFERROR(__xludf.DUMMYFUNCTION("""COMPUTED_VALUE"""),"")</f>
        <v/>
      </c>
      <c r="AN102" t="str">
        <f ca="1">IFERROR(__xludf.DUMMYFUNCTION("""COMPUTED_VALUE"""),"")</f>
        <v/>
      </c>
      <c r="AO102" t="str">
        <f ca="1">IFERROR(__xludf.DUMMYFUNCTION("""COMPUTED_VALUE"""),"")</f>
        <v/>
      </c>
      <c r="AP102" t="str">
        <f ca="1">IFERROR(__xludf.DUMMYFUNCTION("""COMPUTED_VALUE"""),"")</f>
        <v/>
      </c>
      <c r="AQ102" t="str">
        <f ca="1">IFERROR(__xludf.DUMMYFUNCTION("""COMPUTED_VALUE"""),"")</f>
        <v/>
      </c>
      <c r="AR102" t="str">
        <f ca="1">IFERROR(__xludf.DUMMYFUNCTION("""COMPUTED_VALUE"""),"")</f>
        <v/>
      </c>
    </row>
    <row r="103" spans="1:44" ht="13">
      <c r="A103" t="str">
        <f ca="1">IFERROR(__xludf.DUMMYFUNCTION("""COMPUTED_VALUE"""),"SR")</f>
        <v>SR</v>
      </c>
      <c r="B103" t="str">
        <f ca="1">IFERROR(__xludf.DUMMYFUNCTION("""COMPUTED_VALUE"""),"")</f>
        <v/>
      </c>
      <c r="C103" t="str">
        <f ca="1">IFERROR(__xludf.DUMMYFUNCTION("""COMPUTED_VALUE"""),"TRH")</f>
        <v>TRH</v>
      </c>
      <c r="D103" s="28">
        <f ca="1">IFERROR(__xludf.DUMMYFUNCTION("""COMPUTED_VALUE"""),43575)</f>
        <v>43575</v>
      </c>
      <c r="E103" t="str">
        <f ca="1">IFERROR(__xludf.DUMMYFUNCTION("""COMPUTED_VALUE"""),"JP")</f>
        <v>JP</v>
      </c>
      <c r="F103" s="28">
        <f ca="1">IFERROR(__xludf.DUMMYFUNCTION("""COMPUTED_VALUE"""),43581)</f>
        <v>43581</v>
      </c>
      <c r="G103" t="str">
        <f ca="1">IFERROR(__xludf.DUMMYFUNCTION("""COMPUTED_VALUE"""),"Assuming there was a copy-paste offset in  pr section (compare to nature above; have corrected in 2nd line to make compiling easier) - please check this &amp; your reviewed Nature records below")</f>
        <v>Assuming there was a copy-paste offset in  pr section (compare to nature above; have corrected in 2nd line to make compiling easier) - please check this &amp; your reviewed Nature records below</v>
      </c>
      <c r="H103" t="str">
        <f ca="1">IFERROR(__xludf.DUMMYFUNCTION("""COMPUTED_VALUE"""),"1546-1696")</f>
        <v>1546-1696</v>
      </c>
      <c r="I103" t="str">
        <f ca="1">IFERROR(__xludf.DUMMYFUNCTION("""COMPUTED_VALUE"""),"Nature Biotechnology")</f>
        <v>Nature Biotechnology</v>
      </c>
      <c r="J103" t="str">
        <f ca="1">IFERROR(__xludf.DUMMYFUNCTION("""COMPUTED_VALUE"""),"Life Sciences &amp; Earth Sciences")</f>
        <v>Life Sciences &amp; Earth Sciences</v>
      </c>
      <c r="K103" t="str">
        <f ca="1">IFERROR(__xludf.DUMMYFUNCTION("""COMPUTED_VALUE"""),"Springer Nature")</f>
        <v>Springer Nature</v>
      </c>
      <c r="L103"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3" s="93" t="str">
        <f ca="1">IFERROR(__xludf.DUMMYFUNCTION("""COMPUTED_VALUE"""),"https://www.nature.com/authors/policies/peer_review.html")</f>
        <v>https://www.nature.com/authors/policies/peer_review.html</v>
      </c>
      <c r="N103" t="str">
        <f ca="1">IFERROR(__xludf.DUMMYFUNCTION("""COMPUTED_VALUE"""),"")</f>
        <v/>
      </c>
      <c r="O103" s="93" t="str">
        <f ca="1">IFERROR(__xludf.DUMMYFUNCTION("""COMPUTED_VALUE"""),"https://www.nature.com/authors/policies/peer_review.html")</f>
        <v>https://www.nature.com/authors/policies/peer_review.html</v>
      </c>
      <c r="P103" t="str">
        <f ca="1">IFERROR(__xludf.DUMMYFUNCTION("""COMPUTED_VALUE"""),"Unsure")</f>
        <v>Unsure</v>
      </c>
      <c r="Q103"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3" s="93" t="str">
        <f ca="1">IFERROR(__xludf.DUMMYFUNCTION("""COMPUTED_VALUE"""),"https://www.nature.com/authors/author_resources/transfer_manuscripts.html")</f>
        <v>https://www.nature.com/authors/author_resources/transfer_manuscripts.html</v>
      </c>
      <c r="S103" t="str">
        <f ca="1">IFERROR(__xludf.DUMMYFUNCTION("""COMPUTED_VALUE"""),"Not specified")</f>
        <v>Not specified</v>
      </c>
      <c r="T103" t="str">
        <f ca="1">IFERROR(__xludf.DUMMYFUNCTION("""COMPUTED_VALUE"""),"Not specified")</f>
        <v>Not specified</v>
      </c>
      <c r="U103" t="str">
        <f ca="1">IFERROR(__xludf.DUMMYFUNCTION("""COMPUTED_VALUE"""),"Not specified")</f>
        <v>Not specified</v>
      </c>
      <c r="V103" t="str">
        <f ca="1">IFERROR(__xludf.DUMMYFUNCTION("""COMPUTED_VALUE"""),"Not specified")</f>
        <v>Not specified</v>
      </c>
      <c r="W103" t="str">
        <f ca="1">IFERROR(__xludf.DUMMYFUNCTION("""COMPUTED_VALUE"""),"Not specified")</f>
        <v>Not specified</v>
      </c>
      <c r="X103" t="str">
        <f ca="1">IFERROR(__xludf.DUMMYFUNCTION("""COMPUTED_VALUE"""),"Optional")</f>
        <v>Optional</v>
      </c>
      <c r="Y103" t="str">
        <f ca="1">IFERROR(__xludf.DUMMYFUNCTION("""COMPUTED_VALUE"""),"Not specified")</f>
        <v>Not specified</v>
      </c>
      <c r="Z103" t="str">
        <f ca="1">IFERROR(__xludf.DUMMYFUNCTION("""COMPUTED_VALUE"""),"Not specified")</f>
        <v>Not specified</v>
      </c>
      <c r="AA103" t="str">
        <f ca="1">IFERROR(__xludf.DUMMYFUNCTION("""COMPUTED_VALUE"""),"")</f>
        <v/>
      </c>
      <c r="AB103"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3" s="93" t="str">
        <f ca="1">IFERROR(__xludf.DUMMYFUNCTION("""COMPUTED_VALUE"""),"https://www.nature.com/nbt/for-referees/policies-and-processes")</f>
        <v>https://www.nature.com/nbt/for-referees/policies-and-processes</v>
      </c>
      <c r="AD103" t="str">
        <f ca="1">IFERROR(__xludf.DUMMYFUNCTION("""COMPUTED_VALUE"""),"Unsure")</f>
        <v>Unsure</v>
      </c>
      <c r="AE103" t="str">
        <f ca="1">IFERROR(__xludf.DUMMYFUNCTION("""COMPUTED_VALUE"""),"Unsure")</f>
        <v>Unsure</v>
      </c>
      <c r="AF103" t="str">
        <f ca="1">IFERROR(__xludf.DUMMYFUNCTION("""COMPUTED_VALUE"""),"Unsure")</f>
        <v>Unsure</v>
      </c>
      <c r="AG103" s="93" t="str">
        <f ca="1">IFERROR(__xludf.DUMMYFUNCTION("""COMPUTED_VALUE"""),"https://www.nature.com/authors/policies/preprints.html")</f>
        <v>https://www.nature.com/authors/policies/preprints.html</v>
      </c>
      <c r="AH103" t="str">
        <f ca="1">IFERROR(__xludf.DUMMYFUNCTION("""COMPUTED_VALUE"""),"First submission only (before peer review)")</f>
        <v>First submission only (before peer review)</v>
      </c>
      <c r="AI103" t="str">
        <f ca="1">IFERROR(__xludf.DUMMYFUNCTION("""COMPUTED_VALUE"""),"Not specified")</f>
        <v>Not specified</v>
      </c>
      <c r="AJ103" t="str">
        <f ca="1">IFERROR(__xludf.DUMMYFUNCTION("""COMPUTED_VALUE"""),"Yes, in the reference list")</f>
        <v>Yes, in the reference list</v>
      </c>
      <c r="AK103" t="str">
        <f ca="1">IFERROR(__xludf.DUMMYFUNCTION("""COMPUTED_VALUE"""),"")</f>
        <v/>
      </c>
      <c r="AL103"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3" t="str">
        <f ca="1">IFERROR(__xludf.DUMMYFUNCTION("""COMPUTED_VALUE"""),"")</f>
        <v/>
      </c>
      <c r="AN103" t="str">
        <f ca="1">IFERROR(__xludf.DUMMYFUNCTION("""COMPUTED_VALUE"""),"")</f>
        <v/>
      </c>
      <c r="AO103" t="str">
        <f ca="1">IFERROR(__xludf.DUMMYFUNCTION("""COMPUTED_VALUE"""),"")</f>
        <v/>
      </c>
      <c r="AP103" t="str">
        <f ca="1">IFERROR(__xludf.DUMMYFUNCTION("""COMPUTED_VALUE"""),"")</f>
        <v/>
      </c>
      <c r="AQ103" t="str">
        <f ca="1">IFERROR(__xludf.DUMMYFUNCTION("""COMPUTED_VALUE"""),"")</f>
        <v/>
      </c>
      <c r="AR103" t="str">
        <f ca="1">IFERROR(__xludf.DUMMYFUNCTION("""COMPUTED_VALUE"""),"")</f>
        <v/>
      </c>
    </row>
    <row r="104" spans="1:44" ht="13">
      <c r="A104" t="str">
        <f ca="1">IFERROR(__xludf.DUMMYFUNCTION("""COMPUTED_VALUE"""),"SR")</f>
        <v>SR</v>
      </c>
      <c r="B104" t="str">
        <f ca="1">IFERROR(__xludf.DUMMYFUNCTION("""COMPUTED_VALUE"""),"")</f>
        <v/>
      </c>
      <c r="C104" t="str">
        <f ca="1">IFERROR(__xludf.DUMMYFUNCTION("""COMPUTED_VALUE"""),"TRH")</f>
        <v>TRH</v>
      </c>
      <c r="D104" s="28">
        <f ca="1">IFERROR(__xludf.DUMMYFUNCTION("""COMPUTED_VALUE"""),43575)</f>
        <v>43575</v>
      </c>
      <c r="E104" t="str">
        <f ca="1">IFERROR(__xludf.DUMMYFUNCTION("""COMPUTED_VALUE"""),"JP")</f>
        <v>JP</v>
      </c>
      <c r="F104" s="28">
        <f ca="1">IFERROR(__xludf.DUMMYFUNCTION("""COMPUTED_VALUE"""),43581)</f>
        <v>43581</v>
      </c>
      <c r="G104" t="str">
        <f ca="1">IFERROR(__xludf.DUMMYFUNCTION("""COMPUTED_VALUE"""),"")</f>
        <v/>
      </c>
      <c r="H104" t="str">
        <f ca="1">IFERROR(__xludf.DUMMYFUNCTION("""COMPUTED_VALUE"""),"1476-4679")</f>
        <v>1476-4679</v>
      </c>
      <c r="I104" t="str">
        <f ca="1">IFERROR(__xludf.DUMMYFUNCTION("""COMPUTED_VALUE"""),"Nature Cell Biology")</f>
        <v>Nature Cell Biology</v>
      </c>
      <c r="J104" t="str">
        <f ca="1">IFERROR(__xludf.DUMMYFUNCTION("""COMPUTED_VALUE"""),"Life Sciences &amp; Earth Sciences")</f>
        <v>Life Sciences &amp; Earth Sciences</v>
      </c>
      <c r="K104" t="str">
        <f ca="1">IFERROR(__xludf.DUMMYFUNCTION("""COMPUTED_VALUE"""),"Springer Nature")</f>
        <v>Springer Nature</v>
      </c>
      <c r="L104"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4" s="93" t="str">
        <f ca="1">IFERROR(__xludf.DUMMYFUNCTION("""COMPUTED_VALUE"""),"https://www.nature.com/authors/policies/peer_review.html")</f>
        <v>https://www.nature.com/authors/policies/peer_review.html</v>
      </c>
      <c r="N104" t="str">
        <f ca="1">IFERROR(__xludf.DUMMYFUNCTION("""COMPUTED_VALUE"""),"")</f>
        <v/>
      </c>
      <c r="O104" s="93" t="str">
        <f ca="1">IFERROR(__xludf.DUMMYFUNCTION("""COMPUTED_VALUE"""),"https://www.nature.com/authors/policies/peer_review.html")</f>
        <v>https://www.nature.com/authors/policies/peer_review.html</v>
      </c>
      <c r="P104" t="str">
        <f ca="1">IFERROR(__xludf.DUMMYFUNCTION("""COMPUTED_VALUE"""),"Unsure")</f>
        <v>Unsure</v>
      </c>
      <c r="Q104"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4" s="93" t="str">
        <f ca="1">IFERROR(__xludf.DUMMYFUNCTION("""COMPUTED_VALUE"""),"https://www.nature.com/authors/author_resources/transfer_manuscripts.html")</f>
        <v>https://www.nature.com/authors/author_resources/transfer_manuscripts.html</v>
      </c>
      <c r="S104" t="str">
        <f ca="1">IFERROR(__xludf.DUMMYFUNCTION("""COMPUTED_VALUE"""),"Not specified")</f>
        <v>Not specified</v>
      </c>
      <c r="T104" t="str">
        <f ca="1">IFERROR(__xludf.DUMMYFUNCTION("""COMPUTED_VALUE"""),"Not specified")</f>
        <v>Not specified</v>
      </c>
      <c r="U104" t="str">
        <f ca="1">IFERROR(__xludf.DUMMYFUNCTION("""COMPUTED_VALUE"""),"Not specified")</f>
        <v>Not specified</v>
      </c>
      <c r="V104" t="str">
        <f ca="1">IFERROR(__xludf.DUMMYFUNCTION("""COMPUTED_VALUE"""),"Not specified")</f>
        <v>Not specified</v>
      </c>
      <c r="W104" t="str">
        <f ca="1">IFERROR(__xludf.DUMMYFUNCTION("""COMPUTED_VALUE"""),"Not specified")</f>
        <v>Not specified</v>
      </c>
      <c r="X104" t="str">
        <f ca="1">IFERROR(__xludf.DUMMYFUNCTION("""COMPUTED_VALUE"""),"Optional")</f>
        <v>Optional</v>
      </c>
      <c r="Y104" t="str">
        <f ca="1">IFERROR(__xludf.DUMMYFUNCTION("""COMPUTED_VALUE"""),"Not specified")</f>
        <v>Not specified</v>
      </c>
      <c r="Z104" t="str">
        <f ca="1">IFERROR(__xludf.DUMMYFUNCTION("""COMPUTED_VALUE"""),"Not specified")</f>
        <v>Not specified</v>
      </c>
      <c r="AA104" t="str">
        <f ca="1">IFERROR(__xludf.DUMMYFUNCTION("""COMPUTED_VALUE"""),"")</f>
        <v/>
      </c>
      <c r="AB104"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4" s="93" t="str">
        <f ca="1">IFERROR(__xludf.DUMMYFUNCTION("""COMPUTED_VALUE"""),"https://www.nature.com/ncb/for-referees/policies-and-processes")</f>
        <v>https://www.nature.com/ncb/for-referees/policies-and-processes</v>
      </c>
      <c r="AD104" t="str">
        <f ca="1">IFERROR(__xludf.DUMMYFUNCTION("""COMPUTED_VALUE"""),"Unsure")</f>
        <v>Unsure</v>
      </c>
      <c r="AE104" t="str">
        <f ca="1">IFERROR(__xludf.DUMMYFUNCTION("""COMPUTED_VALUE"""),"Unsure")</f>
        <v>Unsure</v>
      </c>
      <c r="AF104" t="str">
        <f ca="1">IFERROR(__xludf.DUMMYFUNCTION("""COMPUTED_VALUE"""),"Unsure")</f>
        <v>Unsure</v>
      </c>
      <c r="AG104" s="93" t="str">
        <f ca="1">IFERROR(__xludf.DUMMYFUNCTION("""COMPUTED_VALUE"""),"https://www.nature.com/authors/policies/preprints.html")</f>
        <v>https://www.nature.com/authors/policies/preprints.html</v>
      </c>
      <c r="AH104" t="str">
        <f ca="1">IFERROR(__xludf.DUMMYFUNCTION("""COMPUTED_VALUE"""),"First submission only (before peer review)")</f>
        <v>First submission only (before peer review)</v>
      </c>
      <c r="AI104" t="str">
        <f ca="1">IFERROR(__xludf.DUMMYFUNCTION("""COMPUTED_VALUE"""),"Not specified")</f>
        <v>Not specified</v>
      </c>
      <c r="AJ104" t="str">
        <f ca="1">IFERROR(__xludf.DUMMYFUNCTION("""COMPUTED_VALUE"""),"Yes, in the reference list")</f>
        <v>Yes, in the reference list</v>
      </c>
      <c r="AK104" t="str">
        <f ca="1">IFERROR(__xludf.DUMMYFUNCTION("""COMPUTED_VALUE"""),"")</f>
        <v/>
      </c>
      <c r="AL104"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4" t="str">
        <f ca="1">IFERROR(__xludf.DUMMYFUNCTION("""COMPUTED_VALUE"""),"")</f>
        <v/>
      </c>
      <c r="AN104" t="str">
        <f ca="1">IFERROR(__xludf.DUMMYFUNCTION("""COMPUTED_VALUE"""),"")</f>
        <v/>
      </c>
      <c r="AO104" t="str">
        <f ca="1">IFERROR(__xludf.DUMMYFUNCTION("""COMPUTED_VALUE"""),"")</f>
        <v/>
      </c>
      <c r="AP104" t="str">
        <f ca="1">IFERROR(__xludf.DUMMYFUNCTION("""COMPUTED_VALUE"""),"")</f>
        <v/>
      </c>
      <c r="AQ104" t="str">
        <f ca="1">IFERROR(__xludf.DUMMYFUNCTION("""COMPUTED_VALUE"""),"")</f>
        <v/>
      </c>
      <c r="AR104" t="str">
        <f ca="1">IFERROR(__xludf.DUMMYFUNCTION("""COMPUTED_VALUE"""),"")</f>
        <v/>
      </c>
    </row>
    <row r="105" spans="1:44" ht="13">
      <c r="A105" t="str">
        <f ca="1">IFERROR(__xludf.DUMMYFUNCTION("""COMPUTED_VALUE"""),"SR")</f>
        <v>SR</v>
      </c>
      <c r="B105" t="str">
        <f ca="1">IFERROR(__xludf.DUMMYFUNCTION("""COMPUTED_VALUE"""),"")</f>
        <v/>
      </c>
      <c r="C105" t="str">
        <f ca="1">IFERROR(__xludf.DUMMYFUNCTION("""COMPUTED_VALUE"""),"TRH")</f>
        <v>TRH</v>
      </c>
      <c r="D105" s="28">
        <f ca="1">IFERROR(__xludf.DUMMYFUNCTION("""COMPUTED_VALUE"""),43575)</f>
        <v>43575</v>
      </c>
      <c r="E105" t="str">
        <f ca="1">IFERROR(__xludf.DUMMYFUNCTION("""COMPUTED_VALUE"""),"JP")</f>
        <v>JP</v>
      </c>
      <c r="F105" s="28">
        <f ca="1">IFERROR(__xludf.DUMMYFUNCTION("""COMPUTED_VALUE"""),43581)</f>
        <v>43581</v>
      </c>
      <c r="G105" t="str">
        <f ca="1">IFERROR(__xludf.DUMMYFUNCTION("""COMPUTED_VALUE"""),"")</f>
        <v/>
      </c>
      <c r="H105" t="str">
        <f ca="1">IFERROR(__xludf.DUMMYFUNCTION("""COMPUTED_VALUE"""),"1755-4349")</f>
        <v>1755-4349</v>
      </c>
      <c r="I105" t="str">
        <f ca="1">IFERROR(__xludf.DUMMYFUNCTION("""COMPUTED_VALUE"""),"Nature Chemistry")</f>
        <v>Nature Chemistry</v>
      </c>
      <c r="J105" t="str">
        <f ca="1">IFERROR(__xludf.DUMMYFUNCTION("""COMPUTED_VALUE"""),"Chemical &amp; Materials Sciences")</f>
        <v>Chemical &amp; Materials Sciences</v>
      </c>
      <c r="K105" t="str">
        <f ca="1">IFERROR(__xludf.DUMMYFUNCTION("""COMPUTED_VALUE"""),"Springer Nature")</f>
        <v>Springer Nature</v>
      </c>
      <c r="L10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5" s="93" t="str">
        <f ca="1">IFERROR(__xludf.DUMMYFUNCTION("""COMPUTED_VALUE"""),"https://www.nature.com/authors/policies/peer_review.html")</f>
        <v>https://www.nature.com/authors/policies/peer_review.html</v>
      </c>
      <c r="N105" t="str">
        <f ca="1">IFERROR(__xludf.DUMMYFUNCTION("""COMPUTED_VALUE"""),"")</f>
        <v/>
      </c>
      <c r="O105" s="93" t="str">
        <f ca="1">IFERROR(__xludf.DUMMYFUNCTION("""COMPUTED_VALUE"""),"https://www.nature.com/authors/policies/peer_review.html")</f>
        <v>https://www.nature.com/authors/policies/peer_review.html</v>
      </c>
      <c r="P105" t="str">
        <f ca="1">IFERROR(__xludf.DUMMYFUNCTION("""COMPUTED_VALUE"""),"Unsure")</f>
        <v>Unsure</v>
      </c>
      <c r="Q105"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5" s="93" t="str">
        <f ca="1">IFERROR(__xludf.DUMMYFUNCTION("""COMPUTED_VALUE"""),"https://www.nature.com/authors/author_resources/transfer_manuscripts.html")</f>
        <v>https://www.nature.com/authors/author_resources/transfer_manuscripts.html</v>
      </c>
      <c r="S105" t="str">
        <f ca="1">IFERROR(__xludf.DUMMYFUNCTION("""COMPUTED_VALUE"""),"Not specified")</f>
        <v>Not specified</v>
      </c>
      <c r="T105" t="str">
        <f ca="1">IFERROR(__xludf.DUMMYFUNCTION("""COMPUTED_VALUE"""),"Not specified")</f>
        <v>Not specified</v>
      </c>
      <c r="U105" t="str">
        <f ca="1">IFERROR(__xludf.DUMMYFUNCTION("""COMPUTED_VALUE"""),"Not specified")</f>
        <v>Not specified</v>
      </c>
      <c r="V105" t="str">
        <f ca="1">IFERROR(__xludf.DUMMYFUNCTION("""COMPUTED_VALUE"""),"Not specified")</f>
        <v>Not specified</v>
      </c>
      <c r="W105" t="str">
        <f ca="1">IFERROR(__xludf.DUMMYFUNCTION("""COMPUTED_VALUE"""),"Not specified")</f>
        <v>Not specified</v>
      </c>
      <c r="X105" t="str">
        <f ca="1">IFERROR(__xludf.DUMMYFUNCTION("""COMPUTED_VALUE"""),"Optional")</f>
        <v>Optional</v>
      </c>
      <c r="Y105" t="str">
        <f ca="1">IFERROR(__xludf.DUMMYFUNCTION("""COMPUTED_VALUE"""),"Not specified")</f>
        <v>Not specified</v>
      </c>
      <c r="Z105" t="str">
        <f ca="1">IFERROR(__xludf.DUMMYFUNCTION("""COMPUTED_VALUE"""),"Not specified")</f>
        <v>Not specified</v>
      </c>
      <c r="AA105" t="str">
        <f ca="1">IFERROR(__xludf.DUMMYFUNCTION("""COMPUTED_VALUE"""),"")</f>
        <v/>
      </c>
      <c r="AB105"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5" s="93" t="str">
        <f ca="1">IFERROR(__xludf.DUMMYFUNCTION("""COMPUTED_VALUE"""),"https://www.nature.com/nchem/for-referees/policies-and-processes")</f>
        <v>https://www.nature.com/nchem/for-referees/policies-and-processes</v>
      </c>
      <c r="AD105" t="str">
        <f ca="1">IFERROR(__xludf.DUMMYFUNCTION("""COMPUTED_VALUE"""),"Unsure")</f>
        <v>Unsure</v>
      </c>
      <c r="AE105" t="str">
        <f ca="1">IFERROR(__xludf.DUMMYFUNCTION("""COMPUTED_VALUE"""),"Unsure")</f>
        <v>Unsure</v>
      </c>
      <c r="AF105" t="str">
        <f ca="1">IFERROR(__xludf.DUMMYFUNCTION("""COMPUTED_VALUE"""),"Unsure")</f>
        <v>Unsure</v>
      </c>
      <c r="AG105" s="93" t="str">
        <f ca="1">IFERROR(__xludf.DUMMYFUNCTION("""COMPUTED_VALUE"""),"https://www.nature.com/authors/policies/preprints.html")</f>
        <v>https://www.nature.com/authors/policies/preprints.html</v>
      </c>
      <c r="AH105" t="str">
        <f ca="1">IFERROR(__xludf.DUMMYFUNCTION("""COMPUTED_VALUE"""),"First submission only (before peer review)")</f>
        <v>First submission only (before peer review)</v>
      </c>
      <c r="AI105" t="str">
        <f ca="1">IFERROR(__xludf.DUMMYFUNCTION("""COMPUTED_VALUE"""),"Not specified")</f>
        <v>Not specified</v>
      </c>
      <c r="AJ105" t="str">
        <f ca="1">IFERROR(__xludf.DUMMYFUNCTION("""COMPUTED_VALUE"""),"Yes, in the reference list")</f>
        <v>Yes, in the reference list</v>
      </c>
      <c r="AK105" t="str">
        <f ca="1">IFERROR(__xludf.DUMMYFUNCTION("""COMPUTED_VALUE"""),"")</f>
        <v/>
      </c>
      <c r="AL105"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5" t="str">
        <f ca="1">IFERROR(__xludf.DUMMYFUNCTION("""COMPUTED_VALUE"""),"")</f>
        <v/>
      </c>
      <c r="AN105" t="str">
        <f ca="1">IFERROR(__xludf.DUMMYFUNCTION("""COMPUTED_VALUE"""),"")</f>
        <v/>
      </c>
      <c r="AO105" t="str">
        <f ca="1">IFERROR(__xludf.DUMMYFUNCTION("""COMPUTED_VALUE"""),"")</f>
        <v/>
      </c>
      <c r="AP105" t="str">
        <f ca="1">IFERROR(__xludf.DUMMYFUNCTION("""COMPUTED_VALUE"""),"")</f>
        <v/>
      </c>
      <c r="AQ105" t="str">
        <f ca="1">IFERROR(__xludf.DUMMYFUNCTION("""COMPUTED_VALUE"""),"")</f>
        <v/>
      </c>
      <c r="AR105" t="str">
        <f ca="1">IFERROR(__xludf.DUMMYFUNCTION("""COMPUTED_VALUE"""),"")</f>
        <v/>
      </c>
    </row>
    <row r="106" spans="1:44" ht="13">
      <c r="A106" t="str">
        <f ca="1">IFERROR(__xludf.DUMMYFUNCTION("""COMPUTED_VALUE"""),"SR")</f>
        <v>SR</v>
      </c>
      <c r="B106" t="str">
        <f ca="1">IFERROR(__xludf.DUMMYFUNCTION("""COMPUTED_VALUE"""),"")</f>
        <v/>
      </c>
      <c r="C106" t="str">
        <f ca="1">IFERROR(__xludf.DUMMYFUNCTION("""COMPUTED_VALUE"""),"TRH")</f>
        <v>TRH</v>
      </c>
      <c r="D106" s="28">
        <f ca="1">IFERROR(__xludf.DUMMYFUNCTION("""COMPUTED_VALUE"""),43575)</f>
        <v>43575</v>
      </c>
      <c r="E106" t="str">
        <f ca="1">IFERROR(__xludf.DUMMYFUNCTION("""COMPUTED_VALUE"""),"JP")</f>
        <v>JP</v>
      </c>
      <c r="F106" s="28">
        <f ca="1">IFERROR(__xludf.DUMMYFUNCTION("""COMPUTED_VALUE"""),43581)</f>
        <v>43581</v>
      </c>
      <c r="G106" t="str">
        <f ca="1">IFERROR(__xludf.DUMMYFUNCTION("""COMPUTED_VALUE"""),"")</f>
        <v/>
      </c>
      <c r="H106" t="str">
        <f ca="1">IFERROR(__xludf.DUMMYFUNCTION("""COMPUTED_VALUE"""),"1758-6798")</f>
        <v>1758-6798</v>
      </c>
      <c r="I106" t="str">
        <f ca="1">IFERROR(__xludf.DUMMYFUNCTION("""COMPUTED_VALUE"""),"Nature Climate Change")</f>
        <v>Nature Climate Change</v>
      </c>
      <c r="J106" t="str">
        <f ca="1">IFERROR(__xludf.DUMMYFUNCTION("""COMPUTED_VALUE"""),"Life Sciences &amp; Earth Sciences")</f>
        <v>Life Sciences &amp; Earth Sciences</v>
      </c>
      <c r="K106" t="str">
        <f ca="1">IFERROR(__xludf.DUMMYFUNCTION("""COMPUTED_VALUE"""),"Springer Nature")</f>
        <v>Springer Nature</v>
      </c>
      <c r="L10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6" s="93" t="str">
        <f ca="1">IFERROR(__xludf.DUMMYFUNCTION("""COMPUTED_VALUE"""),"https://www.nature.com/authors/policies/peer_review.html")</f>
        <v>https://www.nature.com/authors/policies/peer_review.html</v>
      </c>
      <c r="N106" t="str">
        <f ca="1">IFERROR(__xludf.DUMMYFUNCTION("""COMPUTED_VALUE"""),"")</f>
        <v/>
      </c>
      <c r="O106" s="93" t="str">
        <f ca="1">IFERROR(__xludf.DUMMYFUNCTION("""COMPUTED_VALUE"""),"https://www.nature.com/authors/policies/peer_review.html")</f>
        <v>https://www.nature.com/authors/policies/peer_review.html</v>
      </c>
      <c r="P106" t="str">
        <f ca="1">IFERROR(__xludf.DUMMYFUNCTION("""COMPUTED_VALUE"""),"Unsure")</f>
        <v>Unsure</v>
      </c>
      <c r="Q106"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6" s="93" t="str">
        <f ca="1">IFERROR(__xludf.DUMMYFUNCTION("""COMPUTED_VALUE"""),"https://www.nature.com/authors/author_resources/transfer_manuscripts.html")</f>
        <v>https://www.nature.com/authors/author_resources/transfer_manuscripts.html</v>
      </c>
      <c r="S106" t="str">
        <f ca="1">IFERROR(__xludf.DUMMYFUNCTION("""COMPUTED_VALUE"""),"Not specified")</f>
        <v>Not specified</v>
      </c>
      <c r="T106" t="str">
        <f ca="1">IFERROR(__xludf.DUMMYFUNCTION("""COMPUTED_VALUE"""),"Not specified")</f>
        <v>Not specified</v>
      </c>
      <c r="U106" t="str">
        <f ca="1">IFERROR(__xludf.DUMMYFUNCTION("""COMPUTED_VALUE"""),"Not specified")</f>
        <v>Not specified</v>
      </c>
      <c r="V106" t="str">
        <f ca="1">IFERROR(__xludf.DUMMYFUNCTION("""COMPUTED_VALUE"""),"Not specified")</f>
        <v>Not specified</v>
      </c>
      <c r="W106" t="str">
        <f ca="1">IFERROR(__xludf.DUMMYFUNCTION("""COMPUTED_VALUE"""),"Not specified")</f>
        <v>Not specified</v>
      </c>
      <c r="X106" t="str">
        <f ca="1">IFERROR(__xludf.DUMMYFUNCTION("""COMPUTED_VALUE"""),"Optional")</f>
        <v>Optional</v>
      </c>
      <c r="Y106" t="str">
        <f ca="1">IFERROR(__xludf.DUMMYFUNCTION("""COMPUTED_VALUE"""),"Not specified")</f>
        <v>Not specified</v>
      </c>
      <c r="Z106" t="str">
        <f ca="1">IFERROR(__xludf.DUMMYFUNCTION("""COMPUTED_VALUE"""),"Not specified")</f>
        <v>Not specified</v>
      </c>
      <c r="AA106" t="str">
        <f ca="1">IFERROR(__xludf.DUMMYFUNCTION("""COMPUTED_VALUE"""),"")</f>
        <v/>
      </c>
      <c r="AB106"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6" s="93" t="str">
        <f ca="1">IFERROR(__xludf.DUMMYFUNCTION("""COMPUTED_VALUE"""),"https://www.nature.com/nclimate/for-referees/policies-and-processes")</f>
        <v>https://www.nature.com/nclimate/for-referees/policies-and-processes</v>
      </c>
      <c r="AD106" t="str">
        <f ca="1">IFERROR(__xludf.DUMMYFUNCTION("""COMPUTED_VALUE"""),"Unsure")</f>
        <v>Unsure</v>
      </c>
      <c r="AE106" t="str">
        <f ca="1">IFERROR(__xludf.DUMMYFUNCTION("""COMPUTED_VALUE"""),"Unsure")</f>
        <v>Unsure</v>
      </c>
      <c r="AF106" t="str">
        <f ca="1">IFERROR(__xludf.DUMMYFUNCTION("""COMPUTED_VALUE"""),"Unsure")</f>
        <v>Unsure</v>
      </c>
      <c r="AG106" s="93" t="str">
        <f ca="1">IFERROR(__xludf.DUMMYFUNCTION("""COMPUTED_VALUE"""),"https://www.nature.com/authors/policies/preprints.html")</f>
        <v>https://www.nature.com/authors/policies/preprints.html</v>
      </c>
      <c r="AH106" t="str">
        <f ca="1">IFERROR(__xludf.DUMMYFUNCTION("""COMPUTED_VALUE"""),"First submission only (before peer review)")</f>
        <v>First submission only (before peer review)</v>
      </c>
      <c r="AI106" t="str">
        <f ca="1">IFERROR(__xludf.DUMMYFUNCTION("""COMPUTED_VALUE"""),"Not specified")</f>
        <v>Not specified</v>
      </c>
      <c r="AJ106" t="str">
        <f ca="1">IFERROR(__xludf.DUMMYFUNCTION("""COMPUTED_VALUE"""),"Yes, in the reference list")</f>
        <v>Yes, in the reference list</v>
      </c>
      <c r="AK106" t="str">
        <f ca="1">IFERROR(__xludf.DUMMYFUNCTION("""COMPUTED_VALUE"""),"")</f>
        <v/>
      </c>
      <c r="AL106"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6" t="str">
        <f ca="1">IFERROR(__xludf.DUMMYFUNCTION("""COMPUTED_VALUE"""),"")</f>
        <v/>
      </c>
      <c r="AN106" t="str">
        <f ca="1">IFERROR(__xludf.DUMMYFUNCTION("""COMPUTED_VALUE"""),"")</f>
        <v/>
      </c>
      <c r="AO106" t="str">
        <f ca="1">IFERROR(__xludf.DUMMYFUNCTION("""COMPUTED_VALUE"""),"")</f>
        <v/>
      </c>
      <c r="AP106" t="str">
        <f ca="1">IFERROR(__xludf.DUMMYFUNCTION("""COMPUTED_VALUE"""),"")</f>
        <v/>
      </c>
      <c r="AQ106" t="str">
        <f ca="1">IFERROR(__xludf.DUMMYFUNCTION("""COMPUTED_VALUE"""),"")</f>
        <v/>
      </c>
      <c r="AR106" t="str">
        <f ca="1">IFERROR(__xludf.DUMMYFUNCTION("""COMPUTED_VALUE"""),"")</f>
        <v/>
      </c>
    </row>
    <row r="107" spans="1:44" ht="13">
      <c r="A107" t="str">
        <f ca="1">IFERROR(__xludf.DUMMYFUNCTION("""COMPUTED_VALUE"""),"SR")</f>
        <v>SR</v>
      </c>
      <c r="B107" t="str">
        <f ca="1">IFERROR(__xludf.DUMMYFUNCTION("""COMPUTED_VALUE"""),"")</f>
        <v/>
      </c>
      <c r="C107" t="str">
        <f ca="1">IFERROR(__xludf.DUMMYFUNCTION("""COMPUTED_VALUE"""),"TRH")</f>
        <v>TRH</v>
      </c>
      <c r="D107" s="28">
        <f ca="1">IFERROR(__xludf.DUMMYFUNCTION("""COMPUTED_VALUE"""),43575)</f>
        <v>43575</v>
      </c>
      <c r="E107" t="str">
        <f ca="1">IFERROR(__xludf.DUMMYFUNCTION("""COMPUTED_VALUE"""),"JP")</f>
        <v>JP</v>
      </c>
      <c r="F107" s="28">
        <f ca="1">IFERROR(__xludf.DUMMYFUNCTION("""COMPUTED_VALUE"""),43583)</f>
        <v>43583</v>
      </c>
      <c r="G107" t="str">
        <f ca="1">IFERROR(__xludf.DUMMYFUNCTION("""COMPUTED_VALUE"""),"")</f>
        <v/>
      </c>
      <c r="H107" t="str">
        <f ca="1">IFERROR(__xludf.DUMMYFUNCTION("""COMPUTED_VALUE"""),"2041-1723")</f>
        <v>2041-1723</v>
      </c>
      <c r="I107" t="str">
        <f ca="1">IFERROR(__xludf.DUMMYFUNCTION("""COMPUTED_VALUE"""),"Nature Communications")</f>
        <v>Nature Communications</v>
      </c>
      <c r="J107" t="str">
        <f ca="1">IFERROR(__xludf.DUMMYFUNCTION("""COMPUTED_VALUE"""),"Life Sciences &amp; Earth Sciences")</f>
        <v>Life Sciences &amp; Earth Sciences</v>
      </c>
      <c r="K107" t="str">
        <f ca="1">IFERROR(__xludf.DUMMYFUNCTION("""COMPUTED_VALUE"""),"")</f>
        <v/>
      </c>
      <c r="L10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7" s="93" t="str">
        <f ca="1">IFERROR(__xludf.DUMMYFUNCTION("""COMPUTED_VALUE"""),"https://www.nature.com/authors/policies/peer_review.html")</f>
        <v>https://www.nature.com/authors/policies/peer_review.html</v>
      </c>
      <c r="N107" t="str">
        <f ca="1">IFERROR(__xludf.DUMMYFUNCTION("""COMPUTED_VALUE"""),"Not found")</f>
        <v>Not found</v>
      </c>
      <c r="O107" s="93" t="str">
        <f ca="1">IFERROR(__xludf.DUMMYFUNCTION("""COMPUTED_VALUE"""),"https://www.nature.com/ncomms/journal-policies/guide-to-referees")</f>
        <v>https://www.nature.com/ncomms/journal-policies/guide-to-referees</v>
      </c>
      <c r="P107" t="str">
        <f ca="1">IFERROR(__xludf.DUMMYFUNCTION("""COMPUTED_VALUE"""),"Unsure")</f>
        <v>Unsure</v>
      </c>
      <c r="Q107"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7" s="93" t="str">
        <f ca="1">IFERROR(__xludf.DUMMYFUNCTION("""COMPUTED_VALUE"""),"https://www.nature.com/authors/author_resources/transfer_manuscripts.html")</f>
        <v>https://www.nature.com/authors/author_resources/transfer_manuscripts.html</v>
      </c>
      <c r="S107" t="str">
        <f ca="1">IFERROR(__xludf.DUMMYFUNCTION("""COMPUTED_VALUE"""),"Optional")</f>
        <v>Optional</v>
      </c>
      <c r="T107" t="str">
        <f ca="1">IFERROR(__xludf.DUMMYFUNCTION("""COMPUTED_VALUE"""),"Optional")</f>
        <v>Optional</v>
      </c>
      <c r="U107" t="str">
        <f ca="1">IFERROR(__xludf.DUMMYFUNCTION("""COMPUTED_VALUE"""),"Not specified")</f>
        <v>Not specified</v>
      </c>
      <c r="V107" t="str">
        <f ca="1">IFERROR(__xludf.DUMMYFUNCTION("""COMPUTED_VALUE"""),"Not specified")</f>
        <v>Not specified</v>
      </c>
      <c r="W107" t="str">
        <f ca="1">IFERROR(__xludf.DUMMYFUNCTION("""COMPUTED_VALUE"""),"Optional")</f>
        <v>Optional</v>
      </c>
      <c r="X107" t="str">
        <f ca="1">IFERROR(__xludf.DUMMYFUNCTION("""COMPUTED_VALUE"""),"Optional")</f>
        <v>Optional</v>
      </c>
      <c r="Y107" t="str">
        <f ca="1">IFERROR(__xludf.DUMMYFUNCTION("""COMPUTED_VALUE"""),"Not specified")</f>
        <v>Not specified</v>
      </c>
      <c r="Z107" t="str">
        <f ca="1">IFERROR(__xludf.DUMMYFUNCTION("""COMPUTED_VALUE"""),"Not specified")</f>
        <v>Not specified</v>
      </c>
      <c r="AA107" t="str">
        <f ca="1">IFERROR(__xludf.DUMMYFUNCTION("""COMPUTED_VALUE"""),"")</f>
        <v/>
      </c>
      <c r="AB107" t="str">
        <f ca="1">IFERROR(__xludf.DUMMYFUNCTION("""COMPUTED_VALUE"""),"We ask referees to treat the review process as strictly confidential, and not to discuss the manuscript with anyone not directly involved in the review. It is acceptable to consult with laboratory colleagues, but please identify them to the editors. Consu"&amp;"lting with experts from outside the referee's own laboratory may be acceptable, but please check with the editors before doing so, to avoid involving anyone who may have been excluded by the authors.")</f>
        <v>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7" s="93" t="str">
        <f ca="1">IFERROR(__xludf.DUMMYFUNCTION("""COMPUTED_VALUE"""),"https://www.nature.com/ncomms/journal-policies/guide-to-referees")</f>
        <v>https://www.nature.com/ncomms/journal-policies/guide-to-referees</v>
      </c>
      <c r="AD107" t="str">
        <f ca="1">IFERROR(__xludf.DUMMYFUNCTION("""COMPUTED_VALUE"""),"Unsure")</f>
        <v>Unsure</v>
      </c>
      <c r="AE107" t="str">
        <f ca="1">IFERROR(__xludf.DUMMYFUNCTION("""COMPUTED_VALUE"""),"Unsure")</f>
        <v>Unsure</v>
      </c>
      <c r="AF107" t="str">
        <f ca="1">IFERROR(__xludf.DUMMYFUNCTION("""COMPUTED_VALUE"""),"Unsure")</f>
        <v>Unsure</v>
      </c>
      <c r="AG107" s="93" t="str">
        <f ca="1">IFERROR(__xludf.DUMMYFUNCTION("""COMPUTED_VALUE"""),"https://www.nature.com/authors/policies/preprints.html")</f>
        <v>https://www.nature.com/authors/policies/preprints.html</v>
      </c>
      <c r="AH107" t="str">
        <f ca="1">IFERROR(__xludf.DUMMYFUNCTION("""COMPUTED_VALUE"""),"First submission only (before peer review)")</f>
        <v>First submission only (before peer review)</v>
      </c>
      <c r="AI107" t="str">
        <f ca="1">IFERROR(__xludf.DUMMYFUNCTION("""COMPUTED_VALUE"""),"Not specified")</f>
        <v>Not specified</v>
      </c>
      <c r="AJ107" t="str">
        <f ca="1">IFERROR(__xludf.DUMMYFUNCTION("""COMPUTED_VALUE"""),"Yes, in the reference list.")</f>
        <v>Yes, in the reference list.</v>
      </c>
      <c r="AK107" t="str">
        <f ca="1">IFERROR(__xludf.DUMMYFUNCTION("""COMPUTED_VALUE"""),"Yes")</f>
        <v>Yes</v>
      </c>
      <c r="AL107"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7" t="str">
        <f ca="1">IFERROR(__xludf.DUMMYFUNCTION("""COMPUTED_VALUE"""),"")</f>
        <v/>
      </c>
      <c r="AN107" t="str">
        <f ca="1">IFERROR(__xludf.DUMMYFUNCTION("""COMPUTED_VALUE"""),"")</f>
        <v/>
      </c>
      <c r="AO107" t="str">
        <f ca="1">IFERROR(__xludf.DUMMYFUNCTION("""COMPUTED_VALUE"""),"Not specified")</f>
        <v>Not specified</v>
      </c>
      <c r="AP107" t="str">
        <f ca="1">IFERROR(__xludf.DUMMYFUNCTION("""COMPUTED_VALUE"""),"")</f>
        <v/>
      </c>
      <c r="AQ107" t="str">
        <f ca="1">IFERROR(__xludf.DUMMYFUNCTION("""COMPUTED_VALUE"""),"")</f>
        <v/>
      </c>
      <c r="AR107" t="str">
        <f ca="1">IFERROR(__xludf.DUMMYFUNCTION("""COMPUTED_VALUE"""),"")</f>
        <v/>
      </c>
    </row>
    <row r="108" spans="1:44" ht="13">
      <c r="A108" t="str">
        <f ca="1">IFERROR(__xludf.DUMMYFUNCTION("""COMPUTED_VALUE"""),"SR")</f>
        <v>SR</v>
      </c>
      <c r="B108" t="str">
        <f ca="1">IFERROR(__xludf.DUMMYFUNCTION("""COMPUTED_VALUE"""),"")</f>
        <v/>
      </c>
      <c r="C108" t="str">
        <f ca="1">IFERROR(__xludf.DUMMYFUNCTION("""COMPUTED_VALUE"""),"TRH")</f>
        <v>TRH</v>
      </c>
      <c r="D108" s="28">
        <f ca="1">IFERROR(__xludf.DUMMYFUNCTION("""COMPUTED_VALUE"""),43575)</f>
        <v>43575</v>
      </c>
      <c r="E108" t="str">
        <f ca="1">IFERROR(__xludf.DUMMYFUNCTION("""COMPUTED_VALUE"""),"JP")</f>
        <v>JP</v>
      </c>
      <c r="F108" s="28">
        <f ca="1">IFERROR(__xludf.DUMMYFUNCTION("""COMPUTED_VALUE"""),43581)</f>
        <v>43581</v>
      </c>
      <c r="G108" t="str">
        <f ca="1">IFERROR(__xludf.DUMMYFUNCTION("""COMPUTED_VALUE"""),"")</f>
        <v/>
      </c>
      <c r="H108" t="str">
        <f ca="1">IFERROR(__xludf.DUMMYFUNCTION("""COMPUTED_VALUE"""),"1546-1718")</f>
        <v>1546-1718</v>
      </c>
      <c r="I108" t="str">
        <f ca="1">IFERROR(__xludf.DUMMYFUNCTION("""COMPUTED_VALUE"""),"Nature Genetics")</f>
        <v>Nature Genetics</v>
      </c>
      <c r="J108" t="str">
        <f ca="1">IFERROR(__xludf.DUMMYFUNCTION("""COMPUTED_VALUE"""),"Health &amp; Medical Sciences,
Life Sciences &amp; Earth Sciences")</f>
        <v>Health &amp; Medical Sciences,
Life Sciences &amp; Earth Sciences</v>
      </c>
      <c r="K108" t="str">
        <f ca="1">IFERROR(__xludf.DUMMYFUNCTION("""COMPUTED_VALUE"""),"Springer Nature")</f>
        <v>Springer Nature</v>
      </c>
      <c r="L10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8" s="93" t="str">
        <f ca="1">IFERROR(__xludf.DUMMYFUNCTION("""COMPUTED_VALUE"""),"https://www.nature.com/authors/policies/peer_review.html")</f>
        <v>https://www.nature.com/authors/policies/peer_review.html</v>
      </c>
      <c r="N108" t="str">
        <f ca="1">IFERROR(__xludf.DUMMYFUNCTION("""COMPUTED_VALUE"""),"")</f>
        <v/>
      </c>
      <c r="O108" s="93" t="str">
        <f ca="1">IFERROR(__xludf.DUMMYFUNCTION("""COMPUTED_VALUE"""),"https://www.nature.com/authors/policies/peer_review.html")</f>
        <v>https://www.nature.com/authors/policies/peer_review.html</v>
      </c>
      <c r="P108" t="str">
        <f ca="1">IFERROR(__xludf.DUMMYFUNCTION("""COMPUTED_VALUE"""),"Unsure")</f>
        <v>Unsure</v>
      </c>
      <c r="Q108"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8" s="93" t="str">
        <f ca="1">IFERROR(__xludf.DUMMYFUNCTION("""COMPUTED_VALUE"""),"https://www.nature.com/authors/author_resources/transfer_manuscripts.html")</f>
        <v>https://www.nature.com/authors/author_resources/transfer_manuscripts.html</v>
      </c>
      <c r="S108" t="str">
        <f ca="1">IFERROR(__xludf.DUMMYFUNCTION("""COMPUTED_VALUE"""),"Not specified")</f>
        <v>Not specified</v>
      </c>
      <c r="T108" t="str">
        <f ca="1">IFERROR(__xludf.DUMMYFUNCTION("""COMPUTED_VALUE"""),"Not specified")</f>
        <v>Not specified</v>
      </c>
      <c r="U108" t="str">
        <f ca="1">IFERROR(__xludf.DUMMYFUNCTION("""COMPUTED_VALUE"""),"Not specified")</f>
        <v>Not specified</v>
      </c>
      <c r="V108" t="str">
        <f ca="1">IFERROR(__xludf.DUMMYFUNCTION("""COMPUTED_VALUE"""),"Not specified")</f>
        <v>Not specified</v>
      </c>
      <c r="W108" t="str">
        <f ca="1">IFERROR(__xludf.DUMMYFUNCTION("""COMPUTED_VALUE"""),"Not specified")</f>
        <v>Not specified</v>
      </c>
      <c r="X108" t="str">
        <f ca="1">IFERROR(__xludf.DUMMYFUNCTION("""COMPUTED_VALUE"""),"Optional")</f>
        <v>Optional</v>
      </c>
      <c r="Y108" t="str">
        <f ca="1">IFERROR(__xludf.DUMMYFUNCTION("""COMPUTED_VALUE"""),"Not specified")</f>
        <v>Not specified</v>
      </c>
      <c r="Z108" t="str">
        <f ca="1">IFERROR(__xludf.DUMMYFUNCTION("""COMPUTED_VALUE"""),"Not specified")</f>
        <v>Not specified</v>
      </c>
      <c r="AA108" t="str">
        <f ca="1">IFERROR(__xludf.DUMMYFUNCTION("""COMPUTED_VALUE"""),"")</f>
        <v/>
      </c>
      <c r="AB108"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8" s="93" t="str">
        <f ca="1">IFERROR(__xludf.DUMMYFUNCTION("""COMPUTED_VALUE"""),"https://www.nature.com/ng/for-referees/policies-and-processes")</f>
        <v>https://www.nature.com/ng/for-referees/policies-and-processes</v>
      </c>
      <c r="AD108" t="str">
        <f ca="1">IFERROR(__xludf.DUMMYFUNCTION("""COMPUTED_VALUE"""),"Unsure")</f>
        <v>Unsure</v>
      </c>
      <c r="AE108" t="str">
        <f ca="1">IFERROR(__xludf.DUMMYFUNCTION("""COMPUTED_VALUE"""),"Unsure")</f>
        <v>Unsure</v>
      </c>
      <c r="AF108" t="str">
        <f ca="1">IFERROR(__xludf.DUMMYFUNCTION("""COMPUTED_VALUE"""),"Unsure")</f>
        <v>Unsure</v>
      </c>
      <c r="AG108" s="93" t="str">
        <f ca="1">IFERROR(__xludf.DUMMYFUNCTION("""COMPUTED_VALUE"""),"https://www.nature.com/authors/policies/preprints.html")</f>
        <v>https://www.nature.com/authors/policies/preprints.html</v>
      </c>
      <c r="AH108" t="str">
        <f ca="1">IFERROR(__xludf.DUMMYFUNCTION("""COMPUTED_VALUE"""),"First submission only (before peer review)")</f>
        <v>First submission only (before peer review)</v>
      </c>
      <c r="AI108" t="str">
        <f ca="1">IFERROR(__xludf.DUMMYFUNCTION("""COMPUTED_VALUE"""),"Not specified")</f>
        <v>Not specified</v>
      </c>
      <c r="AJ108" t="str">
        <f ca="1">IFERROR(__xludf.DUMMYFUNCTION("""COMPUTED_VALUE"""),"Yes, in the reference list")</f>
        <v>Yes, in the reference list</v>
      </c>
      <c r="AK108" t="str">
        <f ca="1">IFERROR(__xludf.DUMMYFUNCTION("""COMPUTED_VALUE"""),"")</f>
        <v/>
      </c>
      <c r="AL108"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8" t="str">
        <f ca="1">IFERROR(__xludf.DUMMYFUNCTION("""COMPUTED_VALUE"""),"")</f>
        <v/>
      </c>
      <c r="AN108" t="str">
        <f ca="1">IFERROR(__xludf.DUMMYFUNCTION("""COMPUTED_VALUE"""),"")</f>
        <v/>
      </c>
      <c r="AO108" t="str">
        <f ca="1">IFERROR(__xludf.DUMMYFUNCTION("""COMPUTED_VALUE"""),"")</f>
        <v/>
      </c>
      <c r="AP108" t="str">
        <f ca="1">IFERROR(__xludf.DUMMYFUNCTION("""COMPUTED_VALUE"""),"")</f>
        <v/>
      </c>
      <c r="AQ108" t="str">
        <f ca="1">IFERROR(__xludf.DUMMYFUNCTION("""COMPUTED_VALUE"""),"")</f>
        <v/>
      </c>
      <c r="AR108" t="str">
        <f ca="1">IFERROR(__xludf.DUMMYFUNCTION("""COMPUTED_VALUE"""),"")</f>
        <v/>
      </c>
    </row>
    <row r="109" spans="1:44" ht="13">
      <c r="A109" t="str">
        <f ca="1">IFERROR(__xludf.DUMMYFUNCTION("""COMPUTED_VALUE"""),"SR")</f>
        <v>SR</v>
      </c>
      <c r="B109" t="str">
        <f ca="1">IFERROR(__xludf.DUMMYFUNCTION("""COMPUTED_VALUE"""),"")</f>
        <v/>
      </c>
      <c r="C109" t="str">
        <f ca="1">IFERROR(__xludf.DUMMYFUNCTION("""COMPUTED_VALUE"""),"TRH")</f>
        <v>TRH</v>
      </c>
      <c r="D109" s="28">
        <f ca="1">IFERROR(__xludf.DUMMYFUNCTION("""COMPUTED_VALUE"""),43575)</f>
        <v>43575</v>
      </c>
      <c r="E109" t="str">
        <f ca="1">IFERROR(__xludf.DUMMYFUNCTION("""COMPUTED_VALUE"""),"JP")</f>
        <v>JP</v>
      </c>
      <c r="F109" s="28">
        <f ca="1">IFERROR(__xludf.DUMMYFUNCTION("""COMPUTED_VALUE"""),43581)</f>
        <v>43581</v>
      </c>
      <c r="G109" t="str">
        <f ca="1">IFERROR(__xludf.DUMMYFUNCTION("""COMPUTED_VALUE"""),"")</f>
        <v/>
      </c>
      <c r="H109" t="str">
        <f ca="1">IFERROR(__xludf.DUMMYFUNCTION("""COMPUTED_VALUE"""),"1529-2916")</f>
        <v>1529-2916</v>
      </c>
      <c r="I109" t="str">
        <f ca="1">IFERROR(__xludf.DUMMYFUNCTION("""COMPUTED_VALUE"""),"Nature Immunology")</f>
        <v>Nature Immunology</v>
      </c>
      <c r="J109" t="str">
        <f ca="1">IFERROR(__xludf.DUMMYFUNCTION("""COMPUTED_VALUE"""),"")</f>
        <v/>
      </c>
      <c r="K109" t="str">
        <f ca="1">IFERROR(__xludf.DUMMYFUNCTION("""COMPUTED_VALUE"""),"Springer Nature")</f>
        <v>Springer Nature</v>
      </c>
      <c r="L109"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09" s="93" t="str">
        <f ca="1">IFERROR(__xludf.DUMMYFUNCTION("""COMPUTED_VALUE"""),"https://www.nature.com/authors/policies/peer_review.html")</f>
        <v>https://www.nature.com/authors/policies/peer_review.html</v>
      </c>
      <c r="N109" t="str">
        <f ca="1">IFERROR(__xludf.DUMMYFUNCTION("""COMPUTED_VALUE"""),"")</f>
        <v/>
      </c>
      <c r="O109" s="93" t="str">
        <f ca="1">IFERROR(__xludf.DUMMYFUNCTION("""COMPUTED_VALUE"""),"https://www.nature.com/authors/policies/peer_review.html")</f>
        <v>https://www.nature.com/authors/policies/peer_review.html</v>
      </c>
      <c r="P109" t="str">
        <f ca="1">IFERROR(__xludf.DUMMYFUNCTION("""COMPUTED_VALUE"""),"Unsure")</f>
        <v>Unsure</v>
      </c>
      <c r="Q109"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09" s="93" t="str">
        <f ca="1">IFERROR(__xludf.DUMMYFUNCTION("""COMPUTED_VALUE"""),"https://www.nature.com/authors/author_resources/transfer_manuscripts.html")</f>
        <v>https://www.nature.com/authors/author_resources/transfer_manuscripts.html</v>
      </c>
      <c r="S109" t="str">
        <f ca="1">IFERROR(__xludf.DUMMYFUNCTION("""COMPUTED_VALUE"""),"Not specified")</f>
        <v>Not specified</v>
      </c>
      <c r="T109" t="str">
        <f ca="1">IFERROR(__xludf.DUMMYFUNCTION("""COMPUTED_VALUE"""),"Not specified")</f>
        <v>Not specified</v>
      </c>
      <c r="U109" t="str">
        <f ca="1">IFERROR(__xludf.DUMMYFUNCTION("""COMPUTED_VALUE"""),"Not specified")</f>
        <v>Not specified</v>
      </c>
      <c r="V109" t="str">
        <f ca="1">IFERROR(__xludf.DUMMYFUNCTION("""COMPUTED_VALUE"""),"Not specified")</f>
        <v>Not specified</v>
      </c>
      <c r="W109" t="str">
        <f ca="1">IFERROR(__xludf.DUMMYFUNCTION("""COMPUTED_VALUE"""),"Not specified")</f>
        <v>Not specified</v>
      </c>
      <c r="X109" t="str">
        <f ca="1">IFERROR(__xludf.DUMMYFUNCTION("""COMPUTED_VALUE"""),"Optional")</f>
        <v>Optional</v>
      </c>
      <c r="Y109" t="str">
        <f ca="1">IFERROR(__xludf.DUMMYFUNCTION("""COMPUTED_VALUE"""),"Not specified")</f>
        <v>Not specified</v>
      </c>
      <c r="Z109" t="str">
        <f ca="1">IFERROR(__xludf.DUMMYFUNCTION("""COMPUTED_VALUE"""),"Not specified")</f>
        <v>Not specified</v>
      </c>
      <c r="AA109" t="str">
        <f ca="1">IFERROR(__xludf.DUMMYFUNCTION("""COMPUTED_VALUE"""),"")</f>
        <v/>
      </c>
      <c r="AB109"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09" s="93" t="str">
        <f ca="1">IFERROR(__xludf.DUMMYFUNCTION("""COMPUTED_VALUE"""),"https://www.nature.com/ni/for-referees/policies-and-processes")</f>
        <v>https://www.nature.com/ni/for-referees/policies-and-processes</v>
      </c>
      <c r="AD109" t="str">
        <f ca="1">IFERROR(__xludf.DUMMYFUNCTION("""COMPUTED_VALUE"""),"Unsure")</f>
        <v>Unsure</v>
      </c>
      <c r="AE109" t="str">
        <f ca="1">IFERROR(__xludf.DUMMYFUNCTION("""COMPUTED_VALUE"""),"Unsure")</f>
        <v>Unsure</v>
      </c>
      <c r="AF109" t="str">
        <f ca="1">IFERROR(__xludf.DUMMYFUNCTION("""COMPUTED_VALUE"""),"Unsure")</f>
        <v>Unsure</v>
      </c>
      <c r="AG109" s="93" t="str">
        <f ca="1">IFERROR(__xludf.DUMMYFUNCTION("""COMPUTED_VALUE"""),"https://www.nature.com/authors/policies/preprints.html")</f>
        <v>https://www.nature.com/authors/policies/preprints.html</v>
      </c>
      <c r="AH109" t="str">
        <f ca="1">IFERROR(__xludf.DUMMYFUNCTION("""COMPUTED_VALUE"""),"First submission only (before peer review)")</f>
        <v>First submission only (before peer review)</v>
      </c>
      <c r="AI109" t="str">
        <f ca="1">IFERROR(__xludf.DUMMYFUNCTION("""COMPUTED_VALUE"""),"Not specified")</f>
        <v>Not specified</v>
      </c>
      <c r="AJ109" t="str">
        <f ca="1">IFERROR(__xludf.DUMMYFUNCTION("""COMPUTED_VALUE"""),"Yes, in the reference list")</f>
        <v>Yes, in the reference list</v>
      </c>
      <c r="AK109" t="str">
        <f ca="1">IFERROR(__xludf.DUMMYFUNCTION("""COMPUTED_VALUE"""),"")</f>
        <v/>
      </c>
      <c r="AL109"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09" t="str">
        <f ca="1">IFERROR(__xludf.DUMMYFUNCTION("""COMPUTED_VALUE"""),"")</f>
        <v/>
      </c>
      <c r="AN109" t="str">
        <f ca="1">IFERROR(__xludf.DUMMYFUNCTION("""COMPUTED_VALUE"""),"")</f>
        <v/>
      </c>
      <c r="AO109" t="str">
        <f ca="1">IFERROR(__xludf.DUMMYFUNCTION("""COMPUTED_VALUE"""),"")</f>
        <v/>
      </c>
      <c r="AP109" t="str">
        <f ca="1">IFERROR(__xludf.DUMMYFUNCTION("""COMPUTED_VALUE"""),"")</f>
        <v/>
      </c>
      <c r="AQ109" t="str">
        <f ca="1">IFERROR(__xludf.DUMMYFUNCTION("""COMPUTED_VALUE"""),"")</f>
        <v/>
      </c>
      <c r="AR109" t="str">
        <f ca="1">IFERROR(__xludf.DUMMYFUNCTION("""COMPUTED_VALUE"""),"")</f>
        <v/>
      </c>
    </row>
    <row r="110" spans="1:44" ht="13">
      <c r="A110" t="str">
        <f ca="1">IFERROR(__xludf.DUMMYFUNCTION("""COMPUTED_VALUE"""),"SR")</f>
        <v>SR</v>
      </c>
      <c r="B110" t="str">
        <f ca="1">IFERROR(__xludf.DUMMYFUNCTION("""COMPUTED_VALUE"""),"")</f>
        <v/>
      </c>
      <c r="C110" t="str">
        <f ca="1">IFERROR(__xludf.DUMMYFUNCTION("""COMPUTED_VALUE"""),"TRH")</f>
        <v>TRH</v>
      </c>
      <c r="D110" s="28">
        <f ca="1">IFERROR(__xludf.DUMMYFUNCTION("""COMPUTED_VALUE"""),43575)</f>
        <v>43575</v>
      </c>
      <c r="E110" t="str">
        <f ca="1">IFERROR(__xludf.DUMMYFUNCTION("""COMPUTED_VALUE"""),"JP")</f>
        <v>JP</v>
      </c>
      <c r="F110" s="28">
        <f ca="1">IFERROR(__xludf.DUMMYFUNCTION("""COMPUTED_VALUE"""),43581)</f>
        <v>43581</v>
      </c>
      <c r="G110" t="str">
        <f ca="1">IFERROR(__xludf.DUMMYFUNCTION("""COMPUTED_VALUE"""),"")</f>
        <v/>
      </c>
      <c r="H110" t="str">
        <f ca="1">IFERROR(__xludf.DUMMYFUNCTION("""COMPUTED_VALUE"""),"1476-4660")</f>
        <v>1476-4660</v>
      </c>
      <c r="I110" t="str">
        <f ca="1">IFERROR(__xludf.DUMMYFUNCTION("""COMPUTED_VALUE"""),"Nature Materials")</f>
        <v>Nature Materials</v>
      </c>
      <c r="J110" t="str">
        <f ca="1">IFERROR(__xludf.DUMMYFUNCTION("""COMPUTED_VALUE"""),"Chemical &amp; Materials Sciences,
Engineering &amp; Computer Science")</f>
        <v>Chemical &amp; Materials Sciences,
Engineering &amp; Computer Science</v>
      </c>
      <c r="K110" t="str">
        <f ca="1">IFERROR(__xludf.DUMMYFUNCTION("""COMPUTED_VALUE"""),"Springer Nature")</f>
        <v>Springer Nature</v>
      </c>
      <c r="L110"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0" s="93" t="str">
        <f ca="1">IFERROR(__xludf.DUMMYFUNCTION("""COMPUTED_VALUE"""),"https://www.nature.com/authors/policies/peer_review.html")</f>
        <v>https://www.nature.com/authors/policies/peer_review.html</v>
      </c>
      <c r="N110" t="str">
        <f ca="1">IFERROR(__xludf.DUMMYFUNCTION("""COMPUTED_VALUE"""),"")</f>
        <v/>
      </c>
      <c r="O110" s="93" t="str">
        <f ca="1">IFERROR(__xludf.DUMMYFUNCTION("""COMPUTED_VALUE"""),"https://www.nature.com/authors/policies/peer_review.html")</f>
        <v>https://www.nature.com/authors/policies/peer_review.html</v>
      </c>
      <c r="P110" t="str">
        <f ca="1">IFERROR(__xludf.DUMMYFUNCTION("""COMPUTED_VALUE"""),"Unsure")</f>
        <v>Unsure</v>
      </c>
      <c r="Q110"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0" s="93" t="str">
        <f ca="1">IFERROR(__xludf.DUMMYFUNCTION("""COMPUTED_VALUE"""),"https://www.nature.com/authors/author_resources/transfer_manuscripts.html")</f>
        <v>https://www.nature.com/authors/author_resources/transfer_manuscripts.html</v>
      </c>
      <c r="S110" t="str">
        <f ca="1">IFERROR(__xludf.DUMMYFUNCTION("""COMPUTED_VALUE"""),"Not specified")</f>
        <v>Not specified</v>
      </c>
      <c r="T110" t="str">
        <f ca="1">IFERROR(__xludf.DUMMYFUNCTION("""COMPUTED_VALUE"""),"Not specified")</f>
        <v>Not specified</v>
      </c>
      <c r="U110" t="str">
        <f ca="1">IFERROR(__xludf.DUMMYFUNCTION("""COMPUTED_VALUE"""),"Not specified")</f>
        <v>Not specified</v>
      </c>
      <c r="V110" t="str">
        <f ca="1">IFERROR(__xludf.DUMMYFUNCTION("""COMPUTED_VALUE"""),"Not specified")</f>
        <v>Not specified</v>
      </c>
      <c r="W110" t="str">
        <f ca="1">IFERROR(__xludf.DUMMYFUNCTION("""COMPUTED_VALUE"""),"Not specified")</f>
        <v>Not specified</v>
      </c>
      <c r="X110" t="str">
        <f ca="1">IFERROR(__xludf.DUMMYFUNCTION("""COMPUTED_VALUE"""),"Optional")</f>
        <v>Optional</v>
      </c>
      <c r="Y110" t="str">
        <f ca="1">IFERROR(__xludf.DUMMYFUNCTION("""COMPUTED_VALUE"""),"Not specified")</f>
        <v>Not specified</v>
      </c>
      <c r="Z110" t="str">
        <f ca="1">IFERROR(__xludf.DUMMYFUNCTION("""COMPUTED_VALUE"""),"Not specified")</f>
        <v>Not specified</v>
      </c>
      <c r="AA110" t="str">
        <f ca="1">IFERROR(__xludf.DUMMYFUNCTION("""COMPUTED_VALUE"""),"")</f>
        <v/>
      </c>
      <c r="AB110"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0" s="93" t="str">
        <f ca="1">IFERROR(__xludf.DUMMYFUNCTION("""COMPUTED_VALUE"""),"https://www.nature.com/nmat/for-referees/policies-and-processes")</f>
        <v>https://www.nature.com/nmat/for-referees/policies-and-processes</v>
      </c>
      <c r="AD110" t="str">
        <f ca="1">IFERROR(__xludf.DUMMYFUNCTION("""COMPUTED_VALUE"""),"Unsure")</f>
        <v>Unsure</v>
      </c>
      <c r="AE110" t="str">
        <f ca="1">IFERROR(__xludf.DUMMYFUNCTION("""COMPUTED_VALUE"""),"Unsure")</f>
        <v>Unsure</v>
      </c>
      <c r="AF110" t="str">
        <f ca="1">IFERROR(__xludf.DUMMYFUNCTION("""COMPUTED_VALUE"""),"Unsure")</f>
        <v>Unsure</v>
      </c>
      <c r="AG110" s="93" t="str">
        <f ca="1">IFERROR(__xludf.DUMMYFUNCTION("""COMPUTED_VALUE"""),"https://www.nature.com/authors/policies/preprints.html")</f>
        <v>https://www.nature.com/authors/policies/preprints.html</v>
      </c>
      <c r="AH110" t="str">
        <f ca="1">IFERROR(__xludf.DUMMYFUNCTION("""COMPUTED_VALUE"""),"First submission only (before peer review)")</f>
        <v>First submission only (before peer review)</v>
      </c>
      <c r="AI110" t="str">
        <f ca="1">IFERROR(__xludf.DUMMYFUNCTION("""COMPUTED_VALUE"""),"Not specified")</f>
        <v>Not specified</v>
      </c>
      <c r="AJ110" t="str">
        <f ca="1">IFERROR(__xludf.DUMMYFUNCTION("""COMPUTED_VALUE"""),"Yes, in the reference list")</f>
        <v>Yes, in the reference list</v>
      </c>
      <c r="AK110" t="str">
        <f ca="1">IFERROR(__xludf.DUMMYFUNCTION("""COMPUTED_VALUE"""),"")</f>
        <v/>
      </c>
      <c r="AL110"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0" t="str">
        <f ca="1">IFERROR(__xludf.DUMMYFUNCTION("""COMPUTED_VALUE"""),"")</f>
        <v/>
      </c>
      <c r="AN110" t="str">
        <f ca="1">IFERROR(__xludf.DUMMYFUNCTION("""COMPUTED_VALUE"""),"")</f>
        <v/>
      </c>
      <c r="AO110" t="str">
        <f ca="1">IFERROR(__xludf.DUMMYFUNCTION("""COMPUTED_VALUE"""),"")</f>
        <v/>
      </c>
      <c r="AP110" t="str">
        <f ca="1">IFERROR(__xludf.DUMMYFUNCTION("""COMPUTED_VALUE"""),"")</f>
        <v/>
      </c>
      <c r="AQ110" t="str">
        <f ca="1">IFERROR(__xludf.DUMMYFUNCTION("""COMPUTED_VALUE"""),"")</f>
        <v/>
      </c>
      <c r="AR110" t="str">
        <f ca="1">IFERROR(__xludf.DUMMYFUNCTION("""COMPUTED_VALUE"""),"")</f>
        <v/>
      </c>
    </row>
    <row r="111" spans="1:44" ht="13">
      <c r="A111" t="str">
        <f ca="1">IFERROR(__xludf.DUMMYFUNCTION("""COMPUTED_VALUE"""),"SR")</f>
        <v>SR</v>
      </c>
      <c r="B111" t="str">
        <f ca="1">IFERROR(__xludf.DUMMYFUNCTION("""COMPUTED_VALUE"""),"")</f>
        <v/>
      </c>
      <c r="C111" t="str">
        <f ca="1">IFERROR(__xludf.DUMMYFUNCTION("""COMPUTED_VALUE"""),"SH")</f>
        <v>SH</v>
      </c>
      <c r="D111" s="28">
        <f ca="1">IFERROR(__xludf.DUMMYFUNCTION("""COMPUTED_VALUE"""),43574)</f>
        <v>43574</v>
      </c>
      <c r="E111" t="str">
        <f ca="1">IFERROR(__xludf.DUMMYFUNCTION("""COMPUTED_VALUE"""),"TRH")</f>
        <v>TRH</v>
      </c>
      <c r="F111" s="28">
        <f ca="1">IFERROR(__xludf.DUMMYFUNCTION("""COMPUTED_VALUE"""),43581)</f>
        <v>43581</v>
      </c>
      <c r="G111" s="28" t="str">
        <f ca="1">IFERROR(__xludf.DUMMYFUNCTION("""COMPUTED_VALUE"""),"")</f>
        <v/>
      </c>
      <c r="H111" t="str">
        <f ca="1">IFERROR(__xludf.DUMMYFUNCTION("""COMPUTED_VALUE"""),"1546-170X")</f>
        <v>1546-170X</v>
      </c>
      <c r="I111" t="str">
        <f ca="1">IFERROR(__xludf.DUMMYFUNCTION("""COMPUTED_VALUE"""),"Nature Medicine")</f>
        <v>Nature Medicine</v>
      </c>
      <c r="J111" t="str">
        <f ca="1">IFERROR(__xludf.DUMMYFUNCTION("""COMPUTED_VALUE"""),"Health &amp; Medical Sciences")</f>
        <v>Health &amp; Medical Sciences</v>
      </c>
      <c r="K111" t="str">
        <f ca="1">IFERROR(__xludf.DUMMYFUNCTION("""COMPUTED_VALUE"""),"Springer Nature")</f>
        <v>Springer Nature</v>
      </c>
      <c r="L111"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1" s="93" t="str">
        <f ca="1">IFERROR(__xludf.DUMMYFUNCTION("""COMPUTED_VALUE"""),"https://www.nature.com/authors/policies/peer_review.html")</f>
        <v>https://www.nature.com/authors/policies/peer_review.html</v>
      </c>
      <c r="N111" t="str">
        <f ca="1">IFERROR(__xludf.DUMMYFUNCTION("""COMPUTED_VALUE"""),"")</f>
        <v/>
      </c>
      <c r="O111" s="93" t="str">
        <f ca="1">IFERROR(__xludf.DUMMYFUNCTION("""COMPUTED_VALUE"""),"https://www.nature.com/authors/policies/peer_review.html")</f>
        <v>https://www.nature.com/authors/policies/peer_review.html</v>
      </c>
      <c r="P111" t="str">
        <f ca="1">IFERROR(__xludf.DUMMYFUNCTION("""COMPUTED_VALUE"""),"Unsure")</f>
        <v>Unsure</v>
      </c>
      <c r="Q111"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1" s="93" t="str">
        <f ca="1">IFERROR(__xludf.DUMMYFUNCTION("""COMPUTED_VALUE"""),"https://www.nature.com/authors/author_resources/transfer_manuscripts.html")</f>
        <v>https://www.nature.com/authors/author_resources/transfer_manuscripts.html</v>
      </c>
      <c r="S111" t="str">
        <f ca="1">IFERROR(__xludf.DUMMYFUNCTION("""COMPUTED_VALUE"""),"Not specified")</f>
        <v>Not specified</v>
      </c>
      <c r="T111" t="str">
        <f ca="1">IFERROR(__xludf.DUMMYFUNCTION("""COMPUTED_VALUE"""),"Not specified")</f>
        <v>Not specified</v>
      </c>
      <c r="U111" t="str">
        <f ca="1">IFERROR(__xludf.DUMMYFUNCTION("""COMPUTED_VALUE"""),"Not specified")</f>
        <v>Not specified</v>
      </c>
      <c r="V111" t="str">
        <f ca="1">IFERROR(__xludf.DUMMYFUNCTION("""COMPUTED_VALUE"""),"Not specified")</f>
        <v>Not specified</v>
      </c>
      <c r="W111" t="str">
        <f ca="1">IFERROR(__xludf.DUMMYFUNCTION("""COMPUTED_VALUE"""),"Not specified")</f>
        <v>Not specified</v>
      </c>
      <c r="X111" t="str">
        <f ca="1">IFERROR(__xludf.DUMMYFUNCTION("""COMPUTED_VALUE"""),"Optional")</f>
        <v>Optional</v>
      </c>
      <c r="Y111" t="str">
        <f ca="1">IFERROR(__xludf.DUMMYFUNCTION("""COMPUTED_VALUE"""),"Not specified")</f>
        <v>Not specified</v>
      </c>
      <c r="Z111" t="str">
        <f ca="1">IFERROR(__xludf.DUMMYFUNCTION("""COMPUTED_VALUE"""),"Not specified")</f>
        <v>Not specified</v>
      </c>
      <c r="AA111" t="str">
        <f ca="1">IFERROR(__xludf.DUMMYFUNCTION("""COMPUTED_VALUE"""),"")</f>
        <v/>
      </c>
      <c r="AB111"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1" s="93" t="str">
        <f ca="1">IFERROR(__xludf.DUMMYFUNCTION("""COMPUTED_VALUE"""),"https://www.nature.com/nm/for-referees/policies-and-processes")</f>
        <v>https://www.nature.com/nm/for-referees/policies-and-processes</v>
      </c>
      <c r="AD111" t="str">
        <f ca="1">IFERROR(__xludf.DUMMYFUNCTION("""COMPUTED_VALUE"""),"Unsure")</f>
        <v>Unsure</v>
      </c>
      <c r="AE111" t="str">
        <f ca="1">IFERROR(__xludf.DUMMYFUNCTION("""COMPUTED_VALUE"""),"Unsure")</f>
        <v>Unsure</v>
      </c>
      <c r="AF111" t="str">
        <f ca="1">IFERROR(__xludf.DUMMYFUNCTION("""COMPUTED_VALUE"""),"Unsure")</f>
        <v>Unsure</v>
      </c>
      <c r="AG111" s="93" t="str">
        <f ca="1">IFERROR(__xludf.DUMMYFUNCTION("""COMPUTED_VALUE"""),"https://www.nature.com/authors/policies/preprints.html")</f>
        <v>https://www.nature.com/authors/policies/preprints.html</v>
      </c>
      <c r="AH111" t="str">
        <f ca="1">IFERROR(__xludf.DUMMYFUNCTION("""COMPUTED_VALUE"""),"First submission only (before peer review)")</f>
        <v>First submission only (before peer review)</v>
      </c>
      <c r="AI111" t="str">
        <f ca="1">IFERROR(__xludf.DUMMYFUNCTION("""COMPUTED_VALUE"""),"Not specified")</f>
        <v>Not specified</v>
      </c>
      <c r="AJ111" t="str">
        <f ca="1">IFERROR(__xludf.DUMMYFUNCTION("""COMPUTED_VALUE"""),"Yes, in the reference list")</f>
        <v>Yes, in the reference list</v>
      </c>
      <c r="AK111" t="str">
        <f ca="1">IFERROR(__xludf.DUMMYFUNCTION("""COMPUTED_VALUE"""),"")</f>
        <v/>
      </c>
      <c r="AL111"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1" t="str">
        <f ca="1">IFERROR(__xludf.DUMMYFUNCTION("""COMPUTED_VALUE"""),"")</f>
        <v/>
      </c>
      <c r="AN111" t="str">
        <f ca="1">IFERROR(__xludf.DUMMYFUNCTION("""COMPUTED_VALUE"""),"")</f>
        <v/>
      </c>
      <c r="AO111" t="str">
        <f ca="1">IFERROR(__xludf.DUMMYFUNCTION("""COMPUTED_VALUE"""),"")</f>
        <v/>
      </c>
      <c r="AP111" t="str">
        <f ca="1">IFERROR(__xludf.DUMMYFUNCTION("""COMPUTED_VALUE"""),"")</f>
        <v/>
      </c>
      <c r="AQ111" t="str">
        <f ca="1">IFERROR(__xludf.DUMMYFUNCTION("""COMPUTED_VALUE"""),"")</f>
        <v/>
      </c>
      <c r="AR111" t="str">
        <f ca="1">IFERROR(__xludf.DUMMYFUNCTION("""COMPUTED_VALUE"""),"")</f>
        <v/>
      </c>
    </row>
    <row r="112" spans="1:44" ht="13">
      <c r="A112" t="str">
        <f ca="1">IFERROR(__xludf.DUMMYFUNCTION("""COMPUTED_VALUE"""),"SR")</f>
        <v>SR</v>
      </c>
      <c r="B112" t="str">
        <f ca="1">IFERROR(__xludf.DUMMYFUNCTION("""COMPUTED_VALUE"""),"")</f>
        <v/>
      </c>
      <c r="C112" t="str">
        <f ca="1">IFERROR(__xludf.DUMMYFUNCTION("""COMPUTED_VALUE"""),"SH")</f>
        <v>SH</v>
      </c>
      <c r="D112" s="28">
        <f ca="1">IFERROR(__xludf.DUMMYFUNCTION("""COMPUTED_VALUE"""),43574)</f>
        <v>43574</v>
      </c>
      <c r="E112" t="str">
        <f ca="1">IFERROR(__xludf.DUMMYFUNCTION("""COMPUTED_VALUE"""),"TRH")</f>
        <v>TRH</v>
      </c>
      <c r="F112" s="28">
        <f ca="1">IFERROR(__xludf.DUMMYFUNCTION("""COMPUTED_VALUE"""),43581)</f>
        <v>43581</v>
      </c>
      <c r="G112" s="28" t="str">
        <f ca="1">IFERROR(__xludf.DUMMYFUNCTION("""COMPUTED_VALUE"""),"")</f>
        <v/>
      </c>
      <c r="H112" t="str">
        <f ca="1">IFERROR(__xludf.DUMMYFUNCTION("""COMPUTED_VALUE"""),"1548-7105")</f>
        <v>1548-7105</v>
      </c>
      <c r="I112" t="str">
        <f ca="1">IFERROR(__xludf.DUMMYFUNCTION("""COMPUTED_VALUE"""),"Nature Methods")</f>
        <v>Nature Methods</v>
      </c>
      <c r="J112" t="str">
        <f ca="1">IFERROR(__xludf.DUMMYFUNCTION("""COMPUTED_VALUE"""),"Life Sciences &amp; Earth Sciences")</f>
        <v>Life Sciences &amp; Earth Sciences</v>
      </c>
      <c r="K112" t="str">
        <f ca="1">IFERROR(__xludf.DUMMYFUNCTION("""COMPUTED_VALUE"""),"Springer Nature")</f>
        <v>Springer Nature</v>
      </c>
      <c r="L112"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2" s="93" t="str">
        <f ca="1">IFERROR(__xludf.DUMMYFUNCTION("""COMPUTED_VALUE"""),"https://www.nature.com/authors/policies/peer_review.html")</f>
        <v>https://www.nature.com/authors/policies/peer_review.html</v>
      </c>
      <c r="N112" t="str">
        <f ca="1">IFERROR(__xludf.DUMMYFUNCTION("""COMPUTED_VALUE"""),"")</f>
        <v/>
      </c>
      <c r="O112" s="93" t="str">
        <f ca="1">IFERROR(__xludf.DUMMYFUNCTION("""COMPUTED_VALUE"""),"https://www.nature.com/authors/policies/peer_review.html")</f>
        <v>https://www.nature.com/authors/policies/peer_review.html</v>
      </c>
      <c r="P112" t="str">
        <f ca="1">IFERROR(__xludf.DUMMYFUNCTION("""COMPUTED_VALUE"""),"Unsure")</f>
        <v>Unsure</v>
      </c>
      <c r="Q112"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2" s="93" t="str">
        <f ca="1">IFERROR(__xludf.DUMMYFUNCTION("""COMPUTED_VALUE"""),"https://www.nature.com/authors/author_resources/transfer_manuscripts.html")</f>
        <v>https://www.nature.com/authors/author_resources/transfer_manuscripts.html</v>
      </c>
      <c r="S112" t="str">
        <f ca="1">IFERROR(__xludf.DUMMYFUNCTION("""COMPUTED_VALUE"""),"Not specified")</f>
        <v>Not specified</v>
      </c>
      <c r="T112" t="str">
        <f ca="1">IFERROR(__xludf.DUMMYFUNCTION("""COMPUTED_VALUE"""),"Not specified")</f>
        <v>Not specified</v>
      </c>
      <c r="U112" t="str">
        <f ca="1">IFERROR(__xludf.DUMMYFUNCTION("""COMPUTED_VALUE"""),"Not specified")</f>
        <v>Not specified</v>
      </c>
      <c r="V112" t="str">
        <f ca="1">IFERROR(__xludf.DUMMYFUNCTION("""COMPUTED_VALUE"""),"Not specified")</f>
        <v>Not specified</v>
      </c>
      <c r="W112" t="str">
        <f ca="1">IFERROR(__xludf.DUMMYFUNCTION("""COMPUTED_VALUE"""),"Not specified")</f>
        <v>Not specified</v>
      </c>
      <c r="X112" t="str">
        <f ca="1">IFERROR(__xludf.DUMMYFUNCTION("""COMPUTED_VALUE"""),"Optional")</f>
        <v>Optional</v>
      </c>
      <c r="Y112" t="str">
        <f ca="1">IFERROR(__xludf.DUMMYFUNCTION("""COMPUTED_VALUE"""),"Not specified")</f>
        <v>Not specified</v>
      </c>
      <c r="Z112" t="str">
        <f ca="1">IFERROR(__xludf.DUMMYFUNCTION("""COMPUTED_VALUE"""),"Not specified")</f>
        <v>Not specified</v>
      </c>
      <c r="AA112" t="str">
        <f ca="1">IFERROR(__xludf.DUMMYFUNCTION("""COMPUTED_VALUE"""),"")</f>
        <v/>
      </c>
      <c r="AB112"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2" s="93" t="str">
        <f ca="1">IFERROR(__xludf.DUMMYFUNCTION("""COMPUTED_VALUE"""),"https://www.nature.com/nmeth/for-referees/policies-and-processes")</f>
        <v>https://www.nature.com/nmeth/for-referees/policies-and-processes</v>
      </c>
      <c r="AD112" t="str">
        <f ca="1">IFERROR(__xludf.DUMMYFUNCTION("""COMPUTED_VALUE"""),"Unsure")</f>
        <v>Unsure</v>
      </c>
      <c r="AE112" t="str">
        <f ca="1">IFERROR(__xludf.DUMMYFUNCTION("""COMPUTED_VALUE"""),"Unsure")</f>
        <v>Unsure</v>
      </c>
      <c r="AF112" t="str">
        <f ca="1">IFERROR(__xludf.DUMMYFUNCTION("""COMPUTED_VALUE"""),"Unsure")</f>
        <v>Unsure</v>
      </c>
      <c r="AG112" s="93" t="str">
        <f ca="1">IFERROR(__xludf.DUMMYFUNCTION("""COMPUTED_VALUE"""),"https://www.nature.com/authors/policies/preprints.html")</f>
        <v>https://www.nature.com/authors/policies/preprints.html</v>
      </c>
      <c r="AH112" t="str">
        <f ca="1">IFERROR(__xludf.DUMMYFUNCTION("""COMPUTED_VALUE"""),"First submission only (before peer review)")</f>
        <v>First submission only (before peer review)</v>
      </c>
      <c r="AI112" t="str">
        <f ca="1">IFERROR(__xludf.DUMMYFUNCTION("""COMPUTED_VALUE"""),"Not specified")</f>
        <v>Not specified</v>
      </c>
      <c r="AJ112" t="str">
        <f ca="1">IFERROR(__xludf.DUMMYFUNCTION("""COMPUTED_VALUE"""),"Yes, in the reference list")</f>
        <v>Yes, in the reference list</v>
      </c>
      <c r="AK112" t="str">
        <f ca="1">IFERROR(__xludf.DUMMYFUNCTION("""COMPUTED_VALUE"""),"")</f>
        <v/>
      </c>
      <c r="AL112"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2" t="str">
        <f ca="1">IFERROR(__xludf.DUMMYFUNCTION("""COMPUTED_VALUE"""),"")</f>
        <v/>
      </c>
      <c r="AN112" t="str">
        <f ca="1">IFERROR(__xludf.DUMMYFUNCTION("""COMPUTED_VALUE"""),"")</f>
        <v/>
      </c>
      <c r="AO112" t="str">
        <f ca="1">IFERROR(__xludf.DUMMYFUNCTION("""COMPUTED_VALUE"""),"")</f>
        <v/>
      </c>
      <c r="AP112" t="str">
        <f ca="1">IFERROR(__xludf.DUMMYFUNCTION("""COMPUTED_VALUE"""),"")</f>
        <v/>
      </c>
      <c r="AQ112" t="str">
        <f ca="1">IFERROR(__xludf.DUMMYFUNCTION("""COMPUTED_VALUE"""),"")</f>
        <v/>
      </c>
      <c r="AR112" t="str">
        <f ca="1">IFERROR(__xludf.DUMMYFUNCTION("""COMPUTED_VALUE"""),"")</f>
        <v/>
      </c>
    </row>
    <row r="113" spans="1:44" ht="13">
      <c r="A113" t="str">
        <f ca="1">IFERROR(__xludf.DUMMYFUNCTION("""COMPUTED_VALUE"""),"SR")</f>
        <v>SR</v>
      </c>
      <c r="B113" t="str">
        <f ca="1">IFERROR(__xludf.DUMMYFUNCTION("""COMPUTED_VALUE"""),"")</f>
        <v/>
      </c>
      <c r="C113" t="str">
        <f ca="1">IFERROR(__xludf.DUMMYFUNCTION("""COMPUTED_VALUE"""),"SH")</f>
        <v>SH</v>
      </c>
      <c r="D113" s="28">
        <f ca="1">IFERROR(__xludf.DUMMYFUNCTION("""COMPUTED_VALUE"""),43574)</f>
        <v>43574</v>
      </c>
      <c r="E113" t="str">
        <f ca="1">IFERROR(__xludf.DUMMYFUNCTION("""COMPUTED_VALUE"""),"TRH")</f>
        <v>TRH</v>
      </c>
      <c r="F113" s="28">
        <f ca="1">IFERROR(__xludf.DUMMYFUNCTION("""COMPUTED_VALUE"""),43581)</f>
        <v>43581</v>
      </c>
      <c r="G113" s="28" t="str">
        <f ca="1">IFERROR(__xludf.DUMMYFUNCTION("""COMPUTED_VALUE"""),"")</f>
        <v/>
      </c>
      <c r="H113" t="str">
        <f ca="1">IFERROR(__xludf.DUMMYFUNCTION("""COMPUTED_VALUE"""),"1748-3395")</f>
        <v>1748-3395</v>
      </c>
      <c r="I113" t="str">
        <f ca="1">IFERROR(__xludf.DUMMYFUNCTION("""COMPUTED_VALUE"""),"Nature Nanotechnology")</f>
        <v>Nature Nanotechnology</v>
      </c>
      <c r="J113" t="str">
        <f ca="1">IFERROR(__xludf.DUMMYFUNCTION("""COMPUTED_VALUE"""),"Chemical &amp; Materials Sciences,
Engineering &amp; Computer Science")</f>
        <v>Chemical &amp; Materials Sciences,
Engineering &amp; Computer Science</v>
      </c>
      <c r="K113" t="str">
        <f ca="1">IFERROR(__xludf.DUMMYFUNCTION("""COMPUTED_VALUE"""),"Springer Nature")</f>
        <v>Springer Nature</v>
      </c>
      <c r="L113"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3" s="93" t="str">
        <f ca="1">IFERROR(__xludf.DUMMYFUNCTION("""COMPUTED_VALUE"""),"https://www.nature.com/authors/policies/peer_review.html")</f>
        <v>https://www.nature.com/authors/policies/peer_review.html</v>
      </c>
      <c r="N113" t="str">
        <f ca="1">IFERROR(__xludf.DUMMYFUNCTION("""COMPUTED_VALUE"""),"")</f>
        <v/>
      </c>
      <c r="O113" s="93" t="str">
        <f ca="1">IFERROR(__xludf.DUMMYFUNCTION("""COMPUTED_VALUE"""),"https://www.nature.com/authors/policies/peer_review.html")</f>
        <v>https://www.nature.com/authors/policies/peer_review.html</v>
      </c>
      <c r="P113" t="str">
        <f ca="1">IFERROR(__xludf.DUMMYFUNCTION("""COMPUTED_VALUE"""),"Unsure")</f>
        <v>Unsure</v>
      </c>
      <c r="Q113"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3" s="93" t="str">
        <f ca="1">IFERROR(__xludf.DUMMYFUNCTION("""COMPUTED_VALUE"""),"https://www.nature.com/authors/author_resources/transfer_manuscripts.html")</f>
        <v>https://www.nature.com/authors/author_resources/transfer_manuscripts.html</v>
      </c>
      <c r="S113" t="str">
        <f ca="1">IFERROR(__xludf.DUMMYFUNCTION("""COMPUTED_VALUE"""),"Not specified")</f>
        <v>Not specified</v>
      </c>
      <c r="T113" t="str">
        <f ca="1">IFERROR(__xludf.DUMMYFUNCTION("""COMPUTED_VALUE"""),"Not specified")</f>
        <v>Not specified</v>
      </c>
      <c r="U113" t="str">
        <f ca="1">IFERROR(__xludf.DUMMYFUNCTION("""COMPUTED_VALUE"""),"Not specified")</f>
        <v>Not specified</v>
      </c>
      <c r="V113" t="str">
        <f ca="1">IFERROR(__xludf.DUMMYFUNCTION("""COMPUTED_VALUE"""),"Not specified")</f>
        <v>Not specified</v>
      </c>
      <c r="W113" t="str">
        <f ca="1">IFERROR(__xludf.DUMMYFUNCTION("""COMPUTED_VALUE"""),"Not specified")</f>
        <v>Not specified</v>
      </c>
      <c r="X113" t="str">
        <f ca="1">IFERROR(__xludf.DUMMYFUNCTION("""COMPUTED_VALUE"""),"Optional")</f>
        <v>Optional</v>
      </c>
      <c r="Y113" t="str">
        <f ca="1">IFERROR(__xludf.DUMMYFUNCTION("""COMPUTED_VALUE"""),"Not specified")</f>
        <v>Not specified</v>
      </c>
      <c r="Z113" t="str">
        <f ca="1">IFERROR(__xludf.DUMMYFUNCTION("""COMPUTED_VALUE"""),"Not specified")</f>
        <v>Not specified</v>
      </c>
      <c r="AA113" t="str">
        <f ca="1">IFERROR(__xludf.DUMMYFUNCTION("""COMPUTED_VALUE"""),"")</f>
        <v/>
      </c>
      <c r="AB113"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3" s="93" t="str">
        <f ca="1">IFERROR(__xludf.DUMMYFUNCTION("""COMPUTED_VALUE"""),"https://www.nature.com/nnano/for-referees/policies-and-processes")</f>
        <v>https://www.nature.com/nnano/for-referees/policies-and-processes</v>
      </c>
      <c r="AD113" t="str">
        <f ca="1">IFERROR(__xludf.DUMMYFUNCTION("""COMPUTED_VALUE"""),"Unsure")</f>
        <v>Unsure</v>
      </c>
      <c r="AE113" t="str">
        <f ca="1">IFERROR(__xludf.DUMMYFUNCTION("""COMPUTED_VALUE"""),"Unsure")</f>
        <v>Unsure</v>
      </c>
      <c r="AF113" t="str">
        <f ca="1">IFERROR(__xludf.DUMMYFUNCTION("""COMPUTED_VALUE"""),"Unsure")</f>
        <v>Unsure</v>
      </c>
      <c r="AG113" s="93" t="str">
        <f ca="1">IFERROR(__xludf.DUMMYFUNCTION("""COMPUTED_VALUE"""),"https://www.nature.com/authors/policies/preprints.html")</f>
        <v>https://www.nature.com/authors/policies/preprints.html</v>
      </c>
      <c r="AH113" t="str">
        <f ca="1">IFERROR(__xludf.DUMMYFUNCTION("""COMPUTED_VALUE"""),"First submission only (before peer review)")</f>
        <v>First submission only (before peer review)</v>
      </c>
      <c r="AI113" t="str">
        <f ca="1">IFERROR(__xludf.DUMMYFUNCTION("""COMPUTED_VALUE"""),"Not specified")</f>
        <v>Not specified</v>
      </c>
      <c r="AJ113" t="str">
        <f ca="1">IFERROR(__xludf.DUMMYFUNCTION("""COMPUTED_VALUE"""),"Yes, in the reference list")</f>
        <v>Yes, in the reference list</v>
      </c>
      <c r="AK113" t="str">
        <f ca="1">IFERROR(__xludf.DUMMYFUNCTION("""COMPUTED_VALUE"""),"")</f>
        <v/>
      </c>
      <c r="AL113"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3" t="str">
        <f ca="1">IFERROR(__xludf.DUMMYFUNCTION("""COMPUTED_VALUE"""),"")</f>
        <v/>
      </c>
      <c r="AN113" t="str">
        <f ca="1">IFERROR(__xludf.DUMMYFUNCTION("""COMPUTED_VALUE"""),"")</f>
        <v/>
      </c>
      <c r="AO113" t="str">
        <f ca="1">IFERROR(__xludf.DUMMYFUNCTION("""COMPUTED_VALUE"""),"")</f>
        <v/>
      </c>
      <c r="AP113" t="str">
        <f ca="1">IFERROR(__xludf.DUMMYFUNCTION("""COMPUTED_VALUE"""),"")</f>
        <v/>
      </c>
      <c r="AQ113" t="str">
        <f ca="1">IFERROR(__xludf.DUMMYFUNCTION("""COMPUTED_VALUE"""),"")</f>
        <v/>
      </c>
      <c r="AR113" t="str">
        <f ca="1">IFERROR(__xludf.DUMMYFUNCTION("""COMPUTED_VALUE"""),"")</f>
        <v/>
      </c>
    </row>
    <row r="114" spans="1:44" ht="13">
      <c r="A114" t="str">
        <f ca="1">IFERROR(__xludf.DUMMYFUNCTION("""COMPUTED_VALUE"""),"SR")</f>
        <v>SR</v>
      </c>
      <c r="B114" t="str">
        <f ca="1">IFERROR(__xludf.DUMMYFUNCTION("""COMPUTED_VALUE"""),"")</f>
        <v/>
      </c>
      <c r="C114" t="str">
        <f ca="1">IFERROR(__xludf.DUMMYFUNCTION("""COMPUTED_VALUE"""),"SH")</f>
        <v>SH</v>
      </c>
      <c r="D114" s="28">
        <f ca="1">IFERROR(__xludf.DUMMYFUNCTION("""COMPUTED_VALUE"""),43574)</f>
        <v>43574</v>
      </c>
      <c r="E114" t="str">
        <f ca="1">IFERROR(__xludf.DUMMYFUNCTION("""COMPUTED_VALUE"""),"TRH")</f>
        <v>TRH</v>
      </c>
      <c r="F114" s="28">
        <f ca="1">IFERROR(__xludf.DUMMYFUNCTION("""COMPUTED_VALUE"""),43581)</f>
        <v>43581</v>
      </c>
      <c r="G114" s="28" t="str">
        <f ca="1">IFERROR(__xludf.DUMMYFUNCTION("""COMPUTED_VALUE"""),"")</f>
        <v/>
      </c>
      <c r="H114" t="str">
        <f ca="1">IFERROR(__xludf.DUMMYFUNCTION("""COMPUTED_VALUE"""),"1546-1726")</f>
        <v>1546-1726</v>
      </c>
      <c r="I114" t="str">
        <f ca="1">IFERROR(__xludf.DUMMYFUNCTION("""COMPUTED_VALUE"""),"Nature Neuroscience")</f>
        <v>Nature Neuroscience</v>
      </c>
      <c r="J114" t="str">
        <f ca="1">IFERROR(__xludf.DUMMYFUNCTION("""COMPUTED_VALUE"""),"Health &amp; Medical Sciences")</f>
        <v>Health &amp; Medical Sciences</v>
      </c>
      <c r="K114" t="str">
        <f ca="1">IFERROR(__xludf.DUMMYFUNCTION("""COMPUTED_VALUE"""),"Springer Nature")</f>
        <v>Springer Nature</v>
      </c>
      <c r="L114"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4" s="93" t="str">
        <f ca="1">IFERROR(__xludf.DUMMYFUNCTION("""COMPUTED_VALUE"""),"https://www.nature.com/authors/policies/peer_review.html")</f>
        <v>https://www.nature.com/authors/policies/peer_review.html</v>
      </c>
      <c r="N114" t="str">
        <f ca="1">IFERROR(__xludf.DUMMYFUNCTION("""COMPUTED_VALUE"""),"")</f>
        <v/>
      </c>
      <c r="O114" s="93" t="str">
        <f ca="1">IFERROR(__xludf.DUMMYFUNCTION("""COMPUTED_VALUE"""),"https://www.nature.com/authors/policies/peer_review.html")</f>
        <v>https://www.nature.com/authors/policies/peer_review.html</v>
      </c>
      <c r="P114" t="str">
        <f ca="1">IFERROR(__xludf.DUMMYFUNCTION("""COMPUTED_VALUE"""),"Unsure")</f>
        <v>Unsure</v>
      </c>
      <c r="Q114"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4" s="93" t="str">
        <f ca="1">IFERROR(__xludf.DUMMYFUNCTION("""COMPUTED_VALUE"""),"https://www.nature.com/authors/author_resources/transfer_manuscripts.html")</f>
        <v>https://www.nature.com/authors/author_resources/transfer_manuscripts.html</v>
      </c>
      <c r="S114" t="str">
        <f ca="1">IFERROR(__xludf.DUMMYFUNCTION("""COMPUTED_VALUE"""),"Not specified")</f>
        <v>Not specified</v>
      </c>
      <c r="T114" t="str">
        <f ca="1">IFERROR(__xludf.DUMMYFUNCTION("""COMPUTED_VALUE"""),"Not specified")</f>
        <v>Not specified</v>
      </c>
      <c r="U114" t="str">
        <f ca="1">IFERROR(__xludf.DUMMYFUNCTION("""COMPUTED_VALUE"""),"Not specified")</f>
        <v>Not specified</v>
      </c>
      <c r="V114" t="str">
        <f ca="1">IFERROR(__xludf.DUMMYFUNCTION("""COMPUTED_VALUE"""),"Not specified")</f>
        <v>Not specified</v>
      </c>
      <c r="W114" t="str">
        <f ca="1">IFERROR(__xludf.DUMMYFUNCTION("""COMPUTED_VALUE"""),"Not specified")</f>
        <v>Not specified</v>
      </c>
      <c r="X114" t="str">
        <f ca="1">IFERROR(__xludf.DUMMYFUNCTION("""COMPUTED_VALUE"""),"Optional")</f>
        <v>Optional</v>
      </c>
      <c r="Y114" t="str">
        <f ca="1">IFERROR(__xludf.DUMMYFUNCTION("""COMPUTED_VALUE"""),"Not specified")</f>
        <v>Not specified</v>
      </c>
      <c r="Z114" t="str">
        <f ca="1">IFERROR(__xludf.DUMMYFUNCTION("""COMPUTED_VALUE"""),"Not specified")</f>
        <v>Not specified</v>
      </c>
      <c r="AA114" t="str">
        <f ca="1">IFERROR(__xludf.DUMMYFUNCTION("""COMPUTED_VALUE"""),"")</f>
        <v/>
      </c>
      <c r="AB114"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4" s="93" t="str">
        <f ca="1">IFERROR(__xludf.DUMMYFUNCTION("""COMPUTED_VALUE"""),"https://www.nature.com/neuro/for-referees/policies-and-processes")</f>
        <v>https://www.nature.com/neuro/for-referees/policies-and-processes</v>
      </c>
      <c r="AD114" t="str">
        <f ca="1">IFERROR(__xludf.DUMMYFUNCTION("""COMPUTED_VALUE"""),"Unsure")</f>
        <v>Unsure</v>
      </c>
      <c r="AE114" t="str">
        <f ca="1">IFERROR(__xludf.DUMMYFUNCTION("""COMPUTED_VALUE"""),"Unsure")</f>
        <v>Unsure</v>
      </c>
      <c r="AF114" t="str">
        <f ca="1">IFERROR(__xludf.DUMMYFUNCTION("""COMPUTED_VALUE"""),"Unsure")</f>
        <v>Unsure</v>
      </c>
      <c r="AG114" s="93" t="str">
        <f ca="1">IFERROR(__xludf.DUMMYFUNCTION("""COMPUTED_VALUE"""),"https://www.nature.com/authors/policies/preprints.html")</f>
        <v>https://www.nature.com/authors/policies/preprints.html</v>
      </c>
      <c r="AH114" t="str">
        <f ca="1">IFERROR(__xludf.DUMMYFUNCTION("""COMPUTED_VALUE"""),"First submission only (before peer review)")</f>
        <v>First submission only (before peer review)</v>
      </c>
      <c r="AI114" t="str">
        <f ca="1">IFERROR(__xludf.DUMMYFUNCTION("""COMPUTED_VALUE"""),"Not specified")</f>
        <v>Not specified</v>
      </c>
      <c r="AJ114" t="str">
        <f ca="1">IFERROR(__xludf.DUMMYFUNCTION("""COMPUTED_VALUE"""),"Yes, in the reference list")</f>
        <v>Yes, in the reference list</v>
      </c>
      <c r="AK114" t="str">
        <f ca="1">IFERROR(__xludf.DUMMYFUNCTION("""COMPUTED_VALUE"""),"")</f>
        <v/>
      </c>
      <c r="AL114"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4" t="str">
        <f ca="1">IFERROR(__xludf.DUMMYFUNCTION("""COMPUTED_VALUE"""),"")</f>
        <v/>
      </c>
      <c r="AN114" t="str">
        <f ca="1">IFERROR(__xludf.DUMMYFUNCTION("""COMPUTED_VALUE"""),"")</f>
        <v/>
      </c>
      <c r="AO114" t="str">
        <f ca="1">IFERROR(__xludf.DUMMYFUNCTION("""COMPUTED_VALUE"""),"")</f>
        <v/>
      </c>
      <c r="AP114" t="str">
        <f ca="1">IFERROR(__xludf.DUMMYFUNCTION("""COMPUTED_VALUE"""),"")</f>
        <v/>
      </c>
      <c r="AQ114" t="str">
        <f ca="1">IFERROR(__xludf.DUMMYFUNCTION("""COMPUTED_VALUE"""),"")</f>
        <v/>
      </c>
      <c r="AR114" t="str">
        <f ca="1">IFERROR(__xludf.DUMMYFUNCTION("""COMPUTED_VALUE"""),"")</f>
        <v/>
      </c>
    </row>
    <row r="115" spans="1:44" ht="13">
      <c r="A115" t="str">
        <f ca="1">IFERROR(__xludf.DUMMYFUNCTION("""COMPUTED_VALUE"""),"SR")</f>
        <v>SR</v>
      </c>
      <c r="B115" t="str">
        <f ca="1">IFERROR(__xludf.DUMMYFUNCTION("""COMPUTED_VALUE"""),"")</f>
        <v/>
      </c>
      <c r="C115" t="str">
        <f ca="1">IFERROR(__xludf.DUMMYFUNCTION("""COMPUTED_VALUE"""),"NP")</f>
        <v>NP</v>
      </c>
      <c r="D115" s="28">
        <f ca="1">IFERROR(__xludf.DUMMYFUNCTION("""COMPUTED_VALUE"""),43575)</f>
        <v>43575</v>
      </c>
      <c r="E115" t="str">
        <f ca="1">IFERROR(__xludf.DUMMYFUNCTION("""COMPUTED_VALUE"""),"JP")</f>
        <v>JP</v>
      </c>
      <c r="F115" s="28">
        <f ca="1">IFERROR(__xludf.DUMMYFUNCTION("""COMPUTED_VALUE"""),43583)</f>
        <v>43583</v>
      </c>
      <c r="G115" t="str">
        <f ca="1">IFERROR(__xludf.DUMMYFUNCTION("""COMPUTED_VALUE"""),"")</f>
        <v/>
      </c>
      <c r="H115" t="str">
        <f ca="1">IFERROR(__xludf.DUMMYFUNCTION("""COMPUTED_VALUE"""),"1749-4893")</f>
        <v>1749-4893</v>
      </c>
      <c r="I115" t="str">
        <f ca="1">IFERROR(__xludf.DUMMYFUNCTION("""COMPUTED_VALUE"""),"Nature Photonics")</f>
        <v>Nature Photonics</v>
      </c>
      <c r="J115" t="str">
        <f ca="1">IFERROR(__xludf.DUMMYFUNCTION("""COMPUTED_VALUE"""),"Engineering &amp; Computer Science,
Physics &amp; Mathematics")</f>
        <v>Engineering &amp; Computer Science,
Physics &amp; Mathematics</v>
      </c>
      <c r="K115" t="str">
        <f ca="1">IFERROR(__xludf.DUMMYFUNCTION("""COMPUTED_VALUE"""),"Springer Nature")</f>
        <v>Springer Nature</v>
      </c>
      <c r="L11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5" s="93" t="str">
        <f ca="1">IFERROR(__xludf.DUMMYFUNCTION("""COMPUTED_VALUE"""),"https://www.nature.com/authors/policies/peer_review.html")</f>
        <v>https://www.nature.com/authors/policies/peer_review.html</v>
      </c>
      <c r="N115" t="str">
        <f ca="1">IFERROR(__xludf.DUMMYFUNCTION("""COMPUTED_VALUE"""),"")</f>
        <v/>
      </c>
      <c r="O115" s="93" t="str">
        <f ca="1">IFERROR(__xludf.DUMMYFUNCTION("""COMPUTED_VALUE"""),"https://www.nature.com/authors/policies/peer_review.html")</f>
        <v>https://www.nature.com/authors/policies/peer_review.html</v>
      </c>
      <c r="P115" t="str">
        <f ca="1">IFERROR(__xludf.DUMMYFUNCTION("""COMPUTED_VALUE"""),"Unsure")</f>
        <v>Unsure</v>
      </c>
      <c r="Q115"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5" s="93" t="str">
        <f ca="1">IFERROR(__xludf.DUMMYFUNCTION("""COMPUTED_VALUE"""),"https://www.nature.com/authors/author_resources/transfer_manuscripts.html")</f>
        <v>https://www.nature.com/authors/author_resources/transfer_manuscripts.html</v>
      </c>
      <c r="S115" t="str">
        <f ca="1">IFERROR(__xludf.DUMMYFUNCTION("""COMPUTED_VALUE"""),"Not specified")</f>
        <v>Not specified</v>
      </c>
      <c r="T115" t="str">
        <f ca="1">IFERROR(__xludf.DUMMYFUNCTION("""COMPUTED_VALUE"""),"Not specified")</f>
        <v>Not specified</v>
      </c>
      <c r="U115" t="str">
        <f ca="1">IFERROR(__xludf.DUMMYFUNCTION("""COMPUTED_VALUE"""),"Not specified")</f>
        <v>Not specified</v>
      </c>
      <c r="V115" t="str">
        <f ca="1">IFERROR(__xludf.DUMMYFUNCTION("""COMPUTED_VALUE"""),"Not specified")</f>
        <v>Not specified</v>
      </c>
      <c r="W115" t="str">
        <f ca="1">IFERROR(__xludf.DUMMYFUNCTION("""COMPUTED_VALUE"""),"Not specified")</f>
        <v>Not specified</v>
      </c>
      <c r="X115" t="str">
        <f ca="1">IFERROR(__xludf.DUMMYFUNCTION("""COMPUTED_VALUE"""),"Optional")</f>
        <v>Optional</v>
      </c>
      <c r="Y115" t="str">
        <f ca="1">IFERROR(__xludf.DUMMYFUNCTION("""COMPUTED_VALUE"""),"Not specified")</f>
        <v>Not specified</v>
      </c>
      <c r="Z115" t="str">
        <f ca="1">IFERROR(__xludf.DUMMYFUNCTION("""COMPUTED_VALUE"""),"Not specified")</f>
        <v>Not specified</v>
      </c>
      <c r="AA115" t="str">
        <f ca="1">IFERROR(__xludf.DUMMYFUNCTION("""COMPUTED_VALUE"""),"")</f>
        <v/>
      </c>
      <c r="AB115"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5" s="93" t="str">
        <f ca="1">IFERROR(__xludf.DUMMYFUNCTION("""COMPUTED_VALUE"""),"https://www.nature.com/nphoton/for-referees/policies-and-processes")</f>
        <v>https://www.nature.com/nphoton/for-referees/policies-and-processes</v>
      </c>
      <c r="AD115" t="str">
        <f ca="1">IFERROR(__xludf.DUMMYFUNCTION("""COMPUTED_VALUE"""),"Unsure")</f>
        <v>Unsure</v>
      </c>
      <c r="AE115" t="str">
        <f ca="1">IFERROR(__xludf.DUMMYFUNCTION("""COMPUTED_VALUE"""),"Unsure")</f>
        <v>Unsure</v>
      </c>
      <c r="AF115" t="str">
        <f ca="1">IFERROR(__xludf.DUMMYFUNCTION("""COMPUTED_VALUE"""),"Unsure")</f>
        <v>Unsure</v>
      </c>
      <c r="AG115" s="93" t="str">
        <f ca="1">IFERROR(__xludf.DUMMYFUNCTION("""COMPUTED_VALUE"""),"https://www.nature.com/authors/policies/preprints.html")</f>
        <v>https://www.nature.com/authors/policies/preprints.html</v>
      </c>
      <c r="AH115" t="str">
        <f ca="1">IFERROR(__xludf.DUMMYFUNCTION("""COMPUTED_VALUE"""),"First submission only (before peer review)")</f>
        <v>First submission only (before peer review)</v>
      </c>
      <c r="AI115" t="str">
        <f ca="1">IFERROR(__xludf.DUMMYFUNCTION("""COMPUTED_VALUE"""),"Not specified")</f>
        <v>Not specified</v>
      </c>
      <c r="AJ115" t="str">
        <f ca="1">IFERROR(__xludf.DUMMYFUNCTION("""COMPUTED_VALUE"""),"Yes, in the reference list")</f>
        <v>Yes, in the reference list</v>
      </c>
      <c r="AK115" t="str">
        <f ca="1">IFERROR(__xludf.DUMMYFUNCTION("""COMPUTED_VALUE"""),"")</f>
        <v/>
      </c>
      <c r="AL115"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5" t="str">
        <f ca="1">IFERROR(__xludf.DUMMYFUNCTION("""COMPUTED_VALUE"""),"")</f>
        <v/>
      </c>
      <c r="AN115" t="str">
        <f ca="1">IFERROR(__xludf.DUMMYFUNCTION("""COMPUTED_VALUE"""),"")</f>
        <v/>
      </c>
      <c r="AO115" t="str">
        <f ca="1">IFERROR(__xludf.DUMMYFUNCTION("""COMPUTED_VALUE"""),"")</f>
        <v/>
      </c>
      <c r="AP115" t="str">
        <f ca="1">IFERROR(__xludf.DUMMYFUNCTION("""COMPUTED_VALUE"""),"")</f>
        <v/>
      </c>
      <c r="AQ115" t="str">
        <f ca="1">IFERROR(__xludf.DUMMYFUNCTION("""COMPUTED_VALUE"""),"")</f>
        <v/>
      </c>
      <c r="AR115" t="str">
        <f ca="1">IFERROR(__xludf.DUMMYFUNCTION("""COMPUTED_VALUE"""),"")</f>
        <v/>
      </c>
    </row>
    <row r="116" spans="1:44" ht="13">
      <c r="A116" t="str">
        <f ca="1">IFERROR(__xludf.DUMMYFUNCTION("""COMPUTED_VALUE"""),"SR")</f>
        <v>SR</v>
      </c>
      <c r="B116" s="41">
        <f ca="1">IFERROR(__xludf.DUMMYFUNCTION("""COMPUTED_VALUE"""),43444)</f>
        <v>43444</v>
      </c>
      <c r="C116" t="str">
        <f ca="1">IFERROR(__xludf.DUMMYFUNCTION("""COMPUTED_VALUE"""),"NP")</f>
        <v>NP</v>
      </c>
      <c r="D116" s="28">
        <f ca="1">IFERROR(__xludf.DUMMYFUNCTION("""COMPUTED_VALUE"""),43575)</f>
        <v>43575</v>
      </c>
      <c r="E116" t="str">
        <f ca="1">IFERROR(__xludf.DUMMYFUNCTION("""COMPUTED_VALUE"""),"JP")</f>
        <v>JP</v>
      </c>
      <c r="F116" s="28">
        <f ca="1">IFERROR(__xludf.DUMMYFUNCTION("""COMPUTED_VALUE"""),43583)</f>
        <v>43583</v>
      </c>
      <c r="G116" t="str">
        <f ca="1">IFERROR(__xludf.DUMMYFUNCTION("""COMPUTED_VALUE"""),"")</f>
        <v/>
      </c>
      <c r="H116" t="str">
        <f ca="1">IFERROR(__xludf.DUMMYFUNCTION("""COMPUTED_VALUE"""),"1745-2481")</f>
        <v>1745-2481</v>
      </c>
      <c r="I116" t="str">
        <f ca="1">IFERROR(__xludf.DUMMYFUNCTION("""COMPUTED_VALUE"""),"Nature Physics")</f>
        <v>Nature Physics</v>
      </c>
      <c r="J116" t="str">
        <f ca="1">IFERROR(__xludf.DUMMYFUNCTION("""COMPUTED_VALUE"""),"Physics &amp; Mathematics")</f>
        <v>Physics &amp; Mathematics</v>
      </c>
      <c r="K116" t="str">
        <f ca="1">IFERROR(__xludf.DUMMYFUNCTION("""COMPUTED_VALUE"""),"Springer Nature")</f>
        <v>Springer Nature</v>
      </c>
      <c r="L11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M116" s="93" t="str">
        <f ca="1">IFERROR(__xludf.DUMMYFUNCTION("""COMPUTED_VALUE"""),"https://www.nature.com/authors/policies/peer_review.html")</f>
        <v>https://www.nature.com/authors/policies/peer_review.html</v>
      </c>
      <c r="N116" t="str">
        <f ca="1">IFERROR(__xludf.DUMMYFUNCTION("""COMPUTED_VALUE"""),"")</f>
        <v/>
      </c>
      <c r="O116" s="93" t="str">
        <f ca="1">IFERROR(__xludf.DUMMYFUNCTION("""COMPUTED_VALUE"""),"https://www.nature.com/authors/policies/peer_review.html")</f>
        <v>https://www.nature.com/authors/policies/peer_review.html</v>
      </c>
      <c r="P116" t="str">
        <f ca="1">IFERROR(__xludf.DUMMYFUNCTION("""COMPUTED_VALUE"""),"Unsure")</f>
        <v>Unsure</v>
      </c>
      <c r="Q116" t="str">
        <f ca="1">IFERROR(__xludf.DUMMYFUNCTION("""COMPUTED_VALUE"""),"In case a manuscript is transferred between Nature journals, all referee names along with their comments are transferred.")</f>
        <v>In case a manuscript is transferred between Nature journals, all referee names along with their comments are transferred.</v>
      </c>
      <c r="R116" s="93" t="str">
        <f ca="1">IFERROR(__xludf.DUMMYFUNCTION("""COMPUTED_VALUE"""),"https://www.nature.com/authors/author_resources/transfer_manuscripts.html")</f>
        <v>https://www.nature.com/authors/author_resources/transfer_manuscripts.html</v>
      </c>
      <c r="S116" t="str">
        <f ca="1">IFERROR(__xludf.DUMMYFUNCTION("""COMPUTED_VALUE"""),"Not specified")</f>
        <v>Not specified</v>
      </c>
      <c r="T116" t="str">
        <f ca="1">IFERROR(__xludf.DUMMYFUNCTION("""COMPUTED_VALUE"""),"Not specified")</f>
        <v>Not specified</v>
      </c>
      <c r="U116" t="str">
        <f ca="1">IFERROR(__xludf.DUMMYFUNCTION("""COMPUTED_VALUE"""),"Not specified")</f>
        <v>Not specified</v>
      </c>
      <c r="V116" t="str">
        <f ca="1">IFERROR(__xludf.DUMMYFUNCTION("""COMPUTED_VALUE"""),"Not specified")</f>
        <v>Not specified</v>
      </c>
      <c r="W116" t="str">
        <f ca="1">IFERROR(__xludf.DUMMYFUNCTION("""COMPUTED_VALUE"""),"Not specified")</f>
        <v>Not specified</v>
      </c>
      <c r="X116" t="str">
        <f ca="1">IFERROR(__xludf.DUMMYFUNCTION("""COMPUTED_VALUE"""),"Optional")</f>
        <v>Optional</v>
      </c>
      <c r="Y116" t="str">
        <f ca="1">IFERROR(__xludf.DUMMYFUNCTION("""COMPUTED_VALUE"""),"Not specified")</f>
        <v>Not specified</v>
      </c>
      <c r="Z116" t="str">
        <f ca="1">IFERROR(__xludf.DUMMYFUNCTION("""COMPUTED_VALUE"""),"Not specified")</f>
        <v>Not specified</v>
      </c>
      <c r="AA116" t="str">
        <f ca="1">IFERROR(__xludf.DUMMYFUNCTION("""COMPUTED_VALUE"""),"")</f>
        <v/>
      </c>
      <c r="AB116" t="str">
        <f ca="1">IFERROR(__xludf.DUMMYFUNCTION("""COMPUTED_VALUE"""),"It is acceptable to consult with laboratory colleagues, but please identify them to the editors. Consulting with experts from outside the referee’s own laboratory may be acceptable, but please check with the editors before doing so, to avoid involving any"&amp;"one who may have been excluded by the authors.")</f>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AC116" s="93" t="str">
        <f ca="1">IFERROR(__xludf.DUMMYFUNCTION("""COMPUTED_VALUE"""),"https://www.nature.com/nphys/for-referees/policies-and-processes")</f>
        <v>https://www.nature.com/nphys/for-referees/policies-and-processes</v>
      </c>
      <c r="AD116" t="str">
        <f ca="1">IFERROR(__xludf.DUMMYFUNCTION("""COMPUTED_VALUE"""),"Unsure")</f>
        <v>Unsure</v>
      </c>
      <c r="AE116" t="str">
        <f ca="1">IFERROR(__xludf.DUMMYFUNCTION("""COMPUTED_VALUE"""),"Unsure")</f>
        <v>Unsure</v>
      </c>
      <c r="AF116" t="str">
        <f ca="1">IFERROR(__xludf.DUMMYFUNCTION("""COMPUTED_VALUE"""),"Unsure")</f>
        <v>Unsure</v>
      </c>
      <c r="AG116" s="93" t="str">
        <f ca="1">IFERROR(__xludf.DUMMYFUNCTION("""COMPUTED_VALUE"""),"https://www.nature.com/authors/policies/preprints.html")</f>
        <v>https://www.nature.com/authors/policies/preprints.html</v>
      </c>
      <c r="AH116" t="str">
        <f ca="1">IFERROR(__xludf.DUMMYFUNCTION("""COMPUTED_VALUE"""),"First submission only (before peer review)")</f>
        <v>First submission only (before peer review)</v>
      </c>
      <c r="AI116" t="str">
        <f ca="1">IFERROR(__xludf.DUMMYFUNCTION("""COMPUTED_VALUE"""),"Not specified")</f>
        <v>Not specified</v>
      </c>
      <c r="AJ116" t="str">
        <f ca="1">IFERROR(__xludf.DUMMYFUNCTION("""COMPUTED_VALUE"""),"Yes, in the reference list")</f>
        <v>Yes, in the reference list</v>
      </c>
      <c r="AK116" t="str">
        <f ca="1">IFERROR(__xludf.DUMMYFUNCTION("""COMPUTED_VALUE"""),"")</f>
        <v/>
      </c>
      <c r="AL116" t="str">
        <f ca="1">IFERROR(__xludf.DUMMYFUNCTION("""COMPUTED_VALUE"""),"We strongly discourage authors and potential authors from direct solicitation of media coverage of material they have submitted to Nature and the Nature Research journals. Accepted contributions can be discussed with the media only once the publication da"&amp;"te has been confirmed and no more than a week before the publication date under our embargo conditions. Please refer to the ""Communications between scientists"" section for more information about our embargo policy as it pertains to conference presentati"&amp;"ons and preprints.")</f>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AM116" t="str">
        <f ca="1">IFERROR(__xludf.DUMMYFUNCTION("""COMPUTED_VALUE"""),"")</f>
        <v/>
      </c>
      <c r="AN116" t="str">
        <f ca="1">IFERROR(__xludf.DUMMYFUNCTION("""COMPUTED_VALUE"""),"")</f>
        <v/>
      </c>
      <c r="AO116" t="str">
        <f ca="1">IFERROR(__xludf.DUMMYFUNCTION("""COMPUTED_VALUE"""),"")</f>
        <v/>
      </c>
      <c r="AP116" t="str">
        <f ca="1">IFERROR(__xludf.DUMMYFUNCTION("""COMPUTED_VALUE"""),"")</f>
        <v/>
      </c>
      <c r="AQ116" t="str">
        <f ca="1">IFERROR(__xludf.DUMMYFUNCTION("""COMPUTED_VALUE"""),"")</f>
        <v/>
      </c>
      <c r="AR116" t="str">
        <f ca="1">IFERROR(__xludf.DUMMYFUNCTION("""COMPUTED_VALUE"""),"")</f>
        <v/>
      </c>
    </row>
    <row r="117" spans="1:44" ht="13">
      <c r="A117" t="str">
        <f ca="1">IFERROR(__xludf.DUMMYFUNCTION("""COMPUTED_VALUE"""),"SR")</f>
        <v>SR</v>
      </c>
      <c r="B117" s="41">
        <f ca="1">IFERROR(__xludf.DUMMYFUNCTION("""COMPUTED_VALUE"""),43444)</f>
        <v>43444</v>
      </c>
      <c r="C117" t="str">
        <f ca="1">IFERROR(__xludf.DUMMYFUNCTION("""COMPUTED_VALUE"""),"NP")</f>
        <v>NP</v>
      </c>
      <c r="D117" s="28">
        <f ca="1">IFERROR(__xludf.DUMMYFUNCTION("""COMPUTED_VALUE"""),43575)</f>
        <v>43575</v>
      </c>
      <c r="E117" t="str">
        <f ca="1">IFERROR(__xludf.DUMMYFUNCTION("""COMPUTED_VALUE"""),"JP")</f>
        <v>JP</v>
      </c>
      <c r="F117" s="28">
        <f ca="1">IFERROR(__xludf.DUMMYFUNCTION("""COMPUTED_VALUE"""),43581)</f>
        <v>43581</v>
      </c>
      <c r="G117" t="str">
        <f ca="1">IFERROR(__xludf.DUMMYFUNCTION("""COMPUTED_VALUE"""),"")</f>
        <v/>
      </c>
      <c r="H117" t="str">
        <f ca="1">IFERROR(__xludf.DUMMYFUNCTION("""COMPUTED_VALUE"""),"1474-1768")</f>
        <v>1474-1768</v>
      </c>
      <c r="I117" t="str">
        <f ca="1">IFERROR(__xludf.DUMMYFUNCTION("""COMPUTED_VALUE"""),"Nature Reviews Cancer")</f>
        <v>Nature Reviews Cancer</v>
      </c>
      <c r="J117" t="str">
        <f ca="1">IFERROR(__xludf.DUMMYFUNCTION("""COMPUTED_VALUE"""),"")</f>
        <v/>
      </c>
      <c r="K117" t="str">
        <f ca="1">IFERROR(__xludf.DUMMYFUNCTION("""COMPUTED_VALUE"""),"")</f>
        <v/>
      </c>
      <c r="L117" t="str">
        <f ca="1">IFERROR(__xludf.DUMMYFUNCTION("""COMPUTED_VALUE"""),"Unsure")</f>
        <v>Unsure</v>
      </c>
      <c r="M117" s="93" t="str">
        <f ca="1">IFERROR(__xludf.DUMMYFUNCTION("""COMPUTED_VALUE"""),"https://www.nature.com/nrc/for-referees")</f>
        <v>https://www.nature.com/nrc/for-referees</v>
      </c>
      <c r="N117" t="str">
        <f ca="1">IFERROR(__xludf.DUMMYFUNCTION("""COMPUTED_VALUE"""),"")</f>
        <v/>
      </c>
      <c r="O117" t="str">
        <f ca="1">IFERROR(__xludf.DUMMYFUNCTION("""COMPUTED_VALUE"""),"")</f>
        <v/>
      </c>
      <c r="P117" t="str">
        <f ca="1">IFERROR(__xludf.DUMMYFUNCTION("""COMPUTED_VALUE"""),"Unsure")</f>
        <v>Unsure</v>
      </c>
      <c r="Q117" t="str">
        <f ca="1">IFERROR(__xludf.DUMMYFUNCTION("""COMPUTED_VALUE"""),"")</f>
        <v/>
      </c>
      <c r="R117" t="str">
        <f ca="1">IFERROR(__xludf.DUMMYFUNCTION("""COMPUTED_VALUE"""),"")</f>
        <v/>
      </c>
      <c r="S117" t="str">
        <f ca="1">IFERROR(__xludf.DUMMYFUNCTION("""COMPUTED_VALUE"""),"Not specified")</f>
        <v>Not specified</v>
      </c>
      <c r="T117" t="str">
        <f ca="1">IFERROR(__xludf.DUMMYFUNCTION("""COMPUTED_VALUE"""),"Not specified")</f>
        <v>Not specified</v>
      </c>
      <c r="U117" t="str">
        <f ca="1">IFERROR(__xludf.DUMMYFUNCTION("""COMPUTED_VALUE"""),"Not specified")</f>
        <v>Not specified</v>
      </c>
      <c r="V117" t="str">
        <f ca="1">IFERROR(__xludf.DUMMYFUNCTION("""COMPUTED_VALUE"""),"Not specified")</f>
        <v>Not specified</v>
      </c>
      <c r="W117" t="str">
        <f ca="1">IFERROR(__xludf.DUMMYFUNCTION("""COMPUTED_VALUE"""),"Not specified")</f>
        <v>Not specified</v>
      </c>
      <c r="X117" t="str">
        <f ca="1">IFERROR(__xludf.DUMMYFUNCTION("""COMPUTED_VALUE"""),"Optional - at request of referee")</f>
        <v>Optional - at request of referee</v>
      </c>
      <c r="Y117" t="str">
        <f ca="1">IFERROR(__xludf.DUMMYFUNCTION("""COMPUTED_VALUE"""),"Not specified")</f>
        <v>Not specified</v>
      </c>
      <c r="Z117" t="str">
        <f ca="1">IFERROR(__xludf.DUMMYFUNCTION("""COMPUTED_VALUE"""),"Not specified")</f>
        <v>Not specified</v>
      </c>
      <c r="AA117" t="str">
        <f ca="1">IFERROR(__xludf.DUMMYFUNCTION("""COMPUTED_VALUE"""),"")</f>
        <v/>
      </c>
      <c r="AB117" t="str">
        <f ca="1">IFERROR(__xludf.DUMMYFUNCTION("""COMPUTED_VALUE"""),"It is acceptable to consult with laboratory colleagues, but please identify them to the editors.")</f>
        <v>It is acceptable to consult with laboratory colleagues, but please identify them to the editors.</v>
      </c>
      <c r="AC117" s="93" t="str">
        <f ca="1">IFERROR(__xludf.DUMMYFUNCTION("""COMPUTED_VALUE"""),"https://www.nature.com/nrc/for-referees")</f>
        <v>https://www.nature.com/nrc/for-referees</v>
      </c>
      <c r="AD117" t="str">
        <f ca="1">IFERROR(__xludf.DUMMYFUNCTION("""COMPUTED_VALUE"""),"Yes")</f>
        <v>Yes</v>
      </c>
      <c r="AE117" t="str">
        <f ca="1">IFERROR(__xludf.DUMMYFUNCTION("""COMPUTED_VALUE"""),"Unsure")</f>
        <v>Unsure</v>
      </c>
      <c r="AF117" t="str">
        <f ca="1">IFERROR(__xludf.DUMMYFUNCTION("""COMPUTED_VALUE"""),"Unsure")</f>
        <v>Unsure</v>
      </c>
      <c r="AG117" t="str">
        <f ca="1">IFERROR(__xludf.DUMMYFUNCTION("""COMPUTED_VALUE"""),"")</f>
        <v/>
      </c>
      <c r="AH117" t="str">
        <f ca="1">IFERROR(__xludf.DUMMYFUNCTION("""COMPUTED_VALUE"""),"No preprint policy")</f>
        <v>No preprint policy</v>
      </c>
      <c r="AI117" t="str">
        <f ca="1">IFERROR(__xludf.DUMMYFUNCTION("""COMPUTED_VALUE"""),"")</f>
        <v/>
      </c>
      <c r="AJ117" t="str">
        <f ca="1">IFERROR(__xludf.DUMMYFUNCTION("""COMPUTED_VALUE"""),"Not specified")</f>
        <v>Not specified</v>
      </c>
      <c r="AK117" t="str">
        <f ca="1">IFERROR(__xludf.DUMMYFUNCTION("""COMPUTED_VALUE"""),"Unsure")</f>
        <v>Unsure</v>
      </c>
      <c r="AL117" t="str">
        <f ca="1">IFERROR(__xludf.DUMMYFUNCTION("""COMPUTED_VALUE"""),"")</f>
        <v/>
      </c>
      <c r="AM117" t="str">
        <f ca="1">IFERROR(__xludf.DUMMYFUNCTION("""COMPUTED_VALUE"""),"")</f>
        <v/>
      </c>
      <c r="AN117" t="str">
        <f ca="1">IFERROR(__xludf.DUMMYFUNCTION("""COMPUTED_VALUE"""),"")</f>
        <v/>
      </c>
      <c r="AO117" t="str">
        <f ca="1">IFERROR(__xludf.DUMMYFUNCTION("""COMPUTED_VALUE"""),"")</f>
        <v/>
      </c>
      <c r="AP117" t="str">
        <f ca="1">IFERROR(__xludf.DUMMYFUNCTION("""COMPUTED_VALUE"""),"")</f>
        <v/>
      </c>
      <c r="AQ117" t="str">
        <f ca="1">IFERROR(__xludf.DUMMYFUNCTION("""COMPUTED_VALUE"""),"")</f>
        <v/>
      </c>
      <c r="AR117" t="str">
        <f ca="1">IFERROR(__xludf.DUMMYFUNCTION("""COMPUTED_VALUE"""),"")</f>
        <v/>
      </c>
    </row>
    <row r="118" spans="1:44" ht="13">
      <c r="A118" t="str">
        <f ca="1">IFERROR(__xludf.DUMMYFUNCTION("""COMPUTED_VALUE"""),"SR")</f>
        <v>SR</v>
      </c>
      <c r="B118" s="41">
        <f ca="1">IFERROR(__xludf.DUMMYFUNCTION("""COMPUTED_VALUE"""),43444)</f>
        <v>43444</v>
      </c>
      <c r="C118" t="str">
        <f ca="1">IFERROR(__xludf.DUMMYFUNCTION("""COMPUTED_VALUE"""),"NP")</f>
        <v>NP</v>
      </c>
      <c r="D118" s="28">
        <f ca="1">IFERROR(__xludf.DUMMYFUNCTION("""COMPUTED_VALUE"""),43575)</f>
        <v>43575</v>
      </c>
      <c r="E118" t="str">
        <f ca="1">IFERROR(__xludf.DUMMYFUNCTION("""COMPUTED_VALUE"""),"JP")</f>
        <v>JP</v>
      </c>
      <c r="F118" s="28">
        <f ca="1">IFERROR(__xludf.DUMMYFUNCTION("""COMPUTED_VALUE"""),43581)</f>
        <v>43581</v>
      </c>
      <c r="G118" t="str">
        <f ca="1">IFERROR(__xludf.DUMMYFUNCTION("""COMPUTED_VALUE"""),"")</f>
        <v/>
      </c>
      <c r="H118" t="str">
        <f ca="1">IFERROR(__xludf.DUMMYFUNCTION("""COMPUTED_VALUE"""),"1471-0064")</f>
        <v>1471-0064</v>
      </c>
      <c r="I118" t="str">
        <f ca="1">IFERROR(__xludf.DUMMYFUNCTION("""COMPUTED_VALUE"""),"Nature Reviews Genetics")</f>
        <v>Nature Reviews Genetics</v>
      </c>
      <c r="J118" t="str">
        <f ca="1">IFERROR(__xludf.DUMMYFUNCTION("""COMPUTED_VALUE"""),"Life Sciences &amp; Earth Sciences")</f>
        <v>Life Sciences &amp; Earth Sciences</v>
      </c>
      <c r="K118" t="str">
        <f ca="1">IFERROR(__xludf.DUMMYFUNCTION("""COMPUTED_VALUE"""),"")</f>
        <v/>
      </c>
      <c r="L118" t="str">
        <f ca="1">IFERROR(__xludf.DUMMYFUNCTION("""COMPUTED_VALUE"""),"Unsure")</f>
        <v>Unsure</v>
      </c>
      <c r="M118" s="93" t="str">
        <f ca="1">IFERROR(__xludf.DUMMYFUNCTION("""COMPUTED_VALUE"""),"https://www.nature.com/nrg/for-referees")</f>
        <v>https://www.nature.com/nrg/for-referees</v>
      </c>
      <c r="N118" t="str">
        <f ca="1">IFERROR(__xludf.DUMMYFUNCTION("""COMPUTED_VALUE"""),"")</f>
        <v/>
      </c>
      <c r="O118" t="str">
        <f ca="1">IFERROR(__xludf.DUMMYFUNCTION("""COMPUTED_VALUE"""),"")</f>
        <v/>
      </c>
      <c r="P118" t="str">
        <f ca="1">IFERROR(__xludf.DUMMYFUNCTION("""COMPUTED_VALUE"""),"Unsure")</f>
        <v>Unsure</v>
      </c>
      <c r="Q118" t="str">
        <f ca="1">IFERROR(__xludf.DUMMYFUNCTION("""COMPUTED_VALUE"""),"")</f>
        <v/>
      </c>
      <c r="R118" t="str">
        <f ca="1">IFERROR(__xludf.DUMMYFUNCTION("""COMPUTED_VALUE"""),"")</f>
        <v/>
      </c>
      <c r="S118" t="str">
        <f ca="1">IFERROR(__xludf.DUMMYFUNCTION("""COMPUTED_VALUE"""),"Not specified")</f>
        <v>Not specified</v>
      </c>
      <c r="T118" t="str">
        <f ca="1">IFERROR(__xludf.DUMMYFUNCTION("""COMPUTED_VALUE"""),"Not specified")</f>
        <v>Not specified</v>
      </c>
      <c r="U118" t="str">
        <f ca="1">IFERROR(__xludf.DUMMYFUNCTION("""COMPUTED_VALUE"""),"Not specified")</f>
        <v>Not specified</v>
      </c>
      <c r="V118" t="str">
        <f ca="1">IFERROR(__xludf.DUMMYFUNCTION("""COMPUTED_VALUE"""),"Not specified")</f>
        <v>Not specified</v>
      </c>
      <c r="W118" t="str">
        <f ca="1">IFERROR(__xludf.DUMMYFUNCTION("""COMPUTED_VALUE"""),"Not specified")</f>
        <v>Not specified</v>
      </c>
      <c r="X118" t="str">
        <f ca="1">IFERROR(__xludf.DUMMYFUNCTION("""COMPUTED_VALUE"""),"Optional - at request of referee")</f>
        <v>Optional - at request of referee</v>
      </c>
      <c r="Y118" t="str">
        <f ca="1">IFERROR(__xludf.DUMMYFUNCTION("""COMPUTED_VALUE"""),"Not specified")</f>
        <v>Not specified</v>
      </c>
      <c r="Z118" t="str">
        <f ca="1">IFERROR(__xludf.DUMMYFUNCTION("""COMPUTED_VALUE"""),"Not specified")</f>
        <v>Not specified</v>
      </c>
      <c r="AA118" t="str">
        <f ca="1">IFERROR(__xludf.DUMMYFUNCTION("""COMPUTED_VALUE"""),"")</f>
        <v/>
      </c>
      <c r="AB118" t="str">
        <f ca="1">IFERROR(__xludf.DUMMYFUNCTION("""COMPUTED_VALUE"""),"It is acceptable to consult with laboratory colleagues, but please identify them to the editors.")</f>
        <v>It is acceptable to consult with laboratory colleagues, but please identify them to the editors.</v>
      </c>
      <c r="AC118" s="93" t="str">
        <f ca="1">IFERROR(__xludf.DUMMYFUNCTION("""COMPUTED_VALUE"""),"https://www.nature.com/nrg/for-referees")</f>
        <v>https://www.nature.com/nrg/for-referees</v>
      </c>
      <c r="AD118" t="str">
        <f ca="1">IFERROR(__xludf.DUMMYFUNCTION("""COMPUTED_VALUE"""),"Yes")</f>
        <v>Yes</v>
      </c>
      <c r="AE118" t="str">
        <f ca="1">IFERROR(__xludf.DUMMYFUNCTION("""COMPUTED_VALUE"""),"Unsure")</f>
        <v>Unsure</v>
      </c>
      <c r="AF118" t="str">
        <f ca="1">IFERROR(__xludf.DUMMYFUNCTION("""COMPUTED_VALUE"""),"Unsure")</f>
        <v>Unsure</v>
      </c>
      <c r="AG118" t="str">
        <f ca="1">IFERROR(__xludf.DUMMYFUNCTION("""COMPUTED_VALUE"""),"")</f>
        <v/>
      </c>
      <c r="AH118" t="str">
        <f ca="1">IFERROR(__xludf.DUMMYFUNCTION("""COMPUTED_VALUE"""),"No preprint policy")</f>
        <v>No preprint policy</v>
      </c>
      <c r="AI118" t="str">
        <f ca="1">IFERROR(__xludf.DUMMYFUNCTION("""COMPUTED_VALUE"""),"")</f>
        <v/>
      </c>
      <c r="AJ118" t="str">
        <f ca="1">IFERROR(__xludf.DUMMYFUNCTION("""COMPUTED_VALUE"""),"Not specified")</f>
        <v>Not specified</v>
      </c>
      <c r="AK118" t="str">
        <f ca="1">IFERROR(__xludf.DUMMYFUNCTION("""COMPUTED_VALUE"""),"Unsure")</f>
        <v>Unsure</v>
      </c>
      <c r="AL118" t="str">
        <f ca="1">IFERROR(__xludf.DUMMYFUNCTION("""COMPUTED_VALUE"""),"")</f>
        <v/>
      </c>
      <c r="AM118" t="str">
        <f ca="1">IFERROR(__xludf.DUMMYFUNCTION("""COMPUTED_VALUE"""),"")</f>
        <v/>
      </c>
      <c r="AN118" t="str">
        <f ca="1">IFERROR(__xludf.DUMMYFUNCTION("""COMPUTED_VALUE"""),"")</f>
        <v/>
      </c>
      <c r="AO118" t="str">
        <f ca="1">IFERROR(__xludf.DUMMYFUNCTION("""COMPUTED_VALUE"""),"")</f>
        <v/>
      </c>
      <c r="AP118" t="str">
        <f ca="1">IFERROR(__xludf.DUMMYFUNCTION("""COMPUTED_VALUE"""),"")</f>
        <v/>
      </c>
      <c r="AQ118" t="str">
        <f ca="1">IFERROR(__xludf.DUMMYFUNCTION("""COMPUTED_VALUE"""),"")</f>
        <v/>
      </c>
      <c r="AR118" t="str">
        <f ca="1">IFERROR(__xludf.DUMMYFUNCTION("""COMPUTED_VALUE"""),"")</f>
        <v/>
      </c>
    </row>
    <row r="119" spans="1:44" ht="13">
      <c r="A119" t="str">
        <f ca="1">IFERROR(__xludf.DUMMYFUNCTION("""COMPUTED_VALUE"""),"SR")</f>
        <v>SR</v>
      </c>
      <c r="B119" s="41">
        <f ca="1">IFERROR(__xludf.DUMMYFUNCTION("""COMPUTED_VALUE"""),43444)</f>
        <v>43444</v>
      </c>
      <c r="C119" t="str">
        <f ca="1">IFERROR(__xludf.DUMMYFUNCTION("""COMPUTED_VALUE"""),"JP")</f>
        <v>JP</v>
      </c>
      <c r="D119" s="28">
        <f ca="1">IFERROR(__xludf.DUMMYFUNCTION("""COMPUTED_VALUE"""),43566)</f>
        <v>43566</v>
      </c>
      <c r="E119" t="str">
        <f ca="1">IFERROR(__xludf.DUMMYFUNCTION("""COMPUTED_VALUE"""),"TRH")</f>
        <v>TRH</v>
      </c>
      <c r="F119" s="28">
        <f ca="1">IFERROR(__xludf.DUMMYFUNCTION("""COMPUTED_VALUE"""),43583)</f>
        <v>43583</v>
      </c>
      <c r="G119" t="str">
        <f ca="1">IFERROR(__xludf.DUMMYFUNCTION("""COMPUTED_VALUE"""),"")</f>
        <v/>
      </c>
      <c r="H119" t="str">
        <f ca="1">IFERROR(__xludf.DUMMYFUNCTION("""COMPUTED_VALUE"""),"1474-1733")</f>
        <v>1474-1733</v>
      </c>
      <c r="I119" t="str">
        <f ca="1">IFERROR(__xludf.DUMMYFUNCTION("""COMPUTED_VALUE"""),"Nature Reviews Immunology")</f>
        <v>Nature Reviews Immunology</v>
      </c>
      <c r="J119" t="str">
        <f ca="1">IFERROR(__xludf.DUMMYFUNCTION("""COMPUTED_VALUE"""),"")</f>
        <v/>
      </c>
      <c r="K119" t="str">
        <f ca="1">IFERROR(__xludf.DUMMYFUNCTION("""COMPUTED_VALUE"""),"")</f>
        <v/>
      </c>
      <c r="L119" t="str">
        <f ca="1">IFERROR(__xludf.DUMMYFUNCTION("""COMPUTED_VALUE"""),"Unsure")</f>
        <v>Unsure</v>
      </c>
      <c r="M119" s="93" t="str">
        <f ca="1">IFERROR(__xludf.DUMMYFUNCTION("""COMPUTED_VALUE"""),"https://www.nature.com/nrc/for-referees")</f>
        <v>https://www.nature.com/nrc/for-referees</v>
      </c>
      <c r="N119" t="str">
        <f ca="1">IFERROR(__xludf.DUMMYFUNCTION("""COMPUTED_VALUE"""),"")</f>
        <v/>
      </c>
      <c r="O119" t="str">
        <f ca="1">IFERROR(__xludf.DUMMYFUNCTION("""COMPUTED_VALUE"""),"")</f>
        <v/>
      </c>
      <c r="P119" t="str">
        <f ca="1">IFERROR(__xludf.DUMMYFUNCTION("""COMPUTED_VALUE"""),"Unsure")</f>
        <v>Unsure</v>
      </c>
      <c r="Q119" t="str">
        <f ca="1">IFERROR(__xludf.DUMMYFUNCTION("""COMPUTED_VALUE"""),"")</f>
        <v/>
      </c>
      <c r="R119" t="str">
        <f ca="1">IFERROR(__xludf.DUMMYFUNCTION("""COMPUTED_VALUE"""),"")</f>
        <v/>
      </c>
      <c r="S119" t="str">
        <f ca="1">IFERROR(__xludf.DUMMYFUNCTION("""COMPUTED_VALUE"""),"Not specified")</f>
        <v>Not specified</v>
      </c>
      <c r="T119" t="str">
        <f ca="1">IFERROR(__xludf.DUMMYFUNCTION("""COMPUTED_VALUE"""),"Not specified")</f>
        <v>Not specified</v>
      </c>
      <c r="U119" t="str">
        <f ca="1">IFERROR(__xludf.DUMMYFUNCTION("""COMPUTED_VALUE"""),"Not specified")</f>
        <v>Not specified</v>
      </c>
      <c r="V119" t="str">
        <f ca="1">IFERROR(__xludf.DUMMYFUNCTION("""COMPUTED_VALUE"""),"Not specified")</f>
        <v>Not specified</v>
      </c>
      <c r="W119" t="str">
        <f ca="1">IFERROR(__xludf.DUMMYFUNCTION("""COMPUTED_VALUE"""),"Not specified")</f>
        <v>Not specified</v>
      </c>
      <c r="X119" t="str">
        <f ca="1">IFERROR(__xludf.DUMMYFUNCTION("""COMPUTED_VALUE"""),"Optional - at request of referee")</f>
        <v>Optional - at request of referee</v>
      </c>
      <c r="Y119" t="str">
        <f ca="1">IFERROR(__xludf.DUMMYFUNCTION("""COMPUTED_VALUE"""),"Not specified")</f>
        <v>Not specified</v>
      </c>
      <c r="Z119" t="str">
        <f ca="1">IFERROR(__xludf.DUMMYFUNCTION("""COMPUTED_VALUE"""),"Not specified")</f>
        <v>Not specified</v>
      </c>
      <c r="AA119" t="str">
        <f ca="1">IFERROR(__xludf.DUMMYFUNCTION("""COMPUTED_VALUE"""),"")</f>
        <v/>
      </c>
      <c r="AB119" t="str">
        <f ca="1">IFERROR(__xludf.DUMMYFUNCTION("""COMPUTED_VALUE"""),"It is acceptable to consult with laboratory colleagues, but please identify them to the editors.")</f>
        <v>It is acceptable to consult with laboratory colleagues, but please identify them to the editors.</v>
      </c>
      <c r="AC119" s="93" t="str">
        <f ca="1">IFERROR(__xludf.DUMMYFUNCTION("""COMPUTED_VALUE"""),"https://www.nature.com/nrc/for-referees")</f>
        <v>https://www.nature.com/nrc/for-referees</v>
      </c>
      <c r="AD119" t="str">
        <f ca="1">IFERROR(__xludf.DUMMYFUNCTION("""COMPUTED_VALUE"""),"Yes")</f>
        <v>Yes</v>
      </c>
      <c r="AE119" t="str">
        <f ca="1">IFERROR(__xludf.DUMMYFUNCTION("""COMPUTED_VALUE"""),"Unsure")</f>
        <v>Unsure</v>
      </c>
      <c r="AF119" t="str">
        <f ca="1">IFERROR(__xludf.DUMMYFUNCTION("""COMPUTED_VALUE"""),"Unsure")</f>
        <v>Unsure</v>
      </c>
      <c r="AG119" t="str">
        <f ca="1">IFERROR(__xludf.DUMMYFUNCTION("""COMPUTED_VALUE"""),"")</f>
        <v/>
      </c>
      <c r="AH119" t="str">
        <f ca="1">IFERROR(__xludf.DUMMYFUNCTION("""COMPUTED_VALUE"""),"No preprint policy")</f>
        <v>No preprint policy</v>
      </c>
      <c r="AI119" t="str">
        <f ca="1">IFERROR(__xludf.DUMMYFUNCTION("""COMPUTED_VALUE"""),"")</f>
        <v/>
      </c>
      <c r="AJ119" t="str">
        <f ca="1">IFERROR(__xludf.DUMMYFUNCTION("""COMPUTED_VALUE"""),"Not specified")</f>
        <v>Not specified</v>
      </c>
      <c r="AK119" t="str">
        <f ca="1">IFERROR(__xludf.DUMMYFUNCTION("""COMPUTED_VALUE"""),"Unsure")</f>
        <v>Unsure</v>
      </c>
      <c r="AL119" t="str">
        <f ca="1">IFERROR(__xludf.DUMMYFUNCTION("""COMPUTED_VALUE"""),"")</f>
        <v/>
      </c>
      <c r="AM119" t="str">
        <f ca="1">IFERROR(__xludf.DUMMYFUNCTION("""COMPUTED_VALUE"""),"")</f>
        <v/>
      </c>
      <c r="AN119" t="str">
        <f ca="1">IFERROR(__xludf.DUMMYFUNCTION("""COMPUTED_VALUE"""),"")</f>
        <v/>
      </c>
      <c r="AO119" t="str">
        <f ca="1">IFERROR(__xludf.DUMMYFUNCTION("""COMPUTED_VALUE"""),"")</f>
        <v/>
      </c>
      <c r="AP119" t="str">
        <f ca="1">IFERROR(__xludf.DUMMYFUNCTION("""COMPUTED_VALUE"""),"")</f>
        <v/>
      </c>
      <c r="AQ119" t="str">
        <f ca="1">IFERROR(__xludf.DUMMYFUNCTION("""COMPUTED_VALUE"""),"")</f>
        <v/>
      </c>
      <c r="AR119" t="str">
        <f ca="1">IFERROR(__xludf.DUMMYFUNCTION("""COMPUTED_VALUE"""),"")</f>
        <v/>
      </c>
    </row>
    <row r="120" spans="1:44" ht="13">
      <c r="A120" t="str">
        <f ca="1">IFERROR(__xludf.DUMMYFUNCTION("""COMPUTED_VALUE"""),"SR")</f>
        <v>SR</v>
      </c>
      <c r="B120" s="41">
        <f ca="1">IFERROR(__xludf.DUMMYFUNCTION("""COMPUTED_VALUE"""),43444)</f>
        <v>43444</v>
      </c>
      <c r="C120" t="str">
        <f ca="1">IFERROR(__xludf.DUMMYFUNCTION("""COMPUTED_VALUE"""),"JP")</f>
        <v>JP</v>
      </c>
      <c r="D120" s="28">
        <f ca="1">IFERROR(__xludf.DUMMYFUNCTION("""COMPUTED_VALUE"""),43566)</f>
        <v>43566</v>
      </c>
      <c r="E120" t="str">
        <f ca="1">IFERROR(__xludf.DUMMYFUNCTION("""COMPUTED_VALUE"""),"TRH")</f>
        <v>TRH</v>
      </c>
      <c r="F120" s="28">
        <f ca="1">IFERROR(__xludf.DUMMYFUNCTION("""COMPUTED_VALUE"""),43583)</f>
        <v>43583</v>
      </c>
      <c r="G120" s="28" t="str">
        <f ca="1">IFERROR(__xludf.DUMMYFUNCTION("""COMPUTED_VALUE"""),"")</f>
        <v/>
      </c>
      <c r="H120" t="str">
        <f ca="1">IFERROR(__xludf.DUMMYFUNCTION("""COMPUTED_VALUE"""),"1471-0048")</f>
        <v>1471-0048</v>
      </c>
      <c r="I120" t="str">
        <f ca="1">IFERROR(__xludf.DUMMYFUNCTION("""COMPUTED_VALUE"""),"Nature Reviews Neuroscience")</f>
        <v>Nature Reviews Neuroscience</v>
      </c>
      <c r="J120" t="str">
        <f ca="1">IFERROR(__xludf.DUMMYFUNCTION("""COMPUTED_VALUE"""),"")</f>
        <v/>
      </c>
      <c r="K120" t="str">
        <f ca="1">IFERROR(__xludf.DUMMYFUNCTION("""COMPUTED_VALUE"""),"")</f>
        <v/>
      </c>
      <c r="L120" t="str">
        <f ca="1">IFERROR(__xludf.DUMMYFUNCTION("""COMPUTED_VALUE"""),"Unsure")</f>
        <v>Unsure</v>
      </c>
      <c r="M120" s="93" t="str">
        <f ca="1">IFERROR(__xludf.DUMMYFUNCTION("""COMPUTED_VALUE"""),"https://www.nature.com/nrg/for-referees")</f>
        <v>https://www.nature.com/nrg/for-referees</v>
      </c>
      <c r="N120" t="str">
        <f ca="1">IFERROR(__xludf.DUMMYFUNCTION("""COMPUTED_VALUE"""),"")</f>
        <v/>
      </c>
      <c r="O120" t="str">
        <f ca="1">IFERROR(__xludf.DUMMYFUNCTION("""COMPUTED_VALUE"""),"")</f>
        <v/>
      </c>
      <c r="P120" t="str">
        <f ca="1">IFERROR(__xludf.DUMMYFUNCTION("""COMPUTED_VALUE"""),"Unsure")</f>
        <v>Unsure</v>
      </c>
      <c r="Q120" t="str">
        <f ca="1">IFERROR(__xludf.DUMMYFUNCTION("""COMPUTED_VALUE"""),"")</f>
        <v/>
      </c>
      <c r="R120" t="str">
        <f ca="1">IFERROR(__xludf.DUMMYFUNCTION("""COMPUTED_VALUE"""),"")</f>
        <v/>
      </c>
      <c r="S120" t="str">
        <f ca="1">IFERROR(__xludf.DUMMYFUNCTION("""COMPUTED_VALUE"""),"Not specified")</f>
        <v>Not specified</v>
      </c>
      <c r="T120" t="str">
        <f ca="1">IFERROR(__xludf.DUMMYFUNCTION("""COMPUTED_VALUE"""),"Not specified")</f>
        <v>Not specified</v>
      </c>
      <c r="U120" t="str">
        <f ca="1">IFERROR(__xludf.DUMMYFUNCTION("""COMPUTED_VALUE"""),"Not specified")</f>
        <v>Not specified</v>
      </c>
      <c r="V120" t="str">
        <f ca="1">IFERROR(__xludf.DUMMYFUNCTION("""COMPUTED_VALUE"""),"Not specified")</f>
        <v>Not specified</v>
      </c>
      <c r="W120" t="str">
        <f ca="1">IFERROR(__xludf.DUMMYFUNCTION("""COMPUTED_VALUE"""),"Not specified")</f>
        <v>Not specified</v>
      </c>
      <c r="X120" t="str">
        <f ca="1">IFERROR(__xludf.DUMMYFUNCTION("""COMPUTED_VALUE"""),"Optional - at request of referee")</f>
        <v>Optional - at request of referee</v>
      </c>
      <c r="Y120" t="str">
        <f ca="1">IFERROR(__xludf.DUMMYFUNCTION("""COMPUTED_VALUE"""),"Not specified")</f>
        <v>Not specified</v>
      </c>
      <c r="Z120" t="str">
        <f ca="1">IFERROR(__xludf.DUMMYFUNCTION("""COMPUTED_VALUE"""),"Not specified")</f>
        <v>Not specified</v>
      </c>
      <c r="AA120" t="str">
        <f ca="1">IFERROR(__xludf.DUMMYFUNCTION("""COMPUTED_VALUE"""),"")</f>
        <v/>
      </c>
      <c r="AB120" t="str">
        <f ca="1">IFERROR(__xludf.DUMMYFUNCTION("""COMPUTED_VALUE"""),"It is acceptable to consult with laboratory colleagues, but please identify them to the editors.")</f>
        <v>It is acceptable to consult with laboratory colleagues, but please identify them to the editors.</v>
      </c>
      <c r="AC120" s="93" t="str">
        <f ca="1">IFERROR(__xludf.DUMMYFUNCTION("""COMPUTED_VALUE"""),"https://www.nature.com/nrg/for-referees")</f>
        <v>https://www.nature.com/nrg/for-referees</v>
      </c>
      <c r="AD120" t="str">
        <f ca="1">IFERROR(__xludf.DUMMYFUNCTION("""COMPUTED_VALUE"""),"Yes")</f>
        <v>Yes</v>
      </c>
      <c r="AE120" t="str">
        <f ca="1">IFERROR(__xludf.DUMMYFUNCTION("""COMPUTED_VALUE"""),"Unsure")</f>
        <v>Unsure</v>
      </c>
      <c r="AF120" t="str">
        <f ca="1">IFERROR(__xludf.DUMMYFUNCTION("""COMPUTED_VALUE"""),"Unsure")</f>
        <v>Unsure</v>
      </c>
      <c r="AG120" t="str">
        <f ca="1">IFERROR(__xludf.DUMMYFUNCTION("""COMPUTED_VALUE"""),"")</f>
        <v/>
      </c>
      <c r="AH120" t="str">
        <f ca="1">IFERROR(__xludf.DUMMYFUNCTION("""COMPUTED_VALUE"""),"No preprint policy")</f>
        <v>No preprint policy</v>
      </c>
      <c r="AI120" t="str">
        <f ca="1">IFERROR(__xludf.DUMMYFUNCTION("""COMPUTED_VALUE"""),"")</f>
        <v/>
      </c>
      <c r="AJ120" t="str">
        <f ca="1">IFERROR(__xludf.DUMMYFUNCTION("""COMPUTED_VALUE"""),"Not specified")</f>
        <v>Not specified</v>
      </c>
      <c r="AK120" t="str">
        <f ca="1">IFERROR(__xludf.DUMMYFUNCTION("""COMPUTED_VALUE"""),"Unsure")</f>
        <v>Unsure</v>
      </c>
      <c r="AL120" t="str">
        <f ca="1">IFERROR(__xludf.DUMMYFUNCTION("""COMPUTED_VALUE"""),"")</f>
        <v/>
      </c>
      <c r="AM120" t="str">
        <f ca="1">IFERROR(__xludf.DUMMYFUNCTION("""COMPUTED_VALUE"""),"")</f>
        <v/>
      </c>
      <c r="AN120" t="str">
        <f ca="1">IFERROR(__xludf.DUMMYFUNCTION("""COMPUTED_VALUE"""),"")</f>
        <v/>
      </c>
      <c r="AO120" t="str">
        <f ca="1">IFERROR(__xludf.DUMMYFUNCTION("""COMPUTED_VALUE"""),"")</f>
        <v/>
      </c>
      <c r="AP120" t="str">
        <f ca="1">IFERROR(__xludf.DUMMYFUNCTION("""COMPUTED_VALUE"""),"")</f>
        <v/>
      </c>
      <c r="AQ120" t="str">
        <f ca="1">IFERROR(__xludf.DUMMYFUNCTION("""COMPUTED_VALUE"""),"")</f>
        <v/>
      </c>
      <c r="AR120" t="str">
        <f ca="1">IFERROR(__xludf.DUMMYFUNCTION("""COMPUTED_VALUE"""),"")</f>
        <v/>
      </c>
    </row>
    <row r="121" spans="1:44" ht="13">
      <c r="A121" t="str">
        <f ca="1">IFERROR(__xludf.DUMMYFUNCTION("""COMPUTED_VALUE"""),"SR")</f>
        <v>SR</v>
      </c>
      <c r="B121" s="41">
        <f ca="1">IFERROR(__xludf.DUMMYFUNCTION("""COMPUTED_VALUE"""),43440)</f>
        <v>43440</v>
      </c>
      <c r="C121" t="str">
        <f ca="1">IFERROR(__xludf.DUMMYFUNCTION("""COMPUTED_VALUE"""),"JP")</f>
        <v>JP</v>
      </c>
      <c r="D121" s="28">
        <f ca="1">IFERROR(__xludf.DUMMYFUNCTION("""COMPUTED_VALUE"""),43566)</f>
        <v>43566</v>
      </c>
      <c r="E121" t="str">
        <f ca="1">IFERROR(__xludf.DUMMYFUNCTION("""COMPUTED_VALUE"""),"TRH")</f>
        <v>TRH</v>
      </c>
      <c r="F121" s="28">
        <f ca="1">IFERROR(__xludf.DUMMYFUNCTION("""COMPUTED_VALUE"""),43583)</f>
        <v>43583</v>
      </c>
      <c r="G121" s="28" t="str">
        <f ca="1">IFERROR(__xludf.DUMMYFUNCTION("""COMPUTED_VALUE"""),"")</f>
        <v/>
      </c>
      <c r="H121" t="str">
        <f ca="1">IFERROR(__xludf.DUMMYFUNCTION("""COMPUTED_VALUE"""),"1474-1784")</f>
        <v>1474-1784</v>
      </c>
      <c r="I121" t="str">
        <f ca="1">IFERROR(__xludf.DUMMYFUNCTION("""COMPUTED_VALUE"""),"Nature Reviews. Drug Discovery")</f>
        <v>Nature Reviews. Drug Discovery</v>
      </c>
      <c r="J121" t="str">
        <f ca="1">IFERROR(__xludf.DUMMYFUNCTION("""COMPUTED_VALUE"""),"")</f>
        <v/>
      </c>
      <c r="K121" t="str">
        <f ca="1">IFERROR(__xludf.DUMMYFUNCTION("""COMPUTED_VALUE"""),"")</f>
        <v/>
      </c>
      <c r="L121" t="str">
        <f ca="1">IFERROR(__xludf.DUMMYFUNCTION("""COMPUTED_VALUE"""),"Unsure")</f>
        <v>Unsure</v>
      </c>
      <c r="M121" s="93" t="str">
        <f ca="1">IFERROR(__xludf.DUMMYFUNCTION("""COMPUTED_VALUE"""),"https://www.nature.com/nrg/for-referees")</f>
        <v>https://www.nature.com/nrg/for-referees</v>
      </c>
      <c r="N121" t="str">
        <f ca="1">IFERROR(__xludf.DUMMYFUNCTION("""COMPUTED_VALUE"""),"")</f>
        <v/>
      </c>
      <c r="O121" t="str">
        <f ca="1">IFERROR(__xludf.DUMMYFUNCTION("""COMPUTED_VALUE"""),"")</f>
        <v/>
      </c>
      <c r="P121" t="str">
        <f ca="1">IFERROR(__xludf.DUMMYFUNCTION("""COMPUTED_VALUE"""),"Unsure")</f>
        <v>Unsure</v>
      </c>
      <c r="Q121" t="str">
        <f ca="1">IFERROR(__xludf.DUMMYFUNCTION("""COMPUTED_VALUE"""),"")</f>
        <v/>
      </c>
      <c r="R121" t="str">
        <f ca="1">IFERROR(__xludf.DUMMYFUNCTION("""COMPUTED_VALUE"""),"")</f>
        <v/>
      </c>
      <c r="S121" t="str">
        <f ca="1">IFERROR(__xludf.DUMMYFUNCTION("""COMPUTED_VALUE"""),"Not specified")</f>
        <v>Not specified</v>
      </c>
      <c r="T121" t="str">
        <f ca="1">IFERROR(__xludf.DUMMYFUNCTION("""COMPUTED_VALUE"""),"Not specified")</f>
        <v>Not specified</v>
      </c>
      <c r="U121" t="str">
        <f ca="1">IFERROR(__xludf.DUMMYFUNCTION("""COMPUTED_VALUE"""),"Not specified")</f>
        <v>Not specified</v>
      </c>
      <c r="V121" t="str">
        <f ca="1">IFERROR(__xludf.DUMMYFUNCTION("""COMPUTED_VALUE"""),"Not specified")</f>
        <v>Not specified</v>
      </c>
      <c r="W121" t="str">
        <f ca="1">IFERROR(__xludf.DUMMYFUNCTION("""COMPUTED_VALUE"""),"Not specified")</f>
        <v>Not specified</v>
      </c>
      <c r="X121" t="str">
        <f ca="1">IFERROR(__xludf.DUMMYFUNCTION("""COMPUTED_VALUE"""),"Optional - at request of referee")</f>
        <v>Optional - at request of referee</v>
      </c>
      <c r="Y121" t="str">
        <f ca="1">IFERROR(__xludf.DUMMYFUNCTION("""COMPUTED_VALUE"""),"Not specified")</f>
        <v>Not specified</v>
      </c>
      <c r="Z121" t="str">
        <f ca="1">IFERROR(__xludf.DUMMYFUNCTION("""COMPUTED_VALUE"""),"Not specified")</f>
        <v>Not specified</v>
      </c>
      <c r="AA121" t="str">
        <f ca="1">IFERROR(__xludf.DUMMYFUNCTION("""COMPUTED_VALUE"""),"")</f>
        <v/>
      </c>
      <c r="AB121" t="str">
        <f ca="1">IFERROR(__xludf.DUMMYFUNCTION("""COMPUTED_VALUE"""),"It is acceptable to consult with laboratory colleagues, but please identify them to the editors.")</f>
        <v>It is acceptable to consult with laboratory colleagues, but please identify them to the editors.</v>
      </c>
      <c r="AC121" s="93" t="str">
        <f ca="1">IFERROR(__xludf.DUMMYFUNCTION("""COMPUTED_VALUE"""),"https://www.nature.com/nrg/for-referees")</f>
        <v>https://www.nature.com/nrg/for-referees</v>
      </c>
      <c r="AD121" t="str">
        <f ca="1">IFERROR(__xludf.DUMMYFUNCTION("""COMPUTED_VALUE"""),"Yes")</f>
        <v>Yes</v>
      </c>
      <c r="AE121" t="str">
        <f ca="1">IFERROR(__xludf.DUMMYFUNCTION("""COMPUTED_VALUE"""),"Unsure")</f>
        <v>Unsure</v>
      </c>
      <c r="AF121" t="str">
        <f ca="1">IFERROR(__xludf.DUMMYFUNCTION("""COMPUTED_VALUE"""),"Unsure")</f>
        <v>Unsure</v>
      </c>
      <c r="AG121" t="str">
        <f ca="1">IFERROR(__xludf.DUMMYFUNCTION("""COMPUTED_VALUE"""),"")</f>
        <v/>
      </c>
      <c r="AH121" t="str">
        <f ca="1">IFERROR(__xludf.DUMMYFUNCTION("""COMPUTED_VALUE"""),"No preprint policy")</f>
        <v>No preprint policy</v>
      </c>
      <c r="AI121" t="str">
        <f ca="1">IFERROR(__xludf.DUMMYFUNCTION("""COMPUTED_VALUE"""),"")</f>
        <v/>
      </c>
      <c r="AJ121" t="str">
        <f ca="1">IFERROR(__xludf.DUMMYFUNCTION("""COMPUTED_VALUE"""),"Not specified")</f>
        <v>Not specified</v>
      </c>
      <c r="AK121" t="str">
        <f ca="1">IFERROR(__xludf.DUMMYFUNCTION("""COMPUTED_VALUE"""),"Unsure")</f>
        <v>Unsure</v>
      </c>
      <c r="AL121" t="str">
        <f ca="1">IFERROR(__xludf.DUMMYFUNCTION("""COMPUTED_VALUE"""),"")</f>
        <v/>
      </c>
      <c r="AM121" t="str">
        <f ca="1">IFERROR(__xludf.DUMMYFUNCTION("""COMPUTED_VALUE"""),"")</f>
        <v/>
      </c>
      <c r="AN121" t="str">
        <f ca="1">IFERROR(__xludf.DUMMYFUNCTION("""COMPUTED_VALUE"""),"")</f>
        <v/>
      </c>
      <c r="AO121" t="str">
        <f ca="1">IFERROR(__xludf.DUMMYFUNCTION("""COMPUTED_VALUE"""),"")</f>
        <v/>
      </c>
      <c r="AP121" t="str">
        <f ca="1">IFERROR(__xludf.DUMMYFUNCTION("""COMPUTED_VALUE"""),"")</f>
        <v/>
      </c>
      <c r="AQ121" t="str">
        <f ca="1">IFERROR(__xludf.DUMMYFUNCTION("""COMPUTED_VALUE"""),"")</f>
        <v/>
      </c>
      <c r="AR121" t="str">
        <f ca="1">IFERROR(__xludf.DUMMYFUNCTION("""COMPUTED_VALUE"""),"")</f>
        <v/>
      </c>
    </row>
    <row r="122" spans="1:44" ht="13">
      <c r="A122" t="str">
        <f ca="1">IFERROR(__xludf.DUMMYFUNCTION("""COMPUTED_VALUE"""),"SR")</f>
        <v>SR</v>
      </c>
      <c r="B122" s="41">
        <f ca="1">IFERROR(__xludf.DUMMYFUNCTION("""COMPUTED_VALUE"""),43440)</f>
        <v>43440</v>
      </c>
      <c r="C122" t="str">
        <f ca="1">IFERROR(__xludf.DUMMYFUNCTION("""COMPUTED_VALUE"""),"JP")</f>
        <v>JP</v>
      </c>
      <c r="D122" s="28">
        <f ca="1">IFERROR(__xludf.DUMMYFUNCTION("""COMPUTED_VALUE"""),43566)</f>
        <v>43566</v>
      </c>
      <c r="E122" t="str">
        <f ca="1">IFERROR(__xludf.DUMMYFUNCTION("""COMPUTED_VALUE"""),"TRH")</f>
        <v>TRH</v>
      </c>
      <c r="F122" s="28">
        <f ca="1">IFERROR(__xludf.DUMMYFUNCTION("""COMPUTED_VALUE"""),43583)</f>
        <v>43583</v>
      </c>
      <c r="G122" s="28" t="str">
        <f ca="1">IFERROR(__xludf.DUMMYFUNCTION("""COMPUTED_VALUE"""),"")</f>
        <v/>
      </c>
      <c r="H122" t="str">
        <f ca="1">IFERROR(__xludf.DUMMYFUNCTION("""COMPUTED_VALUE"""),"1471-0080")</f>
        <v>1471-0080</v>
      </c>
      <c r="I122" t="str">
        <f ca="1">IFERROR(__xludf.DUMMYFUNCTION("""COMPUTED_VALUE"""),"Nature Reviews. Molecular Cell Biology")</f>
        <v>Nature Reviews. Molecular Cell Biology</v>
      </c>
      <c r="J122" t="str">
        <f ca="1">IFERROR(__xludf.DUMMYFUNCTION("""COMPUTED_VALUE"""),"Life Sciences &amp; Earth Sciences")</f>
        <v>Life Sciences &amp; Earth Sciences</v>
      </c>
      <c r="K122" t="str">
        <f ca="1">IFERROR(__xludf.DUMMYFUNCTION("""COMPUTED_VALUE"""),"")</f>
        <v/>
      </c>
      <c r="L122" t="str">
        <f ca="1">IFERROR(__xludf.DUMMYFUNCTION("""COMPUTED_VALUE"""),"Unsure")</f>
        <v>Unsure</v>
      </c>
      <c r="M122" s="93" t="str">
        <f ca="1">IFERROR(__xludf.DUMMYFUNCTION("""COMPUTED_VALUE"""),"https://www.nature.com/nrg/for-referees")</f>
        <v>https://www.nature.com/nrg/for-referees</v>
      </c>
      <c r="N122" t="str">
        <f ca="1">IFERROR(__xludf.DUMMYFUNCTION("""COMPUTED_VALUE"""),"")</f>
        <v/>
      </c>
      <c r="O122" t="str">
        <f ca="1">IFERROR(__xludf.DUMMYFUNCTION("""COMPUTED_VALUE"""),"")</f>
        <v/>
      </c>
      <c r="P122" t="str">
        <f ca="1">IFERROR(__xludf.DUMMYFUNCTION("""COMPUTED_VALUE"""),"Unsure")</f>
        <v>Unsure</v>
      </c>
      <c r="Q122" t="str">
        <f ca="1">IFERROR(__xludf.DUMMYFUNCTION("""COMPUTED_VALUE"""),"")</f>
        <v/>
      </c>
      <c r="R122" t="str">
        <f ca="1">IFERROR(__xludf.DUMMYFUNCTION("""COMPUTED_VALUE"""),"")</f>
        <v/>
      </c>
      <c r="S122" t="str">
        <f ca="1">IFERROR(__xludf.DUMMYFUNCTION("""COMPUTED_VALUE"""),"Not specified")</f>
        <v>Not specified</v>
      </c>
      <c r="T122" t="str">
        <f ca="1">IFERROR(__xludf.DUMMYFUNCTION("""COMPUTED_VALUE"""),"Not specified")</f>
        <v>Not specified</v>
      </c>
      <c r="U122" t="str">
        <f ca="1">IFERROR(__xludf.DUMMYFUNCTION("""COMPUTED_VALUE"""),"Not specified")</f>
        <v>Not specified</v>
      </c>
      <c r="V122" t="str">
        <f ca="1">IFERROR(__xludf.DUMMYFUNCTION("""COMPUTED_VALUE"""),"Not specified")</f>
        <v>Not specified</v>
      </c>
      <c r="W122" t="str">
        <f ca="1">IFERROR(__xludf.DUMMYFUNCTION("""COMPUTED_VALUE"""),"Not specified")</f>
        <v>Not specified</v>
      </c>
      <c r="X122" t="str">
        <f ca="1">IFERROR(__xludf.DUMMYFUNCTION("""COMPUTED_VALUE"""),"Optional - at request of referee")</f>
        <v>Optional - at request of referee</v>
      </c>
      <c r="Y122" t="str">
        <f ca="1">IFERROR(__xludf.DUMMYFUNCTION("""COMPUTED_VALUE"""),"Not specified")</f>
        <v>Not specified</v>
      </c>
      <c r="Z122" t="str">
        <f ca="1">IFERROR(__xludf.DUMMYFUNCTION("""COMPUTED_VALUE"""),"Not specified")</f>
        <v>Not specified</v>
      </c>
      <c r="AA122" t="str">
        <f ca="1">IFERROR(__xludf.DUMMYFUNCTION("""COMPUTED_VALUE"""),"")</f>
        <v/>
      </c>
      <c r="AB122" t="str">
        <f ca="1">IFERROR(__xludf.DUMMYFUNCTION("""COMPUTED_VALUE"""),"It is acceptable to consult with laboratory colleagues, but please identify them to the editors.")</f>
        <v>It is acceptable to consult with laboratory colleagues, but please identify them to the editors.</v>
      </c>
      <c r="AC122" s="93" t="str">
        <f ca="1">IFERROR(__xludf.DUMMYFUNCTION("""COMPUTED_VALUE"""),"https://www.nature.com/nrg/for-referees")</f>
        <v>https://www.nature.com/nrg/for-referees</v>
      </c>
      <c r="AD122" t="str">
        <f ca="1">IFERROR(__xludf.DUMMYFUNCTION("""COMPUTED_VALUE"""),"Yes")</f>
        <v>Yes</v>
      </c>
      <c r="AE122" t="str">
        <f ca="1">IFERROR(__xludf.DUMMYFUNCTION("""COMPUTED_VALUE"""),"Unsure")</f>
        <v>Unsure</v>
      </c>
      <c r="AF122" t="str">
        <f ca="1">IFERROR(__xludf.DUMMYFUNCTION("""COMPUTED_VALUE"""),"Unsure")</f>
        <v>Unsure</v>
      </c>
      <c r="AG122" t="str">
        <f ca="1">IFERROR(__xludf.DUMMYFUNCTION("""COMPUTED_VALUE"""),"")</f>
        <v/>
      </c>
      <c r="AH122" t="str">
        <f ca="1">IFERROR(__xludf.DUMMYFUNCTION("""COMPUTED_VALUE"""),"No preprint policy")</f>
        <v>No preprint policy</v>
      </c>
      <c r="AI122" t="str">
        <f ca="1">IFERROR(__xludf.DUMMYFUNCTION("""COMPUTED_VALUE"""),"")</f>
        <v/>
      </c>
      <c r="AJ122" t="str">
        <f ca="1">IFERROR(__xludf.DUMMYFUNCTION("""COMPUTED_VALUE"""),"Not specified")</f>
        <v>Not specified</v>
      </c>
      <c r="AK122" t="str">
        <f ca="1">IFERROR(__xludf.DUMMYFUNCTION("""COMPUTED_VALUE"""),"Unsure")</f>
        <v>Unsure</v>
      </c>
      <c r="AL122" t="str">
        <f ca="1">IFERROR(__xludf.DUMMYFUNCTION("""COMPUTED_VALUE"""),"")</f>
        <v/>
      </c>
      <c r="AM122" t="str">
        <f ca="1">IFERROR(__xludf.DUMMYFUNCTION("""COMPUTED_VALUE"""),"")</f>
        <v/>
      </c>
      <c r="AN122" t="str">
        <f ca="1">IFERROR(__xludf.DUMMYFUNCTION("""COMPUTED_VALUE"""),"")</f>
        <v/>
      </c>
      <c r="AO122" t="str">
        <f ca="1">IFERROR(__xludf.DUMMYFUNCTION("""COMPUTED_VALUE"""),"")</f>
        <v/>
      </c>
      <c r="AP122" t="str">
        <f ca="1">IFERROR(__xludf.DUMMYFUNCTION("""COMPUTED_VALUE"""),"")</f>
        <v/>
      </c>
      <c r="AQ122" t="str">
        <f ca="1">IFERROR(__xludf.DUMMYFUNCTION("""COMPUTED_VALUE"""),"")</f>
        <v/>
      </c>
      <c r="AR122" t="str">
        <f ca="1">IFERROR(__xludf.DUMMYFUNCTION("""COMPUTED_VALUE"""),"")</f>
        <v/>
      </c>
    </row>
    <row r="123" spans="1:44" ht="13">
      <c r="A123" t="str">
        <f ca="1">IFERROR(__xludf.DUMMYFUNCTION("""COMPUTED_VALUE"""),"SR")</f>
        <v>SR</v>
      </c>
      <c r="B123" s="41">
        <f ca="1">IFERROR(__xludf.DUMMYFUNCTION("""COMPUTED_VALUE"""),43440)</f>
        <v>43440</v>
      </c>
      <c r="C123" t="str">
        <f ca="1">IFERROR(__xludf.DUMMYFUNCTION("""COMPUTED_VALUE"""),"JP")</f>
        <v>JP</v>
      </c>
      <c r="D123" s="28">
        <f ca="1">IFERROR(__xludf.DUMMYFUNCTION("""COMPUTED_VALUE"""),43572)</f>
        <v>43572</v>
      </c>
      <c r="E123" t="str">
        <f ca="1">IFERROR(__xludf.DUMMYFUNCTION("""COMPUTED_VALUE"""),"TRH")</f>
        <v>TRH</v>
      </c>
      <c r="F123" s="28">
        <f ca="1">IFERROR(__xludf.DUMMYFUNCTION("""COMPUTED_VALUE"""),43583)</f>
        <v>43583</v>
      </c>
      <c r="G123" t="str">
        <f ca="1">IFERROR(__xludf.DUMMYFUNCTION("""COMPUTED_VALUE"""),"")</f>
        <v/>
      </c>
      <c r="H123" t="str">
        <f ca="1">IFERROR(__xludf.DUMMYFUNCTION("""COMPUTED_VALUE"""),"")</f>
        <v/>
      </c>
      <c r="I123" t="str">
        <f ca="1">IFERROR(__xludf.DUMMYFUNCTION("""COMPUTED_VALUE"""),"Neural Information Processing Systems (NIPS)")</f>
        <v>Neural Information Processing Systems (NIPS)</v>
      </c>
      <c r="J123" t="str">
        <f ca="1">IFERROR(__xludf.DUMMYFUNCTION("""COMPUTED_VALUE"""),"Engineering &amp; Computer Science")</f>
        <v>Engineering &amp; Computer Science</v>
      </c>
      <c r="K123" t="str">
        <f ca="1">IFERROR(__xludf.DUMMYFUNCTION("""COMPUTED_VALUE"""),"")</f>
        <v/>
      </c>
      <c r="L123" t="str">
        <f ca="1">IFERROR(__xludf.DUMMYFUNCTION("""COMPUTED_VALUE"""),"Double blind")</f>
        <v>Double blind</v>
      </c>
      <c r="M123" s="93" t="str">
        <f ca="1">IFERROR(__xludf.DUMMYFUNCTION("""COMPUTED_VALUE"""),"https://nips.cc/Conferences/2019/CallForPapers")</f>
        <v>https://nips.cc/Conferences/2019/CallForPapers</v>
      </c>
      <c r="N123" t="str">
        <f ca="1">IFERROR(__xludf.DUMMYFUNCTION("""COMPUTED_VALUE"""),"")</f>
        <v/>
      </c>
      <c r="O123" t="str">
        <f ca="1">IFERROR(__xludf.DUMMYFUNCTION("""COMPUTED_VALUE"""),"")</f>
        <v/>
      </c>
      <c r="P123" t="str">
        <f ca="1">IFERROR(__xludf.DUMMYFUNCTION("""COMPUTED_VALUE"""),"")</f>
        <v/>
      </c>
      <c r="Q123" t="str">
        <f ca="1">IFERROR(__xludf.DUMMYFUNCTION("""COMPUTED_VALUE"""),"")</f>
        <v/>
      </c>
      <c r="R123" t="str">
        <f ca="1">IFERROR(__xludf.DUMMYFUNCTION("""COMPUTED_VALUE"""),"")</f>
        <v/>
      </c>
      <c r="S123" t="str">
        <f ca="1">IFERROR(__xludf.DUMMYFUNCTION("""COMPUTED_VALUE"""),"Mandatory")</f>
        <v>Mandatory</v>
      </c>
      <c r="T123" t="str">
        <f ca="1">IFERROR(__xludf.DUMMYFUNCTION("""COMPUTED_VALUE"""),"Mandatory")</f>
        <v>Mandatory</v>
      </c>
      <c r="U123" t="str">
        <f ca="1">IFERROR(__xludf.DUMMYFUNCTION("""COMPUTED_VALUE"""),"Mandatory")</f>
        <v>Mandatory</v>
      </c>
      <c r="V123" t="str">
        <f ca="1">IFERROR(__xludf.DUMMYFUNCTION("""COMPUTED_VALUE"""),"Not specified")</f>
        <v>Not specified</v>
      </c>
      <c r="W123" t="str">
        <f ca="1">IFERROR(__xludf.DUMMYFUNCTION("""COMPUTED_VALUE"""),"No")</f>
        <v>No</v>
      </c>
      <c r="X123" t="str">
        <f ca="1">IFERROR(__xludf.DUMMYFUNCTION("""COMPUTED_VALUE"""),"No")</f>
        <v>No</v>
      </c>
      <c r="Y123" t="str">
        <f ca="1">IFERROR(__xludf.DUMMYFUNCTION("""COMPUTED_VALUE"""),"Not specified")</f>
        <v>Not specified</v>
      </c>
      <c r="Z123" t="str">
        <f ca="1">IFERROR(__xludf.DUMMYFUNCTION("""COMPUTED_VALUE"""),"Not specified")</f>
        <v>Not specified</v>
      </c>
      <c r="AA123" t="str">
        <f ca="1">IFERROR(__xludf.DUMMYFUNCTION("""COMPUTED_VALUE"""),"""The reviewing process will be double blind at the level of reviewers and area chairs (i.e., reviewers and area chairs cannot see author identities) but not at the level of senior area chairs and program chairs.""")</f>
        <v>"The reviewing process will be double blind at the level of reviewers and area chairs (i.e., reviewers and area chairs cannot see author identities) but not at the level of senior area chairs and program chairs."</v>
      </c>
      <c r="AB123" t="str">
        <f ca="1">IFERROR(__xludf.DUMMYFUNCTION("""COMPUTED_VALUE"""),"")</f>
        <v/>
      </c>
      <c r="AC123" t="str">
        <f ca="1">IFERROR(__xludf.DUMMYFUNCTION("""COMPUTED_VALUE"""),"")</f>
        <v/>
      </c>
      <c r="AD123" t="str">
        <f ca="1">IFERROR(__xludf.DUMMYFUNCTION("""COMPUTED_VALUE"""),"Unsure")</f>
        <v>Unsure</v>
      </c>
      <c r="AE123" t="str">
        <f ca="1">IFERROR(__xludf.DUMMYFUNCTION("""COMPUTED_VALUE"""),"Unsure")</f>
        <v>Unsure</v>
      </c>
      <c r="AF123" t="str">
        <f ca="1">IFERROR(__xludf.DUMMYFUNCTION("""COMPUTED_VALUE"""),"Unsure")</f>
        <v>Unsure</v>
      </c>
      <c r="AG123" s="93" t="str">
        <f ca="1">IFERROR(__xludf.DUMMYFUNCTION("""COMPUTED_VALUE"""),"https://nips.cc/Conferences/2019/CallForPapers")</f>
        <v>https://nips.cc/Conferences/2019/CallForPapers</v>
      </c>
      <c r="AH123" t="str">
        <f ca="1">IFERROR(__xludf.DUMMYFUNCTION("""COMPUTED_VALUE"""),"Unclear")</f>
        <v>Unclear</v>
      </c>
      <c r="AI123" t="str">
        <f ca="1">IFERROR(__xludf.DUMMYFUNCTION("""COMPUTED_VALUE"""),"Preprints: Non-anonymous preprints (on arXiv, social media, websites, etc.) are permitted.  If you choose to use the NeurIPS style for the preprint, you must use the “preprint” option rather than the “final” option. Reviewers will be instructed not to act"&amp;"ively look for such preprints, but encountering them will not constitute a conflict of interest. Authors may submit work to NeurIPS that is already available as a preprint (e.g., on arXiv) without citing it; however, previously published papers by the aut"&amp;"hors on related topics must be cited (with adequate anonymization to preserve double-blind reviewing).")</f>
        <v>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v>
      </c>
      <c r="AJ123" t="str">
        <f ca="1">IFERROR(__xludf.DUMMYFUNCTION("""COMPUTED_VALUE"""),"Yes, in the reference list (assumed)")</f>
        <v>Yes, in the reference list (assumed)</v>
      </c>
      <c r="AK123" t="str">
        <f ca="1">IFERROR(__xludf.DUMMYFUNCTION("""COMPUTED_VALUE"""),"Unsure")</f>
        <v>Unsure</v>
      </c>
      <c r="AL123" t="str">
        <f ca="1">IFERROR(__xludf.DUMMYFUNCTION("""COMPUTED_VALUE"""),"")</f>
        <v/>
      </c>
      <c r="AM123" t="str">
        <f ca="1">IFERROR(__xludf.DUMMYFUNCTION("""COMPUTED_VALUE"""),"")</f>
        <v/>
      </c>
      <c r="AN123" t="str">
        <f ca="1">IFERROR(__xludf.DUMMYFUNCTION("""COMPUTED_VALUE"""),"")</f>
        <v/>
      </c>
      <c r="AO123" t="str">
        <f ca="1">IFERROR(__xludf.DUMMYFUNCTION("""COMPUTED_VALUE"""),"Assuming citation policy from :  Authors may submit work to NeurIPS that is already available as a preprint (e.g., on arXiv) without citing it; however, previously published papers by the authors on related topics must be cited (with adequate anonymizatio"&amp;"n to preserve double-blind reviewing).")</f>
        <v>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v>
      </c>
      <c r="AP123" t="str">
        <f ca="1">IFERROR(__xludf.DUMMYFUNCTION("""COMPUTED_VALUE"""),"")</f>
        <v/>
      </c>
      <c r="AQ123" t="str">
        <f ca="1">IFERROR(__xludf.DUMMYFUNCTION("""COMPUTED_VALUE"""),"")</f>
        <v/>
      </c>
      <c r="AR123" t="str">
        <f ca="1">IFERROR(__xludf.DUMMYFUNCTION("""COMPUTED_VALUE"""),"")</f>
        <v/>
      </c>
    </row>
    <row r="124" spans="1:44" ht="13">
      <c r="A124" t="str">
        <f ca="1">IFERROR(__xludf.DUMMYFUNCTION("""COMPUTED_VALUE"""),"SR")</f>
        <v>SR</v>
      </c>
      <c r="B124" s="41">
        <f ca="1">IFERROR(__xludf.DUMMYFUNCTION("""COMPUTED_VALUE"""),43440)</f>
        <v>43440</v>
      </c>
      <c r="C124" t="str">
        <f ca="1">IFERROR(__xludf.DUMMYFUNCTION("""COMPUTED_VALUE"""),"JP")</f>
        <v>JP</v>
      </c>
      <c r="D124" s="28">
        <f ca="1">IFERROR(__xludf.DUMMYFUNCTION("""COMPUTED_VALUE"""),43572)</f>
        <v>43572</v>
      </c>
      <c r="E124" t="str">
        <f ca="1">IFERROR(__xludf.DUMMYFUNCTION("""COMPUTED_VALUE"""),"TRH")</f>
        <v>TRH</v>
      </c>
      <c r="F124" s="28">
        <f ca="1">IFERROR(__xludf.DUMMYFUNCTION("""COMPUTED_VALUE"""),43583)</f>
        <v>43583</v>
      </c>
      <c r="G124" t="str">
        <f ca="1">IFERROR(__xludf.DUMMYFUNCTION("""COMPUTED_VALUE"""),"")</f>
        <v/>
      </c>
      <c r="H124" t="str">
        <f ca="1">IFERROR(__xludf.DUMMYFUNCTION("""COMPUTED_VALUE"""),"1053-8119")</f>
        <v>1053-8119</v>
      </c>
      <c r="I124" t="str">
        <f ca="1">IFERROR(__xludf.DUMMYFUNCTION("""COMPUTED_VALUE"""),"NeuroImage")</f>
        <v>NeuroImage</v>
      </c>
      <c r="J124" t="str">
        <f ca="1">IFERROR(__xludf.DUMMYFUNCTION("""COMPUTED_VALUE"""),"")</f>
        <v/>
      </c>
      <c r="K124" t="str">
        <f ca="1">IFERROR(__xludf.DUMMYFUNCTION("""COMPUTED_VALUE"""),"Elsevier")</f>
        <v>Elsevier</v>
      </c>
      <c r="L124" t="str">
        <f ca="1">IFERROR(__xludf.DUMMYFUNCTION("""COMPUTED_VALUE"""),"Single blind")</f>
        <v>Single blind</v>
      </c>
      <c r="M124" s="93" t="str">
        <f ca="1">IFERROR(__xludf.DUMMYFUNCTION("""COMPUTED_VALUE"""),"https://www.elsevier.com/journals/neuroimage/1053-8119/guide-for-authors")</f>
        <v>https://www.elsevier.com/journals/neuroimage/1053-8119/guide-for-authors</v>
      </c>
      <c r="N124" t="str">
        <f ca="1">IFERROR(__xludf.DUMMYFUNCTION("""COMPUTED_VALUE"""),"")</f>
        <v/>
      </c>
      <c r="O124" s="93" t="str">
        <f ca="1">IFERROR(__xludf.DUMMYFUNCTION("""COMPUTED_VALUE"""),"https://www.elsevier.com/reviewers/role#RRP")</f>
        <v>https://www.elsevier.com/reviewers/role#RRP</v>
      </c>
      <c r="P124" t="str">
        <f ca="1">IFERROR(__xludf.DUMMYFUNCTION("""COMPUTED_VALUE"""),"Unsure")</f>
        <v>Unsure</v>
      </c>
      <c r="Q124"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24" s="93" t="str">
        <f ca="1">IFERROR(__xludf.DUMMYFUNCTION("""COMPUTED_VALUE"""),"https://www.elsevier.com/reviewers/what-is-peer-review")</f>
        <v>https://www.elsevier.com/reviewers/what-is-peer-review</v>
      </c>
      <c r="S124" t="str">
        <f ca="1">IFERROR(__xludf.DUMMYFUNCTION("""COMPUTED_VALUE"""),"No")</f>
        <v>No</v>
      </c>
      <c r="T124" t="str">
        <f ca="1">IFERROR(__xludf.DUMMYFUNCTION("""COMPUTED_VALUE"""),"No")</f>
        <v>No</v>
      </c>
      <c r="U124" t="str">
        <f ca="1">IFERROR(__xludf.DUMMYFUNCTION("""COMPUTED_VALUE"""),"No")</f>
        <v>No</v>
      </c>
      <c r="V124" t="str">
        <f ca="1">IFERROR(__xludf.DUMMYFUNCTION("""COMPUTED_VALUE"""),"No")</f>
        <v>No</v>
      </c>
      <c r="W124" t="str">
        <f ca="1">IFERROR(__xludf.DUMMYFUNCTION("""COMPUTED_VALUE"""),"No")</f>
        <v>No</v>
      </c>
      <c r="X124" t="str">
        <f ca="1">IFERROR(__xludf.DUMMYFUNCTION("""COMPUTED_VALUE"""),"No")</f>
        <v>No</v>
      </c>
      <c r="Y124" t="str">
        <f ca="1">IFERROR(__xludf.DUMMYFUNCTION("""COMPUTED_VALUE"""),"No")</f>
        <v>No</v>
      </c>
      <c r="Z124" t="str">
        <f ca="1">IFERROR(__xludf.DUMMYFUNCTION("""COMPUTED_VALUE"""),"No")</f>
        <v>No</v>
      </c>
      <c r="AA124" t="str">
        <f ca="1">IFERROR(__xludf.DUMMYFUNCTION("""COMPUTED_VALUE"""),"")</f>
        <v/>
      </c>
      <c r="AB124"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24" s="93" t="str">
        <f ca="1">IFERROR(__xludf.DUMMYFUNCTION("""COMPUTED_VALUE"""),"https://www.elsevier.com/reviewers/how-to-review")</f>
        <v>https://www.elsevier.com/reviewers/how-to-review</v>
      </c>
      <c r="AD124" t="str">
        <f ca="1">IFERROR(__xludf.DUMMYFUNCTION("""COMPUTED_VALUE"""),"Unsure")</f>
        <v>Unsure</v>
      </c>
      <c r="AE124" t="str">
        <f ca="1">IFERROR(__xludf.DUMMYFUNCTION("""COMPUTED_VALUE"""),"Unsure")</f>
        <v>Unsure</v>
      </c>
      <c r="AF124" t="str">
        <f ca="1">IFERROR(__xludf.DUMMYFUNCTION("""COMPUTED_VALUE"""),"Unsure")</f>
        <v>Unsure</v>
      </c>
      <c r="AG124" s="93" t="str">
        <f ca="1">IFERROR(__xludf.DUMMYFUNCTION("""COMPUTED_VALUE"""),"https://www.elsevier.com/about/policies/sharing")</f>
        <v>https://www.elsevier.com/about/policies/sharing</v>
      </c>
      <c r="AH124" t="str">
        <f ca="1">IFERROR(__xludf.DUMMYFUNCTION("""COMPUTED_VALUE"""),"Unsure")</f>
        <v>Unsure</v>
      </c>
      <c r="AI124"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124" t="str">
        <f ca="1">IFERROR(__xludf.DUMMYFUNCTION("""COMPUTED_VALUE"""),"Unsure")</f>
        <v>Unsure</v>
      </c>
      <c r="AK124" t="str">
        <f ca="1">IFERROR(__xludf.DUMMYFUNCTION("""COMPUTED_VALUE"""),"Unsure")</f>
        <v>Unsure</v>
      </c>
      <c r="AL124" t="str">
        <f ca="1">IFERROR(__xludf.DUMMYFUNCTION("""COMPUTED_VALUE"""),"")</f>
        <v/>
      </c>
      <c r="AM124" t="str">
        <f ca="1">IFERROR(__xludf.DUMMYFUNCTION("""COMPUTED_VALUE"""),"")</f>
        <v/>
      </c>
      <c r="AN124" t="str">
        <f ca="1">IFERROR(__xludf.DUMMYFUNCTION("""COMPUTED_VALUE"""),"")</f>
        <v/>
      </c>
      <c r="AO124" t="str">
        <f ca="1">IFERROR(__xludf.DUMMYFUNCTION("""COMPUTED_VALUE"""),"")</f>
        <v/>
      </c>
      <c r="AP124" t="str">
        <f ca="1">IFERROR(__xludf.DUMMYFUNCTION("""COMPUTED_VALUE"""),"")</f>
        <v/>
      </c>
      <c r="AQ124" t="str">
        <f ca="1">IFERROR(__xludf.DUMMYFUNCTION("""COMPUTED_VALUE"""),"")</f>
        <v/>
      </c>
      <c r="AR124" t="str">
        <f ca="1">IFERROR(__xludf.DUMMYFUNCTION("""COMPUTED_VALUE"""),"")</f>
        <v/>
      </c>
    </row>
    <row r="125" spans="1:44" ht="13">
      <c r="A125" t="str">
        <f ca="1">IFERROR(__xludf.DUMMYFUNCTION("""COMPUTED_VALUE"""),"GSM")</f>
        <v>GSM</v>
      </c>
      <c r="B125" s="41">
        <f ca="1">IFERROR(__xludf.DUMMYFUNCTION("""COMPUTED_VALUE"""),43114)</f>
        <v>43114</v>
      </c>
      <c r="C125" t="str">
        <f ca="1">IFERROR(__xludf.DUMMYFUNCTION("""COMPUTED_VALUE"""),"JP")</f>
        <v>JP</v>
      </c>
      <c r="D125" s="28">
        <f ca="1">IFERROR(__xludf.DUMMYFUNCTION("""COMPUTED_VALUE"""),43572)</f>
        <v>43572</v>
      </c>
      <c r="E125" t="str">
        <f ca="1">IFERROR(__xludf.DUMMYFUNCTION("""COMPUTED_VALUE"""),"TRH")</f>
        <v>TRH</v>
      </c>
      <c r="F125" s="28">
        <f ca="1">IFERROR(__xludf.DUMMYFUNCTION("""COMPUTED_VALUE"""),43583)</f>
        <v>43583</v>
      </c>
      <c r="G125" t="str">
        <f ca="1">IFERROR(__xludf.DUMMYFUNCTION("""COMPUTED_VALUE"""),"")</f>
        <v/>
      </c>
      <c r="H125" t="str">
        <f ca="1">IFERROR(__xludf.DUMMYFUNCTION("""COMPUTED_VALUE"""),"1097-4199")</f>
        <v>1097-4199</v>
      </c>
      <c r="I125" t="str">
        <f ca="1">IFERROR(__xludf.DUMMYFUNCTION("""COMPUTED_VALUE"""),"Neuron")</f>
        <v>Neuron</v>
      </c>
      <c r="J125" t="str">
        <f ca="1">IFERROR(__xludf.DUMMYFUNCTION("""COMPUTED_VALUE"""),"Health &amp; Medical Sciences,
Life Sciences &amp; Earth Sciences")</f>
        <v>Health &amp; Medical Sciences,
Life Sciences &amp; Earth Sciences</v>
      </c>
      <c r="K125" t="str">
        <f ca="1">IFERROR(__xludf.DUMMYFUNCTION("""COMPUTED_VALUE"""),"Cell Press")</f>
        <v>Cell Press</v>
      </c>
      <c r="L125" t="str">
        <f ca="1">IFERROR(__xludf.DUMMYFUNCTION("""COMPUTED_VALUE"""),"Single blind")</f>
        <v>Single blind</v>
      </c>
      <c r="M125" s="93" t="str">
        <f ca="1">IFERROR(__xludf.DUMMYFUNCTION("""COMPUTED_VALUE"""),"https://www.cell.com/reviewers")</f>
        <v>https://www.cell.com/reviewers</v>
      </c>
      <c r="N125" t="str">
        <f ca="1">IFERROR(__xludf.DUMMYFUNCTION("""COMPUTED_VALUE"""),"")</f>
        <v/>
      </c>
      <c r="O125" t="str">
        <f ca="1">IFERROR(__xludf.DUMMYFUNCTION("""COMPUTED_VALUE"""),"")</f>
        <v/>
      </c>
      <c r="P125" t="str">
        <f ca="1">IFERROR(__xludf.DUMMYFUNCTION("""COMPUTED_VALUE"""),"Unsure")</f>
        <v>Unsure</v>
      </c>
      <c r="Q125" t="str">
        <f ca="1">IFERROR(__xludf.DUMMYFUNCTION("""COMPUTED_VALUE"""),"Transfer of Papers between Cell Press Journals
 We know it can be time consuming to serially submit your paper to multiple journals, restarting the review process each time. Cell Press publishes many journals, and we give you the opportunity to transfer y"&amp;"our paper, along with the reviews and the reviewers' identities, from one journal to another. If you have questions about the suitability of your paper for transfer, please contact the editor of the receiving journal. If you have general questions about t"&amp;"he transfer process, please refer to our FAQs on article transfers. Often, the Editor of the target journal will be able to reach a decision based on the existing reviews. Occasionally, the Editor may seek comments from additional reviewers. If you transf"&amp;"er your paper using our online system, you will have a chance to edit your files before they are sent to the receiving journal. You can always submit your paper to another Cell Press journal without mentioning the first review process. In this case, the m"&amp;"anuscript will be evaluated as a regular new submission.")</f>
        <v>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R125" s="93" t="str">
        <f ca="1">IFERROR(__xludf.DUMMYFUNCTION("""COMPUTED_VALUE"""),"https://www.cell.com/neuron/authors")</f>
        <v>https://www.cell.com/neuron/authors</v>
      </c>
      <c r="S125" t="str">
        <f ca="1">IFERROR(__xludf.DUMMYFUNCTION("""COMPUTED_VALUE"""),"Not specified")</f>
        <v>Not specified</v>
      </c>
      <c r="T125" t="str">
        <f ca="1">IFERROR(__xludf.DUMMYFUNCTION("""COMPUTED_VALUE"""),"Not specified")</f>
        <v>Not specified</v>
      </c>
      <c r="U125" t="str">
        <f ca="1">IFERROR(__xludf.DUMMYFUNCTION("""COMPUTED_VALUE"""),"Not specified")</f>
        <v>Not specified</v>
      </c>
      <c r="V125" t="str">
        <f ca="1">IFERROR(__xludf.DUMMYFUNCTION("""COMPUTED_VALUE"""),"Not specified")</f>
        <v>Not specified</v>
      </c>
      <c r="W125" t="str">
        <f ca="1">IFERROR(__xludf.DUMMYFUNCTION("""COMPUTED_VALUE"""),"Not specified")</f>
        <v>Not specified</v>
      </c>
      <c r="X125" t="str">
        <f ca="1">IFERROR(__xludf.DUMMYFUNCTION("""COMPUTED_VALUE"""),"No")</f>
        <v>No</v>
      </c>
      <c r="Y125" t="str">
        <f ca="1">IFERROR(__xludf.DUMMYFUNCTION("""COMPUTED_VALUE"""),"Not specified")</f>
        <v>Not specified</v>
      </c>
      <c r="Z125" t="str">
        <f ca="1">IFERROR(__xludf.DUMMYFUNCTION("""COMPUTED_VALUE"""),"Not specified")</f>
        <v>Not specified</v>
      </c>
      <c r="AA125" t="str">
        <f ca="1">IFERROR(__xludf.DUMMYFUNCTION("""COMPUTED_VALUE"""),"")</f>
        <v/>
      </c>
      <c r="AB125" t="str">
        <f ca="1">IFERROR(__xludf.DUMMYFUNCTION("""COMPUTED_VALUE"""),"In some instances, reviewers may feel that it would be helpful to obtain additional advice from a colleague. In such cases, we ask that the reviewer contact the editor in advance to ensure that the editor has the opportunity to take additional information"&amp;" into account before permitting communications that have the potential to violate confidentiality. It is not appropriate to discuss unpublished manuscripts at laboratory meetings or journal clubs. Reviewers can collaborate with trainees (graduate students"&amp;" and post-docs) in the evaluation of manuscripts, and we appreciate that such collaboration functions as an important training exercise. However, we ask that reviewers keep the number of collaborators to a minimum and include the identities of all the ind"&amp;"ividuals involved in the “comments to the editors” component of their review. Regardless, the person originally invited to review the manuscript is ultimately responsible for maintaining confidentiality and for the content and accuracy of the report. We e"&amp;"ncourage referees to inform collaborating reviewers about appropriate guidelines and ethics for peer review, as outlined in this document.")</f>
        <v>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C125" s="93" t="str">
        <f ca="1">IFERROR(__xludf.DUMMYFUNCTION("""COMPUTED_VALUE"""),"https://www.cell.com/reviewers")</f>
        <v>https://www.cell.com/reviewers</v>
      </c>
      <c r="AD125" t="str">
        <f ca="1">IFERROR(__xludf.DUMMYFUNCTION("""COMPUTED_VALUE"""),"Yes")</f>
        <v>Yes</v>
      </c>
      <c r="AE125" t="str">
        <f ca="1">IFERROR(__xludf.DUMMYFUNCTION("""COMPUTED_VALUE"""),"Unsure")</f>
        <v>Unsure</v>
      </c>
      <c r="AF125" t="str">
        <f ca="1">IFERROR(__xludf.DUMMYFUNCTION("""COMPUTED_VALUE"""),"Unsure")</f>
        <v>Unsure</v>
      </c>
      <c r="AG125" s="93" t="str">
        <f ca="1">IFERROR(__xludf.DUMMYFUNCTION("""COMPUTED_VALUE"""),"https://www.cell.com/neuron/authors")</f>
        <v>https://www.cell.com/neuron/authors</v>
      </c>
      <c r="AH125" t="str">
        <f ca="1">IFERROR(__xludf.DUMMYFUNCTION("""COMPUTED_VALUE"""),"First submission only (before peer review)")</f>
        <v>First submission only (before peer review)</v>
      </c>
      <c r="AI125" t="str">
        <f ca="1">IFERROR(__xludf.DUMMYFUNCTION("""COMPUTED_VALUE"""),"Preprint Servers
 We will consider papers previously posted on preprint servers like arXiv, bioRxiv, BioRN, ChemRxiv, or ChemRN. We are very interested to hear from researchers about their motivations for posting and to discuss with them whether it is the"&amp;" best approach for their paper, so we strongly encourage authors who are planning to submit to us to contact the editors first to discuss their specific paper and situation. This policy only applies to the original submitted version of the paper; we do no"&amp;"t support posting of revisions that respond to editorial input and peer review or posting of the final published version to preprint servers. Also, our prepublication publicity policies with regard to coverage in the broader media still apply to studies p"&amp;"osted on preprint servers. For more information about preprint servers and the discussions related to them, please see this blog post.")</f>
        <v>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AJ125" t="str">
        <f ca="1">IFERROR(__xludf.DUMMYFUNCTION("""COMPUTED_VALUE"""),"Not specified")</f>
        <v>Not specified</v>
      </c>
      <c r="AK125" t="str">
        <f ca="1">IFERROR(__xludf.DUMMYFUNCTION("""COMPUTED_VALUE"""),"Unsure")</f>
        <v>Unsure</v>
      </c>
      <c r="AL125" s="93" t="str">
        <f ca="1">IFERROR(__xludf.DUMMYFUNCTION("""COMPUTED_VALUE"""),"our prepublication publicity policies with regard to coverage in the broader media still apply to studies posted on preprint servers.")</f>
        <v>our prepublication publicity policies with regard to coverage in the broader media still apply to studies posted on preprint servers.</v>
      </c>
      <c r="AM125" t="str">
        <f ca="1">IFERROR(__xludf.DUMMYFUNCTION("""COMPUTED_VALUE"""),"Not specified")</f>
        <v>Not specified</v>
      </c>
      <c r="AN125" t="str">
        <f ca="1">IFERROR(__xludf.DUMMYFUNCTION("""COMPUTED_VALUE"""),"")</f>
        <v/>
      </c>
      <c r="AO125" t="str">
        <f ca="1">IFERROR(__xludf.DUMMYFUNCTION("""COMPUTED_VALUE"""),"")</f>
        <v/>
      </c>
      <c r="AP125" t="str">
        <f ca="1">IFERROR(__xludf.DUMMYFUNCTION("""COMPUTED_VALUE"""),"")</f>
        <v/>
      </c>
      <c r="AQ125" t="str">
        <f ca="1">IFERROR(__xludf.DUMMYFUNCTION("""COMPUTED_VALUE"""),"")</f>
        <v/>
      </c>
      <c r="AR125" t="str">
        <f ca="1">IFERROR(__xludf.DUMMYFUNCTION("""COMPUTED_VALUE"""),"")</f>
        <v/>
      </c>
    </row>
    <row r="126" spans="1:44" ht="13">
      <c r="A126" t="str">
        <f ca="1">IFERROR(__xludf.DUMMYFUNCTION("""COMPUTED_VALUE"""),"GSM")</f>
        <v>GSM</v>
      </c>
      <c r="B126" s="41">
        <f ca="1">IFERROR(__xludf.DUMMYFUNCTION("""COMPUTED_VALUE"""),43114)</f>
        <v>43114</v>
      </c>
      <c r="C126" t="str">
        <f ca="1">IFERROR(__xludf.DUMMYFUNCTION("""COMPUTED_VALUE"""),"TRH")</f>
        <v>TRH</v>
      </c>
      <c r="D126" s="28">
        <f ca="1">IFERROR(__xludf.DUMMYFUNCTION("""COMPUTED_VALUE"""),43576)</f>
        <v>43576</v>
      </c>
      <c r="E126" t="str">
        <f ca="1">IFERROR(__xludf.DUMMYFUNCTION("""COMPUTED_VALUE"""),"JP")</f>
        <v>JP</v>
      </c>
      <c r="F126" s="28">
        <f ca="1">IFERROR(__xludf.DUMMYFUNCTION("""COMPUTED_VALUE"""),43581)</f>
        <v>43581</v>
      </c>
      <c r="G126" t="str">
        <f ca="1">IFERROR(__xludf.DUMMYFUNCTION("""COMPUTED_VALUE"""),"Since notice says transfer policy only applies to medicine/life sci, I am leaving blank. [OK - trh]")</f>
        <v>Since notice says transfer policy only applies to medicine/life sci, I am leaving blank. [OK - trh]</v>
      </c>
      <c r="H126" t="str">
        <f ca="1">IFERROR(__xludf.DUMMYFUNCTION("""COMPUTED_VALUE"""),"1461-7315")</f>
        <v>1461-7315</v>
      </c>
      <c r="I126" t="str">
        <f ca="1">IFERROR(__xludf.DUMMYFUNCTION("""COMPUTED_VALUE"""),"New Media and Society")</f>
        <v>New Media and Society</v>
      </c>
      <c r="J126" t="str">
        <f ca="1">IFERROR(__xludf.DUMMYFUNCTION("""COMPUTED_VALUE"""),"Social Sciences")</f>
        <v>Social Sciences</v>
      </c>
      <c r="K126" t="str">
        <f ca="1">IFERROR(__xludf.DUMMYFUNCTION("""COMPUTED_VALUE"""),"SAGE")</f>
        <v>SAGE</v>
      </c>
      <c r="L126" t="str">
        <f ca="1">IFERROR(__xludf.DUMMYFUNCTION("""COMPUTED_VALUE"""),"Double blind")</f>
        <v>Double blind</v>
      </c>
      <c r="M126" s="93" t="str">
        <f ca="1">IFERROR(__xludf.DUMMYFUNCTION("""COMPUTED_VALUE"""),"https://us.sagepub.com/en-us/nam/journal/new-media-society#PeerReviewPolicy")</f>
        <v>https://us.sagepub.com/en-us/nam/journal/new-media-society#PeerReviewPolicy</v>
      </c>
      <c r="N126" t="str">
        <f ca="1">IFERROR(__xludf.DUMMYFUNCTION("""COMPUTED_VALUE"""),"")</f>
        <v/>
      </c>
      <c r="O126" t="str">
        <f ca="1">IFERROR(__xludf.DUMMYFUNCTION("""COMPUTED_VALUE"""),"")</f>
        <v/>
      </c>
      <c r="P126" t="str">
        <f ca="1">IFERROR(__xludf.DUMMYFUNCTION("""COMPUTED_VALUE"""),"Unsure")</f>
        <v>Unsure</v>
      </c>
      <c r="Q126" t="str">
        <f ca="1">IFERROR(__xludf.DUMMYFUNCTION("""COMPUTED_VALUE"""),"")</f>
        <v/>
      </c>
      <c r="R126" t="str">
        <f ca="1">IFERROR(__xludf.DUMMYFUNCTION("""COMPUTED_VALUE"""),"")</f>
        <v/>
      </c>
      <c r="S126" t="str">
        <f ca="1">IFERROR(__xludf.DUMMYFUNCTION("""COMPUTED_VALUE"""),"Not specified")</f>
        <v>Not specified</v>
      </c>
      <c r="T126" t="str">
        <f ca="1">IFERROR(__xludf.DUMMYFUNCTION("""COMPUTED_VALUE"""),"Not specified")</f>
        <v>Not specified</v>
      </c>
      <c r="U126" t="str">
        <f ca="1">IFERROR(__xludf.DUMMYFUNCTION("""COMPUTED_VALUE"""),"Not specified")</f>
        <v>Not specified</v>
      </c>
      <c r="V126" t="str">
        <f ca="1">IFERROR(__xludf.DUMMYFUNCTION("""COMPUTED_VALUE"""),"Not specified")</f>
        <v>Not specified</v>
      </c>
      <c r="W126" t="str">
        <f ca="1">IFERROR(__xludf.DUMMYFUNCTION("""COMPUTED_VALUE"""),"Not specified")</f>
        <v>Not specified</v>
      </c>
      <c r="X126" t="str">
        <f ca="1">IFERROR(__xludf.DUMMYFUNCTION("""COMPUTED_VALUE"""),"No")</f>
        <v>No</v>
      </c>
      <c r="Y126" t="str">
        <f ca="1">IFERROR(__xludf.DUMMYFUNCTION("""COMPUTED_VALUE"""),"Not specified")</f>
        <v>Not specified</v>
      </c>
      <c r="Z126" t="str">
        <f ca="1">IFERROR(__xludf.DUMMYFUNCTION("""COMPUTED_VALUE"""),"Not specified")</f>
        <v>Not specified</v>
      </c>
      <c r="AA126" t="str">
        <f ca="1">IFERROR(__xludf.DUMMYFUNCTION("""COMPUTED_VALUE"""),"")</f>
        <v/>
      </c>
      <c r="AB126" t="str">
        <f ca="1">IFERROR(__xludf.DUMMYFUNCTION("""COMPUTED_VALUE"""),"")</f>
        <v/>
      </c>
      <c r="AC126" t="str">
        <f ca="1">IFERROR(__xludf.DUMMYFUNCTION("""COMPUTED_VALUE"""),"")</f>
        <v/>
      </c>
      <c r="AD126" t="str">
        <f ca="1">IFERROR(__xludf.DUMMYFUNCTION("""COMPUTED_VALUE"""),"Unsure")</f>
        <v>Unsure</v>
      </c>
      <c r="AE126" t="str">
        <f ca="1">IFERROR(__xludf.DUMMYFUNCTION("""COMPUTED_VALUE"""),"Unsure")</f>
        <v>Unsure</v>
      </c>
      <c r="AF126" t="str">
        <f ca="1">IFERROR(__xludf.DUMMYFUNCTION("""COMPUTED_VALUE"""),"Unsure")</f>
        <v>Unsure</v>
      </c>
      <c r="AG126" t="str">
        <f ca="1">IFERROR(__xludf.DUMMYFUNCTION("""COMPUTED_VALUE"""),"")</f>
        <v/>
      </c>
      <c r="AH126" t="str">
        <f ca="1">IFERROR(__xludf.DUMMYFUNCTION("""COMPUTED_VALUE"""),"Other: No preprint policy is stated, but links to the general Sage guidelines - """"If material has been previously published it is not generally acceptable for publication in a SAGE journal. However, there are certain circumstances where previously publi"&amp;"shed material can be considered for publication. Please refer to the guidance on the SAGE Author Gateway ... Following are examples of prior distribution that may be acceptable: Working papers or versions of the paper posted on a preprint server or a scho"&amp;"larly collaboration network (SCN) SAGE supports the early dissemination of research through preprints (the pre-peer review version of the paper, also referenced as a “working paper”), including through SAGE’s own preprint platform, Advance, and other prep"&amp;"rint platforms and SCNs, such as bioRxiV, preprints.org, ResearchGate and Academia.edu. Working papers are generally eligible for publication in a SAGE journal, subject to the policy in place for each journal."""" - so it may be that preprints are allowed"&amp;", but by no means certain for this journal")</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AI126" t="str">
        <f ca="1">IFERROR(__xludf.DUMMYFUNCTION("""COMPUTED_VALUE"""),"")</f>
        <v/>
      </c>
      <c r="AJ126" t="str">
        <f ca="1">IFERROR(__xludf.DUMMYFUNCTION("""COMPUTED_VALUE"""),"Not specified")</f>
        <v>Not specified</v>
      </c>
      <c r="AK126" t="str">
        <f ca="1">IFERROR(__xludf.DUMMYFUNCTION("""COMPUTED_VALUE"""),"Unsure")</f>
        <v>Unsure</v>
      </c>
      <c r="AL126" t="str">
        <f ca="1">IFERROR(__xludf.DUMMYFUNCTION("""COMPUTED_VALUE"""),"")</f>
        <v/>
      </c>
      <c r="AM126" t="str">
        <f ca="1">IFERROR(__xludf.DUMMYFUNCTION("""COMPUTED_VALUE"""),"")</f>
        <v/>
      </c>
      <c r="AN126" t="str">
        <f ca="1">IFERROR(__xludf.DUMMYFUNCTION("""COMPUTED_VALUE"""),"")</f>
        <v/>
      </c>
      <c r="AO126" t="str">
        <f ca="1">IFERROR(__xludf.DUMMYFUNCTION("""COMPUTED_VALUE"""),"")</f>
        <v/>
      </c>
      <c r="AP126" t="str">
        <f ca="1">IFERROR(__xludf.DUMMYFUNCTION("""COMPUTED_VALUE"""),"")</f>
        <v/>
      </c>
      <c r="AQ126" t="str">
        <f ca="1">IFERROR(__xludf.DUMMYFUNCTION("""COMPUTED_VALUE"""),"")</f>
        <v/>
      </c>
      <c r="AR126" t="str">
        <f ca="1">IFERROR(__xludf.DUMMYFUNCTION("""COMPUTED_VALUE"""),"")</f>
        <v/>
      </c>
    </row>
    <row r="127" spans="1:44" ht="13">
      <c r="A127" t="str">
        <f ca="1">IFERROR(__xludf.DUMMYFUNCTION("""COMPUTED_VALUE"""),"GSM")</f>
        <v>GSM</v>
      </c>
      <c r="B127" s="41">
        <f ca="1">IFERROR(__xludf.DUMMYFUNCTION("""COMPUTED_VALUE"""),43114)</f>
        <v>43114</v>
      </c>
      <c r="C127" t="str">
        <f ca="1">IFERROR(__xludf.DUMMYFUNCTION("""COMPUTED_VALUE"""),"TRH")</f>
        <v>TRH</v>
      </c>
      <c r="D127" s="28">
        <f ca="1">IFERROR(__xludf.DUMMYFUNCTION("""COMPUTED_VALUE"""),43576)</f>
        <v>43576</v>
      </c>
      <c r="E127" t="str">
        <f ca="1">IFERROR(__xludf.DUMMYFUNCTION("""COMPUTED_VALUE"""),"JP")</f>
        <v>JP</v>
      </c>
      <c r="F127" s="28">
        <f ca="1">IFERROR(__xludf.DUMMYFUNCTION("""COMPUTED_VALUE"""),43581)</f>
        <v>43581</v>
      </c>
      <c r="G127" t="str">
        <f ca="1">IFERROR(__xludf.DUMMYFUNCTION("""COMPUTED_VALUE"""),"")</f>
        <v/>
      </c>
      <c r="H127" t="str">
        <f ca="1">IFERROR(__xludf.DUMMYFUNCTION("""COMPUTED_VALUE"""),"1468-0068")</f>
        <v>1468-0068</v>
      </c>
      <c r="I127" t="str">
        <f ca="1">IFERROR(__xludf.DUMMYFUNCTION("""COMPUTED_VALUE"""),"Noûs")</f>
        <v>Noûs</v>
      </c>
      <c r="J127" t="str">
        <f ca="1">IFERROR(__xludf.DUMMYFUNCTION("""COMPUTED_VALUE"""),"Social Sciences, Humanities, Literature &amp; Arts")</f>
        <v>Social Sciences, Humanities, Literature &amp; Arts</v>
      </c>
      <c r="K127" t="str">
        <f ca="1">IFERROR(__xludf.DUMMYFUNCTION("""COMPUTED_VALUE"""),"Wiley")</f>
        <v>Wiley</v>
      </c>
      <c r="L127" t="str">
        <f ca="1">IFERROR(__xludf.DUMMYFUNCTION("""COMPUTED_VALUE"""),"Other (Triple blind)")</f>
        <v>Other (Triple blind)</v>
      </c>
      <c r="M127" s="93" t="str">
        <f ca="1">IFERROR(__xludf.DUMMYFUNCTION("""COMPUTED_VALUE"""),"https://onlinelibrary.wiley.com/page/journal/14680068/homepage/forauthors.html")</f>
        <v>https://onlinelibrary.wiley.com/page/journal/14680068/homepage/forauthors.html</v>
      </c>
      <c r="N127" t="str">
        <f ca="1">IFERROR(__xludf.DUMMYFUNCTION("""COMPUTED_VALUE"""),"")</f>
        <v/>
      </c>
      <c r="O127" s="93" t="str">
        <f ca="1">IFERROR(__xludf.DUMMYFUNCTION("""COMPUTED_VALUE"""),"https://authorservices.wiley.com/Reviewers/journal-reviewers/recognition-for-reviewers/index.html")</f>
        <v>https://authorservices.wiley.com/Reviewers/journal-reviewers/recognition-for-reviewers/index.html</v>
      </c>
      <c r="P127" t="str">
        <f ca="1">IFERROR(__xludf.DUMMYFUNCTION("""COMPUTED_VALUE"""),"Yes")</f>
        <v>Yes</v>
      </c>
      <c r="Q127" t="str">
        <f ca="1">IFERROR(__xludf.DUMMYFUNCTION("""COMPUTED_VALUE"""),"")</f>
        <v/>
      </c>
      <c r="R127" t="str">
        <f ca="1">IFERROR(__xludf.DUMMYFUNCTION("""COMPUTED_VALUE"""),"")</f>
        <v/>
      </c>
      <c r="S127" t="str">
        <f ca="1">IFERROR(__xludf.DUMMYFUNCTION("""COMPUTED_VALUE"""),"Not specified")</f>
        <v>Not specified</v>
      </c>
      <c r="T127" t="str">
        <f ca="1">IFERROR(__xludf.DUMMYFUNCTION("""COMPUTED_VALUE"""),"Not specified")</f>
        <v>Not specified</v>
      </c>
      <c r="U127" t="str">
        <f ca="1">IFERROR(__xludf.DUMMYFUNCTION("""COMPUTED_VALUE"""),"Not specified")</f>
        <v>Not specified</v>
      </c>
      <c r="V127" t="str">
        <f ca="1">IFERROR(__xludf.DUMMYFUNCTION("""COMPUTED_VALUE"""),"Not specified")</f>
        <v>Not specified</v>
      </c>
      <c r="W127" t="str">
        <f ca="1">IFERROR(__xludf.DUMMYFUNCTION("""COMPUTED_VALUE"""),"Not specified")</f>
        <v>Not specified</v>
      </c>
      <c r="X127" t="str">
        <f ca="1">IFERROR(__xludf.DUMMYFUNCTION("""COMPUTED_VALUE"""),"No")</f>
        <v>No</v>
      </c>
      <c r="Y127" t="str">
        <f ca="1">IFERROR(__xludf.DUMMYFUNCTION("""COMPUTED_VALUE"""),"Not specified")</f>
        <v>Not specified</v>
      </c>
      <c r="Z127" t="str">
        <f ca="1">IFERROR(__xludf.DUMMYFUNCTION("""COMPUTED_VALUE"""),"Not specified")</f>
        <v>Not specified</v>
      </c>
      <c r="AA127" t="str">
        <f ca="1">IFERROR(__xludf.DUMMYFUNCTION("""COMPUTED_VALUE"""),"")</f>
        <v/>
      </c>
      <c r="AB127" t="str">
        <f ca="1">IFERROR(__xludf.DUMMYFUNCTION("""COMPUTED_VALUE"""),"Confidentiality: Respect the confidentiality of the peer review process and refrain from using information obtained during the peer review process for your own or another’s advantage, or to disadvantage or discredit others (e.g. see COPE Case 14-06: Possi"&amp;"ble breach of reviewer confidentiality). Do not involve anyone else in the review of a manuscript (including early career researchers you are mentoring), without first obtaining permission from the journal (e.g. see COPE Case 11-29: Reviewer asks trainee "&amp;"to review manuscript). The names of any individuals who have helped with the review should be included so that they are associated with the manuscript in the journal’s records and can also receive due recognition for their efforts.")</f>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AC127" s="93" t="str">
        <f ca="1">IFERROR(__xludf.DUMMYFUNCTION("""COMPUTED_VALUE"""),"https://authorservices.wiley.com/Reviewers/journal-reviewers/how-to-perform-a-peer-review/general-and-ethical-guidelines.html")</f>
        <v>https://authorservices.wiley.com/Reviewers/journal-reviewers/how-to-perform-a-peer-review/general-and-ethical-guidelines.html</v>
      </c>
      <c r="AD127" t="str">
        <f ca="1">IFERROR(__xludf.DUMMYFUNCTION("""COMPUTED_VALUE"""),"Yes")</f>
        <v>Yes</v>
      </c>
      <c r="AE127" t="str">
        <f ca="1">IFERROR(__xludf.DUMMYFUNCTION("""COMPUTED_VALUE"""),"Unsure")</f>
        <v>Unsure</v>
      </c>
      <c r="AF127" t="str">
        <f ca="1">IFERROR(__xludf.DUMMYFUNCTION("""COMPUTED_VALUE"""),"Yes")</f>
        <v>Yes</v>
      </c>
      <c r="AG127" s="93" t="str">
        <f ca="1">IFERROR(__xludf.DUMMYFUNCTION("""COMPUTED_VALUE"""),"https://authorservices.wiley.com/author-resources/Journal-Authors/open-access/preprints-policy.html")</f>
        <v>https://authorservices.wiley.com/author-resources/Journal-Authors/open-access/preprints-policy.html</v>
      </c>
      <c r="AH127" t="str">
        <f ca="1">IFERROR(__xludf.DUMMYFUNCTION("""COMPUTED_VALUE"""),"First submission only (before peer review)")</f>
        <v>First submission only (before peer review)</v>
      </c>
      <c r="AI127" t="str">
        <f ca="1">IFERROR(__xludf.DUMMYFUNCTION("""COMPUTED_VALUE"""),"[Journal] will consider for review articles previously available as preprints on non-commercial servers. Authors may also post the submitted version of a manuscript to non-commercial servers at any time. Authors are requested to update any pre-publication"&amp;" versions with a link to the final published article.")</f>
        <v>[Journal]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v>
      </c>
      <c r="AJ127" t="str">
        <f ca="1">IFERROR(__xludf.DUMMYFUNCTION("""COMPUTED_VALUE"""),"Yes, in the reference list")</f>
        <v>Yes, in the reference list</v>
      </c>
      <c r="AK127" t="str">
        <f ca="1">IFERROR(__xludf.DUMMYFUNCTION("""COMPUTED_VALUE"""),"Yes")</f>
        <v>Yes</v>
      </c>
      <c r="AL127" t="str">
        <f ca="1">IFERROR(__xludf.DUMMYFUNCTION("""COMPUTED_VALUE"""),"")</f>
        <v/>
      </c>
      <c r="AM127" t="str">
        <f ca="1">IFERROR(__xludf.DUMMYFUNCTION("""COMPUTED_VALUE"""),"")</f>
        <v/>
      </c>
      <c r="AN127" t="str">
        <f ca="1">IFERROR(__xludf.DUMMYFUNCTION("""COMPUTED_VALUE"""),"")</f>
        <v/>
      </c>
      <c r="AO127" t="str">
        <f ca="1">IFERROR(__xludf.DUMMYFUNCTION("""COMPUTED_VALUE"""),"")</f>
        <v/>
      </c>
      <c r="AP127" t="str">
        <f ca="1">IFERROR(__xludf.DUMMYFUNCTION("""COMPUTED_VALUE"""),"")</f>
        <v/>
      </c>
      <c r="AQ127" t="str">
        <f ca="1">IFERROR(__xludf.DUMMYFUNCTION("""COMPUTED_VALUE"""),"")</f>
        <v/>
      </c>
      <c r="AR127" t="str">
        <f ca="1">IFERROR(__xludf.DUMMYFUNCTION("""COMPUTED_VALUE"""),"")</f>
        <v/>
      </c>
    </row>
    <row r="128" spans="1:44" ht="13">
      <c r="A128" t="str">
        <f ca="1">IFERROR(__xludf.DUMMYFUNCTION("""COMPUTED_VALUE"""),"GSM")</f>
        <v>GSM</v>
      </c>
      <c r="B128" s="41">
        <f ca="1">IFERROR(__xludf.DUMMYFUNCTION("""COMPUTED_VALUE"""),43114)</f>
        <v>43114</v>
      </c>
      <c r="C128" t="str">
        <f ca="1">IFERROR(__xludf.DUMMYFUNCTION("""COMPUTED_VALUE"""),"TRH")</f>
        <v>TRH</v>
      </c>
      <c r="D128" s="28">
        <f ca="1">IFERROR(__xludf.DUMMYFUNCTION("""COMPUTED_VALUE"""),43576)</f>
        <v>43576</v>
      </c>
      <c r="E128" t="str">
        <f ca="1">IFERROR(__xludf.DUMMYFUNCTION("""COMPUTED_VALUE"""),"JP")</f>
        <v>JP</v>
      </c>
      <c r="F128" s="28">
        <f ca="1">IFERROR(__xludf.DUMMYFUNCTION("""COMPUTED_VALUE"""),43581)</f>
        <v>43581</v>
      </c>
      <c r="G128" t="str">
        <f ca="1">IFERROR(__xludf.DUMMYFUNCTION("""COMPUTED_VALUE"""),"")</f>
        <v/>
      </c>
      <c r="H128" t="str">
        <f ca="1">IFERROR(__xludf.DUMMYFUNCTION("""COMPUTED_VALUE"""),"1362-4962")</f>
        <v>1362-4962</v>
      </c>
      <c r="I128" t="str">
        <f ca="1">IFERROR(__xludf.DUMMYFUNCTION("""COMPUTED_VALUE"""),"Nucleic Acids Research")</f>
        <v>Nucleic Acids Research</v>
      </c>
      <c r="J128" t="str">
        <f ca="1">IFERROR(__xludf.DUMMYFUNCTION("""COMPUTED_VALUE"""),"Life Sciences &amp; Earth Sciences")</f>
        <v>Life Sciences &amp; Earth Sciences</v>
      </c>
      <c r="K128" t="str">
        <f ca="1">IFERROR(__xludf.DUMMYFUNCTION("""COMPUTED_VALUE"""),"Oxford University Press")</f>
        <v>Oxford University Press</v>
      </c>
      <c r="L128" t="str">
        <f ca="1">IFERROR(__xludf.DUMMYFUNCTION("""COMPUTED_VALUE"""),"Unsure")</f>
        <v>Unsure</v>
      </c>
      <c r="M128" t="str">
        <f ca="1">IFERROR(__xludf.DUMMYFUNCTION("""COMPUTED_VALUE"""),"")</f>
        <v/>
      </c>
      <c r="N128" t="str">
        <f ca="1">IFERROR(__xludf.DUMMYFUNCTION("""COMPUTED_VALUE"""),"")</f>
        <v/>
      </c>
      <c r="O128" t="str">
        <f ca="1">IFERROR(__xludf.DUMMYFUNCTION("""COMPUTED_VALUE"""),"")</f>
        <v/>
      </c>
      <c r="P128" t="str">
        <f ca="1">IFERROR(__xludf.DUMMYFUNCTION("""COMPUTED_VALUE"""),"Unsure")</f>
        <v>Unsure</v>
      </c>
      <c r="Q128" t="str">
        <f ca="1">IFERROR(__xludf.DUMMYFUNCTION("""COMPUTED_VALUE"""),"")</f>
        <v/>
      </c>
      <c r="R128" t="str">
        <f ca="1">IFERROR(__xludf.DUMMYFUNCTION("""COMPUTED_VALUE"""),"")</f>
        <v/>
      </c>
      <c r="S128" t="str">
        <f ca="1">IFERROR(__xludf.DUMMYFUNCTION("""COMPUTED_VALUE"""),"Not specified")</f>
        <v>Not specified</v>
      </c>
      <c r="T128" t="str">
        <f ca="1">IFERROR(__xludf.DUMMYFUNCTION("""COMPUTED_VALUE"""),"Not specified")</f>
        <v>Not specified</v>
      </c>
      <c r="U128" t="str">
        <f ca="1">IFERROR(__xludf.DUMMYFUNCTION("""COMPUTED_VALUE"""),"Not specified")</f>
        <v>Not specified</v>
      </c>
      <c r="V128" t="str">
        <f ca="1">IFERROR(__xludf.DUMMYFUNCTION("""COMPUTED_VALUE"""),"Not specified")</f>
        <v>Not specified</v>
      </c>
      <c r="W128" t="str">
        <f ca="1">IFERROR(__xludf.DUMMYFUNCTION("""COMPUTED_VALUE"""),"Not specified")</f>
        <v>Not specified</v>
      </c>
      <c r="X128" t="str">
        <f ca="1">IFERROR(__xludf.DUMMYFUNCTION("""COMPUTED_VALUE"""),"Not specified")</f>
        <v>Not specified</v>
      </c>
      <c r="Y128" t="str">
        <f ca="1">IFERROR(__xludf.DUMMYFUNCTION("""COMPUTED_VALUE"""),"Not specified")</f>
        <v>Not specified</v>
      </c>
      <c r="Z128" t="str">
        <f ca="1">IFERROR(__xludf.DUMMYFUNCTION("""COMPUTED_VALUE"""),"Not specified")</f>
        <v>Not specified</v>
      </c>
      <c r="AA128" t="str">
        <f ca="1">IFERROR(__xludf.DUMMYFUNCTION("""COMPUTED_VALUE"""),"")</f>
        <v/>
      </c>
      <c r="AB128" t="str">
        <f ca="1">IFERROR(__xludf.DUMMYFUNCTION("""COMPUTED_VALUE"""),"")</f>
        <v/>
      </c>
      <c r="AC128" t="str">
        <f ca="1">IFERROR(__xludf.DUMMYFUNCTION("""COMPUTED_VALUE"""),"")</f>
        <v/>
      </c>
      <c r="AD128" t="str">
        <f ca="1">IFERROR(__xludf.DUMMYFUNCTION("""COMPUTED_VALUE"""),"Unsure")</f>
        <v>Unsure</v>
      </c>
      <c r="AE128" t="str">
        <f ca="1">IFERROR(__xludf.DUMMYFUNCTION("""COMPUTED_VALUE"""),"Unsure")</f>
        <v>Unsure</v>
      </c>
      <c r="AF128" t="str">
        <f ca="1">IFERROR(__xludf.DUMMYFUNCTION("""COMPUTED_VALUE"""),"Unsure")</f>
        <v>Unsure</v>
      </c>
      <c r="AG128" s="93" t="str">
        <f ca="1">IFERROR(__xludf.DUMMYFUNCTION("""COMPUTED_VALUE"""),"https://academic.oup.com/nar/pages/Policies#Prior%20Publication")</f>
        <v>https://academic.oup.com/nar/pages/Policies#Prior%20Publication</v>
      </c>
      <c r="AH128" t="str">
        <f ca="1">IFERROR(__xludf.DUMMYFUNCTION("""COMPUTED_VALUE"""),"First submission only (before peer review)")</f>
        <v>First submission only (before peer review)</v>
      </c>
      <c r="AI128" s="93" t="str">
        <f ca="1">IFERROR(__xludf.DUMMYFUNCTION("""COMPUTED_VALUE"""),"NAR allows authors to deposit preprints in community preprint servers such as arXiv.org and BioRxiv.org, provided that entries are updated to acknowledge that the article has been accepted/published by NAR. Our policy towards such archives is kept under r"&amp;"eview, but we currently do not consider articles that have already been posted PLoS Currents. Authors are encouraged to contact the Editorial Office if they are in any doubt about prior submission. Please read our full self-archiving policy.")</f>
        <v>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v>
      </c>
      <c r="AJ128" t="str">
        <f ca="1">IFERROR(__xludf.DUMMYFUNCTION("""COMPUTED_VALUE"""),"Yes, in the reference list")</f>
        <v>Yes, in the reference list</v>
      </c>
      <c r="AK128" t="str">
        <f ca="1">IFERROR(__xludf.DUMMYFUNCTION("""COMPUTED_VALUE"""),"Unsure")</f>
        <v>Unsure</v>
      </c>
      <c r="AL128" t="str">
        <f ca="1">IFERROR(__xludf.DUMMYFUNCTION("""COMPUTED_VALUE"""),"")</f>
        <v/>
      </c>
      <c r="AM128" t="str">
        <f ca="1">IFERROR(__xludf.DUMMYFUNCTION("""COMPUTED_VALUE"""),"")</f>
        <v/>
      </c>
      <c r="AN128" t="str">
        <f ca="1">IFERROR(__xludf.DUMMYFUNCTION("""COMPUTED_VALUE"""),"")</f>
        <v/>
      </c>
      <c r="AO128" t="str">
        <f ca="1">IFERROR(__xludf.DUMMYFUNCTION("""COMPUTED_VALUE"""),"")</f>
        <v/>
      </c>
      <c r="AP128" t="str">
        <f ca="1">IFERROR(__xludf.DUMMYFUNCTION("""COMPUTED_VALUE"""),"")</f>
        <v/>
      </c>
      <c r="AQ128" t="str">
        <f ca="1">IFERROR(__xludf.DUMMYFUNCTION("""COMPUTED_VALUE"""),"")</f>
        <v/>
      </c>
      <c r="AR128" t="str">
        <f ca="1">IFERROR(__xludf.DUMMYFUNCTION("""COMPUTED_VALUE"""),"")</f>
        <v/>
      </c>
    </row>
    <row r="129" spans="1:44" ht="13">
      <c r="A129" t="str">
        <f ca="1">IFERROR(__xludf.DUMMYFUNCTION("""COMPUTED_VALUE"""),"GSM")</f>
        <v>GSM</v>
      </c>
      <c r="B129" s="41">
        <f ca="1">IFERROR(__xludf.DUMMYFUNCTION("""COMPUTED_VALUE"""),43114)</f>
        <v>43114</v>
      </c>
      <c r="C129" t="str">
        <f ca="1">IFERROR(__xludf.DUMMYFUNCTION("""COMPUTED_VALUE"""),"TRH")</f>
        <v>TRH</v>
      </c>
      <c r="D129" s="28">
        <f ca="1">IFERROR(__xludf.DUMMYFUNCTION("""COMPUTED_VALUE"""),43576)</f>
        <v>43576</v>
      </c>
      <c r="E129" t="str">
        <f ca="1">IFERROR(__xludf.DUMMYFUNCTION("""COMPUTED_VALUE"""),"JP")</f>
        <v>JP</v>
      </c>
      <c r="F129" s="28">
        <f ca="1">IFERROR(__xludf.DUMMYFUNCTION("""COMPUTED_VALUE"""),43581)</f>
        <v>43581</v>
      </c>
      <c r="G129" t="str">
        <f ca="1">IFERROR(__xludf.DUMMYFUNCTION("""COMPUTED_VALUE"""),"")</f>
        <v/>
      </c>
      <c r="H129" t="str">
        <f ca="1">IFERROR(__xludf.DUMMYFUNCTION("""COMPUTED_VALUE"""),"1533-9866")</f>
        <v>1533-9866</v>
      </c>
      <c r="I129" t="str">
        <f ca="1">IFERROR(__xludf.DUMMYFUNCTION("""COMPUTED_VALUE"""),"Obstetrical &amp; Gynecological Survey")</f>
        <v>Obstetrical &amp; Gynecological Survey</v>
      </c>
      <c r="J129" t="str">
        <f ca="1">IFERROR(__xludf.DUMMYFUNCTION("""COMPUTED_VALUE"""),"")</f>
        <v/>
      </c>
      <c r="K129" t="str">
        <f ca="1">IFERROR(__xludf.DUMMYFUNCTION("""COMPUTED_VALUE"""),"Lippincott Williams &amp; Wilkins")</f>
        <v>Lippincott Williams &amp; Wilkins</v>
      </c>
      <c r="L129" t="str">
        <f ca="1">IFERROR(__xludf.DUMMYFUNCTION("""COMPUTED_VALUE"""),"Unsure")</f>
        <v>Unsure</v>
      </c>
      <c r="M129" t="str">
        <f ca="1">IFERROR(__xludf.DUMMYFUNCTION("""COMPUTED_VALUE"""),"")</f>
        <v/>
      </c>
      <c r="N129" t="str">
        <f ca="1">IFERROR(__xludf.DUMMYFUNCTION("""COMPUTED_VALUE"""),"")</f>
        <v/>
      </c>
      <c r="O129" t="str">
        <f ca="1">IFERROR(__xludf.DUMMYFUNCTION("""COMPUTED_VALUE"""),"")</f>
        <v/>
      </c>
      <c r="P129" t="str">
        <f ca="1">IFERROR(__xludf.DUMMYFUNCTION("""COMPUTED_VALUE"""),"Unsure")</f>
        <v>Unsure</v>
      </c>
      <c r="Q129" t="str">
        <f ca="1">IFERROR(__xludf.DUMMYFUNCTION("""COMPUTED_VALUE"""),"")</f>
        <v/>
      </c>
      <c r="R129" t="str">
        <f ca="1">IFERROR(__xludf.DUMMYFUNCTION("""COMPUTED_VALUE"""),"")</f>
        <v/>
      </c>
      <c r="S129" t="str">
        <f ca="1">IFERROR(__xludf.DUMMYFUNCTION("""COMPUTED_VALUE"""),"Not specified")</f>
        <v>Not specified</v>
      </c>
      <c r="T129" t="str">
        <f ca="1">IFERROR(__xludf.DUMMYFUNCTION("""COMPUTED_VALUE"""),"Not specified")</f>
        <v>Not specified</v>
      </c>
      <c r="U129" t="str">
        <f ca="1">IFERROR(__xludf.DUMMYFUNCTION("""COMPUTED_VALUE"""),"Not specified")</f>
        <v>Not specified</v>
      </c>
      <c r="V129" t="str">
        <f ca="1">IFERROR(__xludf.DUMMYFUNCTION("""COMPUTED_VALUE"""),"Not specified")</f>
        <v>Not specified</v>
      </c>
      <c r="W129" t="str">
        <f ca="1">IFERROR(__xludf.DUMMYFUNCTION("""COMPUTED_VALUE"""),"Not specified")</f>
        <v>Not specified</v>
      </c>
      <c r="X129" t="str">
        <f ca="1">IFERROR(__xludf.DUMMYFUNCTION("""COMPUTED_VALUE"""),"Not specified")</f>
        <v>Not specified</v>
      </c>
      <c r="Y129" t="str">
        <f ca="1">IFERROR(__xludf.DUMMYFUNCTION("""COMPUTED_VALUE"""),"Not specified")</f>
        <v>Not specified</v>
      </c>
      <c r="Z129" t="str">
        <f ca="1">IFERROR(__xludf.DUMMYFUNCTION("""COMPUTED_VALUE"""),"Not specified")</f>
        <v>Not specified</v>
      </c>
      <c r="AA129" t="str">
        <f ca="1">IFERROR(__xludf.DUMMYFUNCTION("""COMPUTED_VALUE"""),"")</f>
        <v/>
      </c>
      <c r="AB129" t="str">
        <f ca="1">IFERROR(__xludf.DUMMYFUNCTION("""COMPUTED_VALUE"""),"")</f>
        <v/>
      </c>
      <c r="AC129" t="str">
        <f ca="1">IFERROR(__xludf.DUMMYFUNCTION("""COMPUTED_VALUE"""),"")</f>
        <v/>
      </c>
      <c r="AD129" t="str">
        <f ca="1">IFERROR(__xludf.DUMMYFUNCTION("""COMPUTED_VALUE"""),"Unsure")</f>
        <v>Unsure</v>
      </c>
      <c r="AE129" t="str">
        <f ca="1">IFERROR(__xludf.DUMMYFUNCTION("""COMPUTED_VALUE"""),"Unsure")</f>
        <v>Unsure</v>
      </c>
      <c r="AF129" t="str">
        <f ca="1">IFERROR(__xludf.DUMMYFUNCTION("""COMPUTED_VALUE"""),"Unsure")</f>
        <v>Unsure</v>
      </c>
      <c r="AG129" t="str">
        <f ca="1">IFERROR(__xludf.DUMMYFUNCTION("""COMPUTED_VALUE"""),"")</f>
        <v/>
      </c>
      <c r="AH129" t="str">
        <f ca="1">IFERROR(__xludf.DUMMYFUNCTION("""COMPUTED_VALUE"""),"No preprint policy")</f>
        <v>No preprint policy</v>
      </c>
      <c r="AI129" t="str">
        <f ca="1">IFERROR(__xludf.DUMMYFUNCTION("""COMPUTED_VALUE"""),"")</f>
        <v/>
      </c>
      <c r="AJ129" t="str">
        <f ca="1">IFERROR(__xludf.DUMMYFUNCTION("""COMPUTED_VALUE"""),"Yes, but only in the text")</f>
        <v>Yes, but only in the text</v>
      </c>
      <c r="AK129" t="str">
        <f ca="1">IFERROR(__xludf.DUMMYFUNCTION("""COMPUTED_VALUE"""),"Unsure")</f>
        <v>Unsure</v>
      </c>
      <c r="AL129" t="str">
        <f ca="1">IFERROR(__xludf.DUMMYFUNCTION("""COMPUTED_VALUE"""),"")</f>
        <v/>
      </c>
      <c r="AM129" t="str">
        <f ca="1">IFERROR(__xludf.DUMMYFUNCTION("""COMPUTED_VALUE"""),"")</f>
        <v/>
      </c>
      <c r="AN129" t="str">
        <f ca="1">IFERROR(__xludf.DUMMYFUNCTION("""COMPUTED_VALUE"""),"")</f>
        <v/>
      </c>
      <c r="AO129" t="str">
        <f ca="1">IFERROR(__xludf.DUMMYFUNCTION("""COMPUTED_VALUE"""),"")</f>
        <v/>
      </c>
      <c r="AP129" t="str">
        <f ca="1">IFERROR(__xludf.DUMMYFUNCTION("""COMPUTED_VALUE"""),"")</f>
        <v/>
      </c>
      <c r="AQ129" t="str">
        <f ca="1">IFERROR(__xludf.DUMMYFUNCTION("""COMPUTED_VALUE"""),"")</f>
        <v/>
      </c>
      <c r="AR129" t="str">
        <f ca="1">IFERROR(__xludf.DUMMYFUNCTION("""COMPUTED_VALUE"""),"")</f>
        <v/>
      </c>
    </row>
    <row r="130" spans="1:44" ht="13">
      <c r="A130" t="str">
        <f ca="1">IFERROR(__xludf.DUMMYFUNCTION("""COMPUTED_VALUE"""),"GSM")</f>
        <v>GSM</v>
      </c>
      <c r="B130" s="41">
        <f ca="1">IFERROR(__xludf.DUMMYFUNCTION("""COMPUTED_VALUE"""),43114)</f>
        <v>43114</v>
      </c>
      <c r="C130" t="str">
        <f ca="1">IFERROR(__xludf.DUMMYFUNCTION("""COMPUTED_VALUE"""),"TRH")</f>
        <v>TRH</v>
      </c>
      <c r="D130" s="28">
        <f ca="1">IFERROR(__xludf.DUMMYFUNCTION("""COMPUTED_VALUE"""),43576)</f>
        <v>43576</v>
      </c>
      <c r="E130" t="str">
        <f ca="1">IFERROR(__xludf.DUMMYFUNCTION("""COMPUTED_VALUE"""),"JP")</f>
        <v>JP</v>
      </c>
      <c r="F130" s="28">
        <f ca="1">IFERROR(__xludf.DUMMYFUNCTION("""COMPUTED_VALUE"""),43581)</f>
        <v>43581</v>
      </c>
      <c r="G130" t="str">
        <f ca="1">IFERROR(__xludf.DUMMYFUNCTION("""COMPUTED_VALUE"""),"Detailed criteria are similar to what is offered by Cell; should how strict we want to be on criteria re form. Also see ""After consulting with the editor, a reviewer may voluntarily reveal his or her identity to the author."" - https://www.osapublishing."&amp;"org/submit/review/peer_review.cfm#overview // TRH - 1) if its not actually the form, leave it out; (2) fine about open IDs")</f>
        <v>Detailed criteria are similar to what is offered by Cell; should how strict we want to be on criteria re form. Also see "After consulting with the editor, a reviewer may voluntarily reveal his or her identity to the author." - https://www.osapublishing.org/submit/review/peer_review.cfm#overview // TRH - 1) if its not actually the form, leave it out; (2) fine about open IDs</v>
      </c>
      <c r="H130" t="str">
        <f ca="1">IFERROR(__xludf.DUMMYFUNCTION("""COMPUTED_VALUE"""),"1094-4087")</f>
        <v>1094-4087</v>
      </c>
      <c r="I130" t="str">
        <f ca="1">IFERROR(__xludf.DUMMYFUNCTION("""COMPUTED_VALUE"""),"Optics Express")</f>
        <v>Optics Express</v>
      </c>
      <c r="J130" t="str">
        <f ca="1">IFERROR(__xludf.DUMMYFUNCTION("""COMPUTED_VALUE"""),"Physics &amp; Mathematics")</f>
        <v>Physics &amp; Mathematics</v>
      </c>
      <c r="K130" t="str">
        <f ca="1">IFERROR(__xludf.DUMMYFUNCTION("""COMPUTED_VALUE"""),"Optical Society")</f>
        <v>Optical Society</v>
      </c>
      <c r="L130" t="str">
        <f ca="1">IFERROR(__xludf.DUMMYFUNCTION("""COMPUTED_VALUE"""),"Single blind")</f>
        <v>Single blind</v>
      </c>
      <c r="M130" s="93" t="str">
        <f ca="1">IFERROR(__xludf.DUMMYFUNCTION("""COMPUTED_VALUE"""),"https://www.osapublishing.org/submit/review/peer_review.cfm#overview")</f>
        <v>https://www.osapublishing.org/submit/review/peer_review.cfm#overview</v>
      </c>
      <c r="N130" t="str">
        <f ca="1">IFERROR(__xludf.DUMMYFUNCTION("""COMPUTED_VALUE"""),"")</f>
        <v/>
      </c>
      <c r="O130" s="93" t="str">
        <f ca="1">IFERROR(__xludf.DUMMYFUNCTION("""COMPUTED_VALUE"""),"https://www.osapublishing.org/oe/submit/review/outstandingreviewers.cfm")</f>
        <v>https://www.osapublishing.org/oe/submit/review/outstandingreviewers.cfm</v>
      </c>
      <c r="P130" t="str">
        <f ca="1">IFERROR(__xludf.DUMMYFUNCTION("""COMPUTED_VALUE"""),"Unsure")</f>
        <v>Unsure</v>
      </c>
      <c r="Q130" t="str">
        <f ca="1">IFERROR(__xludf.DUMMYFUNCTION("""COMPUTED_VALUE"""),"")</f>
        <v/>
      </c>
      <c r="R130" t="str">
        <f ca="1">IFERROR(__xludf.DUMMYFUNCTION("""COMPUTED_VALUE"""),"")</f>
        <v/>
      </c>
      <c r="S130" t="str">
        <f ca="1">IFERROR(__xludf.DUMMYFUNCTION("""COMPUTED_VALUE"""),"Not specified")</f>
        <v>Not specified</v>
      </c>
      <c r="T130" t="str">
        <f ca="1">IFERROR(__xludf.DUMMYFUNCTION("""COMPUTED_VALUE"""),"Not specified")</f>
        <v>Not specified</v>
      </c>
      <c r="U130" t="str">
        <f ca="1">IFERROR(__xludf.DUMMYFUNCTION("""COMPUTED_VALUE"""),"Not specified")</f>
        <v>Not specified</v>
      </c>
      <c r="V130" t="str">
        <f ca="1">IFERROR(__xludf.DUMMYFUNCTION("""COMPUTED_VALUE"""),"Not specified")</f>
        <v>Not specified</v>
      </c>
      <c r="W130" t="str">
        <f ca="1">IFERROR(__xludf.DUMMYFUNCTION("""COMPUTED_VALUE"""),"Not specified")</f>
        <v>Not specified</v>
      </c>
      <c r="X130" t="str">
        <f ca="1">IFERROR(__xludf.DUMMYFUNCTION("""COMPUTED_VALUE"""),"Optional")</f>
        <v>Optional</v>
      </c>
      <c r="Y130" t="str">
        <f ca="1">IFERROR(__xludf.DUMMYFUNCTION("""COMPUTED_VALUE"""),"Not specified")</f>
        <v>Not specified</v>
      </c>
      <c r="Z130" t="str">
        <f ca="1">IFERROR(__xludf.DUMMYFUNCTION("""COMPUTED_VALUE"""),"Not specified")</f>
        <v>Not specified</v>
      </c>
      <c r="AA130" t="str">
        <f ca="1">IFERROR(__xludf.DUMMYFUNCTION("""COMPUTED_VALUE"""),"")</f>
        <v/>
      </c>
      <c r="AB130" t="str">
        <f ca="1">IFERROR(__xludf.DUMMYFUNCTION("""COMPUTED_VALUE"""),"A reviewer should recognize that a manuscript under review is a confidential document. Reviewers should not use or disseminate unpublished information, arguments, or interpretations contained in an unpublished manuscript, except with the consent of the au"&amp;"thor. During review, the manuscript should neither be shown to nor discussed with others except, in special cases, to persons from whom specific advice may be sought. In that event, the reviewer maintains responsibility for ensuring confidentiality. The r"&amp;"eviewer should inform the editor of others who make significant contributions to a review.")</f>
        <v>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v>
      </c>
      <c r="AC130" s="93" t="str">
        <f ca="1">IFERROR(__xludf.DUMMYFUNCTION("""COMPUTED_VALUE"""),"https://www.osapublishing.org/submit/review/peer_review.cfm#overview")</f>
        <v>https://www.osapublishing.org/submit/review/peer_review.cfm#overview</v>
      </c>
      <c r="AD130" t="str">
        <f ca="1">IFERROR(__xludf.DUMMYFUNCTION("""COMPUTED_VALUE"""),"Yes")</f>
        <v>Yes</v>
      </c>
      <c r="AE130" t="str">
        <f ca="1">IFERROR(__xludf.DUMMYFUNCTION("""COMPUTED_VALUE"""),"Unsure")</f>
        <v>Unsure</v>
      </c>
      <c r="AF130" t="str">
        <f ca="1">IFERROR(__xludf.DUMMYFUNCTION("""COMPUTED_VALUE"""),"Unsure")</f>
        <v>Unsure</v>
      </c>
      <c r="AG130" t="str">
        <f ca="1">IFERROR(__xludf.DUMMYFUNCTION("""COMPUTED_VALUE"""),"")</f>
        <v/>
      </c>
      <c r="AH130" t="str">
        <f ca="1">IFERROR(__xludf.DUMMYFUNCTION("""COMPUTED_VALUE"""),"No preprint policy")</f>
        <v>No preprint policy</v>
      </c>
      <c r="AI130" t="str">
        <f ca="1">IFERROR(__xludf.DUMMYFUNCTION("""COMPUTED_VALUE"""),"")</f>
        <v/>
      </c>
      <c r="AJ130" t="str">
        <f ca="1">IFERROR(__xludf.DUMMYFUNCTION("""COMPUTED_VALUE"""),"Not specified")</f>
        <v>Not specified</v>
      </c>
      <c r="AK130" t="str">
        <f ca="1">IFERROR(__xludf.DUMMYFUNCTION("""COMPUTED_VALUE"""),"Unsure")</f>
        <v>Unsure</v>
      </c>
      <c r="AL130" t="str">
        <f ca="1">IFERROR(__xludf.DUMMYFUNCTION("""COMPUTED_VALUE"""),"")</f>
        <v/>
      </c>
      <c r="AM130" t="str">
        <f ca="1">IFERROR(__xludf.DUMMYFUNCTION("""COMPUTED_VALUE"""),"")</f>
        <v/>
      </c>
      <c r="AN130" t="str">
        <f ca="1">IFERROR(__xludf.DUMMYFUNCTION("""COMPUTED_VALUE"""),"")</f>
        <v/>
      </c>
      <c r="AO130" t="str">
        <f ca="1">IFERROR(__xludf.DUMMYFUNCTION("""COMPUTED_VALUE"""),"")</f>
        <v/>
      </c>
      <c r="AP130" t="str">
        <f ca="1">IFERROR(__xludf.DUMMYFUNCTION("""COMPUTED_VALUE"""),"")</f>
        <v/>
      </c>
      <c r="AQ130" t="str">
        <f ca="1">IFERROR(__xludf.DUMMYFUNCTION("""COMPUTED_VALUE"""),"")</f>
        <v/>
      </c>
      <c r="AR130" t="str">
        <f ca="1">IFERROR(__xludf.DUMMYFUNCTION("""COMPUTED_VALUE"""),"")</f>
        <v/>
      </c>
    </row>
    <row r="131" spans="1:44" ht="13">
      <c r="A131" t="str">
        <f ca="1">IFERROR(__xludf.DUMMYFUNCTION("""COMPUTED_VALUE"""),"GSM")</f>
        <v>GSM</v>
      </c>
      <c r="B131" s="41">
        <f ca="1">IFERROR(__xludf.DUMMYFUNCTION("""COMPUTED_VALUE"""),43114)</f>
        <v>43114</v>
      </c>
      <c r="C131" t="str">
        <f ca="1">IFERROR(__xludf.DUMMYFUNCTION("""COMPUTED_VALUE"""),"TRH")</f>
        <v>TRH</v>
      </c>
      <c r="D131" s="28">
        <f ca="1">IFERROR(__xludf.DUMMYFUNCTION("""COMPUTED_VALUE"""),43575)</f>
        <v>43575</v>
      </c>
      <c r="E131" t="str">
        <f ca="1">IFERROR(__xludf.DUMMYFUNCTION("""COMPUTED_VALUE"""),"JP")</f>
        <v>JP</v>
      </c>
      <c r="F131" s="28">
        <f ca="1">IFERROR(__xludf.DUMMYFUNCTION("""COMPUTED_VALUE"""),43581)</f>
        <v>43581</v>
      </c>
      <c r="G131" t="str">
        <f ca="1">IFERROR(__xludf.DUMMYFUNCTION("""COMPUTED_VALUE"""),"")</f>
        <v/>
      </c>
      <c r="H131" t="str">
        <f ca="1">IFERROR(__xludf.DUMMYFUNCTION("""COMPUTED_VALUE"""),"1098-4275")</f>
        <v>1098-4275</v>
      </c>
      <c r="I131" t="str">
        <f ca="1">IFERROR(__xludf.DUMMYFUNCTION("""COMPUTED_VALUE"""),"Pediatrics")</f>
        <v>Pediatrics</v>
      </c>
      <c r="J131" t="str">
        <f ca="1">IFERROR(__xludf.DUMMYFUNCTION("""COMPUTED_VALUE"""),"")</f>
        <v/>
      </c>
      <c r="K131" t="str">
        <f ca="1">IFERROR(__xludf.DUMMYFUNCTION("""COMPUTED_VALUE"""),"American Academy of Pediatrics")</f>
        <v>American Academy of Pediatrics</v>
      </c>
      <c r="L131" t="str">
        <f ca="1">IFERROR(__xludf.DUMMYFUNCTION("""COMPUTED_VALUE"""),"Unsure (reviewers anon, but not clear if author anon or not)")</f>
        <v>Unsure (reviewers anon, but not clear if author anon or not)</v>
      </c>
      <c r="M131" s="93" t="str">
        <f ca="1">IFERROR(__xludf.DUMMYFUNCTION("""COMPUTED_VALUE"""),"http://www.aappublications.org/content/pediatrics-reviewer-guidelines")</f>
        <v>http://www.aappublications.org/content/pediatrics-reviewer-guidelines</v>
      </c>
      <c r="N131" t="str">
        <f ca="1">IFERROR(__xludf.DUMMYFUNCTION("""COMPUTED_VALUE"""),"")</f>
        <v/>
      </c>
      <c r="O131" t="str">
        <f ca="1">IFERROR(__xludf.DUMMYFUNCTION("""COMPUTED_VALUE"""),"")</f>
        <v/>
      </c>
      <c r="P131" t="str">
        <f ca="1">IFERROR(__xludf.DUMMYFUNCTION("""COMPUTED_VALUE"""),"Unsure")</f>
        <v>Unsure</v>
      </c>
      <c r="Q131" t="str">
        <f ca="1">IFERROR(__xludf.DUMMYFUNCTION("""COMPUTED_VALUE"""),"Transfers to Hospital Pediatrics: If your manuscript is not accepted by Pediatrics and the editors feel the topic is appropriate for Hospital Pediatrics, you will receive an email indicating that your manuscript is ready to transfer, along with additional"&amp;" instructions on how to proceed. Please note that if your manuscript has been reviewed by Pediatricsreviewers, those reviews will transfer to Hospital Pediatrics along with your manuscript. Your manuscript will undergo additional peer review by Hospital P"&amp;"ediatrics reviewers and editors. If you have any questions about this transfer, please contact the editorial office at PediatricsEditorial@aap.org.")</f>
        <v>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v>
      </c>
      <c r="R131" s="93" t="str">
        <f ca="1">IFERROR(__xludf.DUMMYFUNCTION("""COMPUTED_VALUE"""),"http://www.aappublications.org/content/pediatrics-author-guidelines")</f>
        <v>http://www.aappublications.org/content/pediatrics-author-guidelines</v>
      </c>
      <c r="S131" t="str">
        <f ca="1">IFERROR(__xludf.DUMMYFUNCTION("""COMPUTED_VALUE"""),"Not specified")</f>
        <v>Not specified</v>
      </c>
      <c r="T131" t="str">
        <f ca="1">IFERROR(__xludf.DUMMYFUNCTION("""COMPUTED_VALUE"""),"Not specified")</f>
        <v>Not specified</v>
      </c>
      <c r="U131" t="str">
        <f ca="1">IFERROR(__xludf.DUMMYFUNCTION("""COMPUTED_VALUE"""),"Not specified")</f>
        <v>Not specified</v>
      </c>
      <c r="V131" t="str">
        <f ca="1">IFERROR(__xludf.DUMMYFUNCTION("""COMPUTED_VALUE"""),"Not specified")</f>
        <v>Not specified</v>
      </c>
      <c r="W131" t="str">
        <f ca="1">IFERROR(__xludf.DUMMYFUNCTION("""COMPUTED_VALUE"""),"Not specified")</f>
        <v>Not specified</v>
      </c>
      <c r="X131" t="str">
        <f ca="1">IFERROR(__xludf.DUMMYFUNCTION("""COMPUTED_VALUE"""),"No")</f>
        <v>No</v>
      </c>
      <c r="Y131" t="str">
        <f ca="1">IFERROR(__xludf.DUMMYFUNCTION("""COMPUTED_VALUE"""),"Not specified")</f>
        <v>Not specified</v>
      </c>
      <c r="Z131" t="str">
        <f ca="1">IFERROR(__xludf.DUMMYFUNCTION("""COMPUTED_VALUE"""),"Not specified")</f>
        <v>Not specified</v>
      </c>
      <c r="AA131" t="str">
        <f ca="1">IFERROR(__xludf.DUMMYFUNCTION("""COMPUTED_VALUE"""),"")</f>
        <v/>
      </c>
      <c r="AB131" t="str">
        <f ca="1">IFERROR(__xludf.DUMMYFUNCTION("""COMPUTED_VALUE"""),"Trainee Reviewers
 Trainees (students, residents) may review for the journal if they have the expertise to review the subject matter of the manuscript. They should be assisted by a senior mentor during the review process, and the mentor must sign off on t"&amp;"he review. Trainees must abide by all reviewer guidelines, including the necessity to recuse themselves if they have a conflict of interest, including intellectual (e.g., having a strong belief that makes it difficult for you to evaluate the reported find"&amp;"ings), financial (e.g., gaining a financial benefit if the work is either published or not published), or personal (e.g., having a personal or professional relationship with one or more of the authors that makes it difficult to fairly evaluate the work).")</f>
        <v>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v>
      </c>
      <c r="AC131" s="93" t="str">
        <f ca="1">IFERROR(__xludf.DUMMYFUNCTION("""COMPUTED_VALUE"""),"http://www.aappublications.org/content/pediatrics-reviewer-guidelines")</f>
        <v>http://www.aappublications.org/content/pediatrics-reviewer-guidelines</v>
      </c>
      <c r="AD131" t="str">
        <f ca="1">IFERROR(__xludf.DUMMYFUNCTION("""COMPUTED_VALUE"""),"Yes")</f>
        <v>Yes</v>
      </c>
      <c r="AE131" t="str">
        <f ca="1">IFERROR(__xludf.DUMMYFUNCTION("""COMPUTED_VALUE"""),"Unsure")</f>
        <v>Unsure</v>
      </c>
      <c r="AF131" t="str">
        <f ca="1">IFERROR(__xludf.DUMMYFUNCTION("""COMPUTED_VALUE"""),"Unsure")</f>
        <v>Unsure</v>
      </c>
      <c r="AG131" t="str">
        <f ca="1">IFERROR(__xludf.DUMMYFUNCTION("""COMPUTED_VALUE"""),"")</f>
        <v/>
      </c>
      <c r="AH131" t="str">
        <f ca="1">IFERROR(__xludf.DUMMYFUNCTION("""COMPUTED_VALUE"""),"No preprint policy")</f>
        <v>No preprint policy</v>
      </c>
      <c r="AI131" t="str">
        <f ca="1">IFERROR(__xludf.DUMMYFUNCTION("""COMPUTED_VALUE"""),"")</f>
        <v/>
      </c>
      <c r="AJ131" t="str">
        <f ca="1">IFERROR(__xludf.DUMMYFUNCTION("""COMPUTED_VALUE"""),"Not specified")</f>
        <v>Not specified</v>
      </c>
      <c r="AK131" t="str">
        <f ca="1">IFERROR(__xludf.DUMMYFUNCTION("""COMPUTED_VALUE"""),"Unsure")</f>
        <v>Unsure</v>
      </c>
      <c r="AL131" t="str">
        <f ca="1">IFERROR(__xludf.DUMMYFUNCTION("""COMPUTED_VALUE"""),"")</f>
        <v/>
      </c>
      <c r="AM131" t="str">
        <f ca="1">IFERROR(__xludf.DUMMYFUNCTION("""COMPUTED_VALUE"""),"")</f>
        <v/>
      </c>
      <c r="AN131" t="str">
        <f ca="1">IFERROR(__xludf.DUMMYFUNCTION("""COMPUTED_VALUE"""),"")</f>
        <v/>
      </c>
      <c r="AO131" t="str">
        <f ca="1">IFERROR(__xludf.DUMMYFUNCTION("""COMPUTED_VALUE"""),"")</f>
        <v/>
      </c>
      <c r="AP131" t="str">
        <f ca="1">IFERROR(__xludf.DUMMYFUNCTION("""COMPUTED_VALUE"""),"")</f>
        <v/>
      </c>
      <c r="AQ131" t="str">
        <f ca="1">IFERROR(__xludf.DUMMYFUNCTION("""COMPUTED_VALUE"""),"")</f>
        <v/>
      </c>
      <c r="AR131" t="str">
        <f ca="1">IFERROR(__xludf.DUMMYFUNCTION("""COMPUTED_VALUE"""),"")</f>
        <v/>
      </c>
    </row>
    <row r="132" spans="1:44" ht="13">
      <c r="A132" t="str">
        <f ca="1">IFERROR(__xludf.DUMMYFUNCTION("""COMPUTED_VALUE"""),"GSM")</f>
        <v>GSM</v>
      </c>
      <c r="B132" s="41">
        <f ca="1">IFERROR(__xludf.DUMMYFUNCTION("""COMPUTED_VALUE"""),43114)</f>
        <v>43114</v>
      </c>
      <c r="C132" t="str">
        <f ca="1">IFERROR(__xludf.DUMMYFUNCTION("""COMPUTED_VALUE"""),"TRH")</f>
        <v>TRH</v>
      </c>
      <c r="D132" s="28">
        <f ca="1">IFERROR(__xludf.DUMMYFUNCTION("""COMPUTED_VALUE"""),43575)</f>
        <v>43575</v>
      </c>
      <c r="E132" t="str">
        <f ca="1">IFERROR(__xludf.DUMMYFUNCTION("""COMPUTED_VALUE"""),"JP")</f>
        <v>JP</v>
      </c>
      <c r="F132" s="28">
        <f ca="1">IFERROR(__xludf.DUMMYFUNCTION("""COMPUTED_VALUE"""),43581)</f>
        <v>43581</v>
      </c>
      <c r="G132" t="str">
        <f ca="1">IFERROR(__xludf.DUMMYFUNCTION("""COMPUTED_VALUE"""),"")</f>
        <v/>
      </c>
      <c r="H132" t="str">
        <f ca="1">IFERROR(__xludf.DUMMYFUNCTION("""COMPUTED_VALUE"""),"1573-0883")</f>
        <v>1573-0883</v>
      </c>
      <c r="I132" t="str">
        <f ca="1">IFERROR(__xludf.DUMMYFUNCTION("""COMPUTED_VALUE"""),"Philosophical Studies")</f>
        <v>Philosophical Studies</v>
      </c>
      <c r="J132" t="str">
        <f ca="1">IFERROR(__xludf.DUMMYFUNCTION("""COMPUTED_VALUE"""),"Humanities, Literature &amp; Arts")</f>
        <v>Humanities, Literature &amp; Arts</v>
      </c>
      <c r="K132" t="str">
        <f ca="1">IFERROR(__xludf.DUMMYFUNCTION("""COMPUTED_VALUE"""),"Springer Nature")</f>
        <v>Springer Nature</v>
      </c>
      <c r="L132" t="str">
        <f ca="1">IFERROR(__xludf.DUMMYFUNCTION("""COMPUTED_VALUE"""),"Double blind")</f>
        <v>Double blind</v>
      </c>
      <c r="M132" s="93" t="str">
        <f ca="1">IFERROR(__xludf.DUMMYFUNCTION("""COMPUTED_VALUE"""),"https://www.springer.com/philosophy/journal/11098")</f>
        <v>https://www.springer.com/philosophy/journal/11098</v>
      </c>
      <c r="N132" t="str">
        <f ca="1">IFERROR(__xludf.DUMMYFUNCTION("""COMPUTED_VALUE"""),"")</f>
        <v/>
      </c>
      <c r="O132" t="str">
        <f ca="1">IFERROR(__xludf.DUMMYFUNCTION("""COMPUTED_VALUE"""),"")</f>
        <v/>
      </c>
      <c r="P132" t="str">
        <f ca="1">IFERROR(__xludf.DUMMYFUNCTION("""COMPUTED_VALUE"""),"Unsure")</f>
        <v>Unsure</v>
      </c>
      <c r="Q132" t="str">
        <f ca="1">IFERROR(__xludf.DUMMYFUNCTION("""COMPUTED_VALUE"""),"")</f>
        <v/>
      </c>
      <c r="R132" t="str">
        <f ca="1">IFERROR(__xludf.DUMMYFUNCTION("""COMPUTED_VALUE"""),"")</f>
        <v/>
      </c>
      <c r="S132" t="str">
        <f ca="1">IFERROR(__xludf.DUMMYFUNCTION("""COMPUTED_VALUE"""),"Not specified")</f>
        <v>Not specified</v>
      </c>
      <c r="T132" t="str">
        <f ca="1">IFERROR(__xludf.DUMMYFUNCTION("""COMPUTED_VALUE"""),"Not specified")</f>
        <v>Not specified</v>
      </c>
      <c r="U132" t="str">
        <f ca="1">IFERROR(__xludf.DUMMYFUNCTION("""COMPUTED_VALUE"""),"Not specified")</f>
        <v>Not specified</v>
      </c>
      <c r="V132" t="str">
        <f ca="1">IFERROR(__xludf.DUMMYFUNCTION("""COMPUTED_VALUE"""),"Not specified")</f>
        <v>Not specified</v>
      </c>
      <c r="W132" t="str">
        <f ca="1">IFERROR(__xludf.DUMMYFUNCTION("""COMPUTED_VALUE"""),"Not specified")</f>
        <v>Not specified</v>
      </c>
      <c r="X132" t="str">
        <f ca="1">IFERROR(__xludf.DUMMYFUNCTION("""COMPUTED_VALUE"""),"No")</f>
        <v>No</v>
      </c>
      <c r="Y132" t="str">
        <f ca="1">IFERROR(__xludf.DUMMYFUNCTION("""COMPUTED_VALUE"""),"Not specified")</f>
        <v>Not specified</v>
      </c>
      <c r="Z132" t="str">
        <f ca="1">IFERROR(__xludf.DUMMYFUNCTION("""COMPUTED_VALUE"""),"Not specified")</f>
        <v>Not specified</v>
      </c>
      <c r="AA132" t="str">
        <f ca="1">IFERROR(__xludf.DUMMYFUNCTION("""COMPUTED_VALUE"""),"")</f>
        <v/>
      </c>
      <c r="AB132" t="str">
        <f ca="1">IFERROR(__xludf.DUMMYFUNCTION("""COMPUTED_VALUE"""),"")</f>
        <v/>
      </c>
      <c r="AC132" t="str">
        <f ca="1">IFERROR(__xludf.DUMMYFUNCTION("""COMPUTED_VALUE"""),"")</f>
        <v/>
      </c>
      <c r="AD132" t="str">
        <f ca="1">IFERROR(__xludf.DUMMYFUNCTION("""COMPUTED_VALUE"""),"Unsure")</f>
        <v>Unsure</v>
      </c>
      <c r="AE132" t="str">
        <f ca="1">IFERROR(__xludf.DUMMYFUNCTION("""COMPUTED_VALUE"""),"Unsure")</f>
        <v>Unsure</v>
      </c>
      <c r="AF132" t="str">
        <f ca="1">IFERROR(__xludf.DUMMYFUNCTION("""COMPUTED_VALUE"""),"Unsure")</f>
        <v>Unsure</v>
      </c>
      <c r="AG132" t="str">
        <f ca="1">IFERROR(__xludf.DUMMYFUNCTION("""COMPUTED_VALUE"""),"")</f>
        <v/>
      </c>
      <c r="AH132" t="str">
        <f ca="1">IFERROR(__xludf.DUMMYFUNCTION("""COMPUTED_VALUE"""),"No preprint policy")</f>
        <v>No preprint policy</v>
      </c>
      <c r="AI132" t="str">
        <f ca="1">IFERROR(__xludf.DUMMYFUNCTION("""COMPUTED_VALUE"""),"")</f>
        <v/>
      </c>
      <c r="AJ132" t="str">
        <f ca="1">IFERROR(__xludf.DUMMYFUNCTION("""COMPUTED_VALUE"""),"Yes, but only in the text (not the reference list) - Author instructions https://www.springer.com/philosophy/journal/11098")</f>
        <v>Yes, but only in the text (not the reference list) - Author instructions https://www.springer.com/philosophy/journal/11098</v>
      </c>
      <c r="AK132" t="str">
        <f ca="1">IFERROR(__xludf.DUMMYFUNCTION("""COMPUTED_VALUE"""),"Unsure")</f>
        <v>Unsure</v>
      </c>
      <c r="AL132" t="str">
        <f ca="1">IFERROR(__xludf.DUMMYFUNCTION("""COMPUTED_VALUE"""),"")</f>
        <v/>
      </c>
      <c r="AM132" t="str">
        <f ca="1">IFERROR(__xludf.DUMMYFUNCTION("""COMPUTED_VALUE"""),"")</f>
        <v/>
      </c>
      <c r="AN132" t="str">
        <f ca="1">IFERROR(__xludf.DUMMYFUNCTION("""COMPUTED_VALUE"""),"")</f>
        <v/>
      </c>
      <c r="AO132" t="str">
        <f ca="1">IFERROR(__xludf.DUMMYFUNCTION("""COMPUTED_VALUE"""),"")</f>
        <v/>
      </c>
      <c r="AP132" s="93" t="str">
        <f ca="1">IFERROR(__xludf.DUMMYFUNCTION("""COMPUTED_VALUE"""),"https://www.springer.com/philosophy/journal/11098")</f>
        <v>https://www.springer.com/philosophy/journal/11098</v>
      </c>
      <c r="AQ132" t="str">
        <f ca="1">IFERROR(__xludf.DUMMYFUNCTION("""COMPUTED_VALUE"""),"")</f>
        <v/>
      </c>
      <c r="AR132" t="str">
        <f ca="1">IFERROR(__xludf.DUMMYFUNCTION("""COMPUTED_VALUE"""),"")</f>
        <v/>
      </c>
    </row>
    <row r="133" spans="1:44" ht="13">
      <c r="A133" t="str">
        <f ca="1">IFERROR(__xludf.DUMMYFUNCTION("""COMPUTED_VALUE"""),"GSM")</f>
        <v>GSM</v>
      </c>
      <c r="B133" s="41">
        <f ca="1">IFERROR(__xludf.DUMMYFUNCTION("""COMPUTED_VALUE"""),43114)</f>
        <v>43114</v>
      </c>
      <c r="C133" t="str">
        <f ca="1">IFERROR(__xludf.DUMMYFUNCTION("""COMPUTED_VALUE"""),"TRH")</f>
        <v>TRH</v>
      </c>
      <c r="D133" s="28">
        <f ca="1">IFERROR(__xludf.DUMMYFUNCTION("""COMPUTED_VALUE"""),43575)</f>
        <v>43575</v>
      </c>
      <c r="E133" t="str">
        <f ca="1">IFERROR(__xludf.DUMMYFUNCTION("""COMPUTED_VALUE"""),"JP")</f>
        <v>JP</v>
      </c>
      <c r="F133" s="28">
        <f ca="1">IFERROR(__xludf.DUMMYFUNCTION("""COMPUTED_VALUE"""),43581)</f>
        <v>43581</v>
      </c>
      <c r="G133" t="str">
        <f ca="1">IFERROR(__xludf.DUMMYFUNCTION("""COMPUTED_VALUE"""),"")</f>
        <v/>
      </c>
      <c r="H133" t="str">
        <f ca="1">IFERROR(__xludf.DUMMYFUNCTION("""COMPUTED_VALUE"""),"1550-235X")</f>
        <v>1550-235X</v>
      </c>
      <c r="I133" t="str">
        <f ca="1">IFERROR(__xludf.DUMMYFUNCTION("""COMPUTED_VALUE"""),"Physical Review B")</f>
        <v>Physical Review B</v>
      </c>
      <c r="J133" t="str">
        <f ca="1">IFERROR(__xludf.DUMMYFUNCTION("""COMPUTED_VALUE"""),"Physics &amp; Mathematics")</f>
        <v>Physics &amp; Mathematics</v>
      </c>
      <c r="K133" t="str">
        <f ca="1">IFERROR(__xludf.DUMMYFUNCTION("""COMPUTED_VALUE"""),"American Physical Society")</f>
        <v>American Physical Society</v>
      </c>
      <c r="L133" t="str">
        <f ca="1">IFERROR(__xludf.DUMMYFUNCTION("""COMPUTED_VALUE"""),"Single blind")</f>
        <v>Single blind</v>
      </c>
      <c r="M133" s="93" t="str">
        <f ca="1">IFERROR(__xludf.DUMMYFUNCTION("""COMPUTED_VALUE"""),"https://journals.aps.org/prb/referees/guidelines-for-referees")</f>
        <v>https://journals.aps.org/prb/referees/guidelines-for-referees</v>
      </c>
      <c r="N133" t="str">
        <f ca="1">IFERROR(__xludf.DUMMYFUNCTION("""COMPUTED_VALUE"""),"")</f>
        <v/>
      </c>
      <c r="O133" t="str">
        <f ca="1">IFERROR(__xludf.DUMMYFUNCTION("""COMPUTED_VALUE"""),"")</f>
        <v/>
      </c>
      <c r="P133" t="str">
        <f ca="1">IFERROR(__xludf.DUMMYFUNCTION("""COMPUTED_VALUE"""),"Unsure")</f>
        <v>Unsure</v>
      </c>
      <c r="Q133" t="str">
        <f ca="1">IFERROR(__xludf.DUMMYFUNCTION("""COMPUTED_VALUE"""),"If a manuscript submitted to Physical Review B is on a topic not within its purview, but may be suitable for another Physical Review journal, the editors may transfer the paper to the appropriate journal and inform the author(s) of that transfer.")</f>
        <v>If a manuscript submitted to Physical Review B is on a topic not within its purview, but may be suitable for another Physical Review journal, the editors may transfer the paper to the appropriate journal and inform the author(s) of that transfer.</v>
      </c>
      <c r="R133" s="93" t="str">
        <f ca="1">IFERROR(__xludf.DUMMYFUNCTION("""COMPUTED_VALUE"""),"https://journals.aps.org/prb/authors/editorial-policies-practices#guide")</f>
        <v>https://journals.aps.org/prb/authors/editorial-policies-practices#guide</v>
      </c>
      <c r="S133" t="str">
        <f ca="1">IFERROR(__xludf.DUMMYFUNCTION("""COMPUTED_VALUE"""),"No")</f>
        <v>No</v>
      </c>
      <c r="T133" t="str">
        <f ca="1">IFERROR(__xludf.DUMMYFUNCTION("""COMPUTED_VALUE"""),"No")</f>
        <v>No</v>
      </c>
      <c r="U133" t="str">
        <f ca="1">IFERROR(__xludf.DUMMYFUNCTION("""COMPUTED_VALUE"""),"No")</f>
        <v>No</v>
      </c>
      <c r="V133" t="str">
        <f ca="1">IFERROR(__xludf.DUMMYFUNCTION("""COMPUTED_VALUE"""),"Not specified")</f>
        <v>Not specified</v>
      </c>
      <c r="W133" t="str">
        <f ca="1">IFERROR(__xludf.DUMMYFUNCTION("""COMPUTED_VALUE"""),"No")</f>
        <v>No</v>
      </c>
      <c r="X133" t="str">
        <f ca="1">IFERROR(__xludf.DUMMYFUNCTION("""COMPUTED_VALUE"""),"No")</f>
        <v>No</v>
      </c>
      <c r="Y133" t="str">
        <f ca="1">IFERROR(__xludf.DUMMYFUNCTION("""COMPUTED_VALUE"""),"Not specified")</f>
        <v>Not specified</v>
      </c>
      <c r="Z133" t="str">
        <f ca="1">IFERROR(__xludf.DUMMYFUNCTION("""COMPUTED_VALUE"""),"Not specified")</f>
        <v>Not specified</v>
      </c>
      <c r="AA133" t="str">
        <f ca="1">IFERROR(__xludf.DUMMYFUNCTION("""COMPUTED_VALUE"""),"")</f>
        <v/>
      </c>
      <c r="AB133"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3" s="93" t="str">
        <f ca="1">IFERROR(__xludf.DUMMYFUNCTION("""COMPUTED_VALUE"""),"https://journals.aps.org/prb/authors/editorial-policies-practices#anonymity")</f>
        <v>https://journals.aps.org/prb/authors/editorial-policies-practices#anonymity</v>
      </c>
      <c r="AD133" t="str">
        <f ca="1">IFERROR(__xludf.DUMMYFUNCTION("""COMPUTED_VALUE"""),"Yes")</f>
        <v>Yes</v>
      </c>
      <c r="AE133" t="str">
        <f ca="1">IFERROR(__xludf.DUMMYFUNCTION("""COMPUTED_VALUE"""),"Unsure")</f>
        <v>Unsure</v>
      </c>
      <c r="AF133" t="str">
        <f ca="1">IFERROR(__xludf.DUMMYFUNCTION("""COMPUTED_VALUE"""),"Unsure")</f>
        <v>Unsure</v>
      </c>
      <c r="AG133" t="str">
        <f ca="1">IFERROR(__xludf.DUMMYFUNCTION("""COMPUTED_VALUE"""),"")</f>
        <v/>
      </c>
      <c r="AH133" t="str">
        <f ca="1">IFERROR(__xludf.DUMMYFUNCTION("""COMPUTED_VALUE"""),"No preprint policy")</f>
        <v>No preprint policy</v>
      </c>
      <c r="AI133" t="str">
        <f ca="1">IFERROR(__xludf.DUMMYFUNCTION("""COMPUTED_VALUE"""),"")</f>
        <v/>
      </c>
      <c r="AJ133" t="str">
        <f ca="1">IFERROR(__xludf.DUMMYFUNCTION("""COMPUTED_VALUE"""),"Yes, in the reference list (Authors may cite unpublished work, such as e-prints, preprints, internal reports, or results that have been reported only orally at meetings (even though an abstract may have been published).) https://journals.aps.org/prb/autho"&amp;"rs/editorial-policies-practices")</f>
        <v>Yes, in the reference list (Authors may cite unpublished work, such as e-prints, preprints, internal reports, or results that have been reported only orally at meetings (even though an abstract may have been published).) https://journals.aps.org/prb/authors/editorial-policies-practices</v>
      </c>
      <c r="AK133" t="str">
        <f ca="1">IFERROR(__xludf.DUMMYFUNCTION("""COMPUTED_VALUE"""),"")</f>
        <v/>
      </c>
      <c r="AL133" t="str">
        <f ca="1">IFERROR(__xludf.DUMMYFUNCTION("""COMPUTED_VALUE"""),"")</f>
        <v/>
      </c>
      <c r="AM133" t="str">
        <f ca="1">IFERROR(__xludf.DUMMYFUNCTION("""COMPUTED_VALUE"""),"")</f>
        <v/>
      </c>
      <c r="AN133" t="str">
        <f ca="1">IFERROR(__xludf.DUMMYFUNCTION("""COMPUTED_VALUE"""),"")</f>
        <v/>
      </c>
      <c r="AO133" t="str">
        <f ca="1">IFERROR(__xludf.DUMMYFUNCTION("""COMPUTED_VALUE"""),"")</f>
        <v/>
      </c>
      <c r="AP133" t="str">
        <f ca="1">IFERROR(__xludf.DUMMYFUNCTION("""COMPUTED_VALUE"""),"")</f>
        <v/>
      </c>
      <c r="AQ133" t="str">
        <f ca="1">IFERROR(__xludf.DUMMYFUNCTION("""COMPUTED_VALUE"""),"")</f>
        <v/>
      </c>
      <c r="AR133" t="str">
        <f ca="1">IFERROR(__xludf.DUMMYFUNCTION("""COMPUTED_VALUE"""),"")</f>
        <v/>
      </c>
    </row>
    <row r="134" spans="1:44" ht="13">
      <c r="A134" t="str">
        <f ca="1">IFERROR(__xludf.DUMMYFUNCTION("""COMPUTED_VALUE"""),"GSM")</f>
        <v>GSM</v>
      </c>
      <c r="B134" s="41">
        <f ca="1">IFERROR(__xludf.DUMMYFUNCTION("""COMPUTED_VALUE"""),43114)</f>
        <v>43114</v>
      </c>
      <c r="C134" t="str">
        <f ca="1">IFERROR(__xludf.DUMMYFUNCTION("""COMPUTED_VALUE"""),"TRH")</f>
        <v>TRH</v>
      </c>
      <c r="D134" s="28">
        <f ca="1">IFERROR(__xludf.DUMMYFUNCTION("""COMPUTED_VALUE"""),43575)</f>
        <v>43575</v>
      </c>
      <c r="E134" t="str">
        <f ca="1">IFERROR(__xludf.DUMMYFUNCTION("""COMPUTED_VALUE"""),"JP")</f>
        <v>JP</v>
      </c>
      <c r="F134" s="28">
        <f ca="1">IFERROR(__xludf.DUMMYFUNCTION("""COMPUTED_VALUE"""),43581)</f>
        <v>43581</v>
      </c>
      <c r="G134" t="str">
        <f ca="1">IFERROR(__xludf.DUMMYFUNCTION("""COMPUTED_VALUE"""),"Changed url in preprint citation policies")</f>
        <v>Changed url in preprint citation policies</v>
      </c>
      <c r="H134" t="str">
        <f ca="1">IFERROR(__xludf.DUMMYFUNCTION("""COMPUTED_VALUE"""),"1550- 2368")</f>
        <v>1550- 2368</v>
      </c>
      <c r="I134" t="str">
        <f ca="1">IFERROR(__xludf.DUMMYFUNCTION("""COMPUTED_VALUE"""),"Physical Review D")</f>
        <v>Physical Review D</v>
      </c>
      <c r="J134" t="str">
        <f ca="1">IFERROR(__xludf.DUMMYFUNCTION("""COMPUTED_VALUE"""),"Physics &amp; Mathematics")</f>
        <v>Physics &amp; Mathematics</v>
      </c>
      <c r="K134" t="str">
        <f ca="1">IFERROR(__xludf.DUMMYFUNCTION("""COMPUTED_VALUE"""),"American Physical Society")</f>
        <v>American Physical Society</v>
      </c>
      <c r="L134" t="str">
        <f ca="1">IFERROR(__xludf.DUMMYFUNCTION("""COMPUTED_VALUE"""),"Single blind")</f>
        <v>Single blind</v>
      </c>
      <c r="M134" s="93" t="str">
        <f ca="1">IFERROR(__xludf.DUMMYFUNCTION("""COMPUTED_VALUE"""),"https://journals.aps.org/prd/authors/editorial-policies-practices#anonymity")</f>
        <v>https://journals.aps.org/prd/authors/editorial-policies-practices#anonymity</v>
      </c>
      <c r="N134" t="str">
        <f ca="1">IFERROR(__xludf.DUMMYFUNCTION("""COMPUTED_VALUE"""),"")</f>
        <v/>
      </c>
      <c r="O134" t="str">
        <f ca="1">IFERROR(__xludf.DUMMYFUNCTION("""COMPUTED_VALUE"""),"")</f>
        <v/>
      </c>
      <c r="P134" t="str">
        <f ca="1">IFERROR(__xludf.DUMMYFUNCTION("""COMPUTED_VALUE"""),"Unsure")</f>
        <v>Unsure</v>
      </c>
      <c r="Q134" t="str">
        <f ca="1">IFERROR(__xludf.DUMMYFUNCTION("""COMPUTED_VALUE"""),"If a manuscript submitted to Physical Review D is on a topic not within its purview, but may be suitable for another Physical Review journal, the editors may transfer the paper to the appropriate journal and inform the author(s) of that transfer.")</f>
        <v>If a manuscript submitted to Physical Review D is on a topic not within its purview, but may be suitable for another Physical Review journal, the editors may transfer the paper to the appropriate journal and inform the author(s) of that transfer.</v>
      </c>
      <c r="R134" s="93" t="str">
        <f ca="1">IFERROR(__xludf.DUMMYFUNCTION("""COMPUTED_VALUE"""),"https://journals.aps.org/prd/authors/editorial-policies-practices#sub")</f>
        <v>https://journals.aps.org/prd/authors/editorial-policies-practices#sub</v>
      </c>
      <c r="S134" t="str">
        <f ca="1">IFERROR(__xludf.DUMMYFUNCTION("""COMPUTED_VALUE"""),"No")</f>
        <v>No</v>
      </c>
      <c r="T134" t="str">
        <f ca="1">IFERROR(__xludf.DUMMYFUNCTION("""COMPUTED_VALUE"""),"No")</f>
        <v>No</v>
      </c>
      <c r="U134" t="str">
        <f ca="1">IFERROR(__xludf.DUMMYFUNCTION("""COMPUTED_VALUE"""),"No")</f>
        <v>No</v>
      </c>
      <c r="V134" t="str">
        <f ca="1">IFERROR(__xludf.DUMMYFUNCTION("""COMPUTED_VALUE"""),"Not specified")</f>
        <v>Not specified</v>
      </c>
      <c r="W134" t="str">
        <f ca="1">IFERROR(__xludf.DUMMYFUNCTION("""COMPUTED_VALUE"""),"No")</f>
        <v>No</v>
      </c>
      <c r="X134" t="str">
        <f ca="1">IFERROR(__xludf.DUMMYFUNCTION("""COMPUTED_VALUE"""),"No")</f>
        <v>No</v>
      </c>
      <c r="Y134" t="str">
        <f ca="1">IFERROR(__xludf.DUMMYFUNCTION("""COMPUTED_VALUE"""),"Not specified")</f>
        <v>Not specified</v>
      </c>
      <c r="Z134" t="str">
        <f ca="1">IFERROR(__xludf.DUMMYFUNCTION("""COMPUTED_VALUE"""),"Not specified")</f>
        <v>Not specified</v>
      </c>
      <c r="AA134" t="str">
        <f ca="1">IFERROR(__xludf.DUMMYFUNCTION("""COMPUTED_VALUE"""),"")</f>
        <v/>
      </c>
      <c r="AB134"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4" s="93" t="str">
        <f ca="1">IFERROR(__xludf.DUMMYFUNCTION("""COMPUTED_VALUE"""),"https://journals.aps.org/prd/authors/editorial-policies-practices#anonymity")</f>
        <v>https://journals.aps.org/prd/authors/editorial-policies-practices#anonymity</v>
      </c>
      <c r="AD134" t="str">
        <f ca="1">IFERROR(__xludf.DUMMYFUNCTION("""COMPUTED_VALUE"""),"Yes")</f>
        <v>Yes</v>
      </c>
      <c r="AE134" t="str">
        <f ca="1">IFERROR(__xludf.DUMMYFUNCTION("""COMPUTED_VALUE"""),"Unsure")</f>
        <v>Unsure</v>
      </c>
      <c r="AF134" t="str">
        <f ca="1">IFERROR(__xludf.DUMMYFUNCTION("""COMPUTED_VALUE"""),"Unsure")</f>
        <v>Unsure</v>
      </c>
      <c r="AG134" t="str">
        <f ca="1">IFERROR(__xludf.DUMMYFUNCTION("""COMPUTED_VALUE"""),"")</f>
        <v/>
      </c>
      <c r="AH134" t="str">
        <f ca="1">IFERROR(__xludf.DUMMYFUNCTION("""COMPUTED_VALUE"""),"No preprint policy")</f>
        <v>No preprint policy</v>
      </c>
      <c r="AI134" t="str">
        <f ca="1">IFERROR(__xludf.DUMMYFUNCTION("""COMPUTED_VALUE"""),"")</f>
        <v/>
      </c>
      <c r="AJ134" t="str">
        <f ca="1">IFERROR(__xludf.DUMMYFUNCTION("""COMPUTED_VALUE"""),"Yes, in the reference list (Authors may cite unpublished work, such as e-prints, preprints, internal reports, or results that have been reported only orally at meetings (even though an abstract may have been published).) https://journals.aps.org/prd/autho"&amp;"rs/editorial-policies-practices")</f>
        <v>Yes, in the reference list (Authors may cite unpublished work, such as e-prints, preprints, internal reports, or results that have been reported only orally at meetings (even though an abstract may have been published).) https://journals.aps.org/prd/authors/editorial-policies-practices</v>
      </c>
      <c r="AK134" t="str">
        <f ca="1">IFERROR(__xludf.DUMMYFUNCTION("""COMPUTED_VALUE"""),"")</f>
        <v/>
      </c>
      <c r="AL134" t="str">
        <f ca="1">IFERROR(__xludf.DUMMYFUNCTION("""COMPUTED_VALUE"""),"")</f>
        <v/>
      </c>
      <c r="AM134" t="str">
        <f ca="1">IFERROR(__xludf.DUMMYFUNCTION("""COMPUTED_VALUE"""),"")</f>
        <v/>
      </c>
      <c r="AN134" t="str">
        <f ca="1">IFERROR(__xludf.DUMMYFUNCTION("""COMPUTED_VALUE"""),"")</f>
        <v/>
      </c>
      <c r="AO134" t="str">
        <f ca="1">IFERROR(__xludf.DUMMYFUNCTION("""COMPUTED_VALUE"""),"")</f>
        <v/>
      </c>
      <c r="AP134" t="str">
        <f ca="1">IFERROR(__xludf.DUMMYFUNCTION("""COMPUTED_VALUE"""),"")</f>
        <v/>
      </c>
      <c r="AQ134" t="str">
        <f ca="1">IFERROR(__xludf.DUMMYFUNCTION("""COMPUTED_VALUE"""),"")</f>
        <v/>
      </c>
      <c r="AR134" t="str">
        <f ca="1">IFERROR(__xludf.DUMMYFUNCTION("""COMPUTED_VALUE"""),"")</f>
        <v/>
      </c>
    </row>
    <row r="135" spans="1:44" ht="13">
      <c r="A135" t="str">
        <f ca="1">IFERROR(__xludf.DUMMYFUNCTION("""COMPUTED_VALUE"""),"GSM")</f>
        <v>GSM</v>
      </c>
      <c r="B135" s="41">
        <f ca="1">IFERROR(__xludf.DUMMYFUNCTION("""COMPUTED_VALUE"""),43114)</f>
        <v>43114</v>
      </c>
      <c r="C135" t="str">
        <f ca="1">IFERROR(__xludf.DUMMYFUNCTION("""COMPUTED_VALUE"""),"SH")</f>
        <v>SH</v>
      </c>
      <c r="D135" s="28">
        <f ca="1">IFERROR(__xludf.DUMMYFUNCTION("""COMPUTED_VALUE"""),43575)</f>
        <v>43575</v>
      </c>
      <c r="E135" t="str">
        <f ca="1">IFERROR(__xludf.DUMMYFUNCTION("""COMPUTED_VALUE"""),"TRH")</f>
        <v>TRH</v>
      </c>
      <c r="F135" s="28">
        <f ca="1">IFERROR(__xludf.DUMMYFUNCTION("""COMPUTED_VALUE"""),43581)</f>
        <v>43581</v>
      </c>
      <c r="G135" s="28" t="str">
        <f ca="1">IFERROR(__xludf.DUMMYFUNCTION("""COMPUTED_VALUE"""),"")</f>
        <v/>
      </c>
      <c r="H135" t="str">
        <f ca="1">IFERROR(__xludf.DUMMYFUNCTION("""COMPUTED_VALUE"""),"1079-7114")</f>
        <v>1079-7114</v>
      </c>
      <c r="I135" t="str">
        <f ca="1">IFERROR(__xludf.DUMMYFUNCTION("""COMPUTED_VALUE"""),"Physical Review Letters")</f>
        <v>Physical Review Letters</v>
      </c>
      <c r="J135" t="str">
        <f ca="1">IFERROR(__xludf.DUMMYFUNCTION("""COMPUTED_VALUE"""),"Physics &amp; Mathematics")</f>
        <v>Physics &amp; Mathematics</v>
      </c>
      <c r="K135" t="str">
        <f ca="1">IFERROR(__xludf.DUMMYFUNCTION("""COMPUTED_VALUE"""),"American Physical Society")</f>
        <v>American Physical Society</v>
      </c>
      <c r="L135" t="str">
        <f ca="1">IFERROR(__xludf.DUMMYFUNCTION("""COMPUTED_VALUE"""),"Single blind")</f>
        <v>Single blind</v>
      </c>
      <c r="M135" s="93" t="str">
        <f ca="1">IFERROR(__xludf.DUMMYFUNCTION("""COMPUTED_VALUE"""),"https://journals.aps.org/prl/authors/editorial-policies-practices#anonymity")</f>
        <v>https://journals.aps.org/prl/authors/editorial-policies-practices#anonymity</v>
      </c>
      <c r="N135" s="93" t="str">
        <f ca="1">IFERROR(__xludf.DUMMYFUNCTION("""COMPUTED_VALUE"""),"https://journals.aps.org/referees/referee-response-physical-review-letters")</f>
        <v>https://journals.aps.org/referees/referee-response-physical-review-letters</v>
      </c>
      <c r="O135" t="str">
        <f ca="1">IFERROR(__xludf.DUMMYFUNCTION("""COMPUTED_VALUE"""),"")</f>
        <v/>
      </c>
      <c r="P135" t="str">
        <f ca="1">IFERROR(__xludf.DUMMYFUNCTION("""COMPUTED_VALUE"""),"Unsure")</f>
        <v>Unsure</v>
      </c>
      <c r="Q135" t="str">
        <f ca="1">IFERROR(__xludf.DUMMYFUNCTION("""COMPUTED_VALUE"""),"")</f>
        <v/>
      </c>
      <c r="R135" t="str">
        <f ca="1">IFERROR(__xludf.DUMMYFUNCTION("""COMPUTED_VALUE"""),"")</f>
        <v/>
      </c>
      <c r="S135" t="str">
        <f ca="1">IFERROR(__xludf.DUMMYFUNCTION("""COMPUTED_VALUE"""),"No")</f>
        <v>No</v>
      </c>
      <c r="T135" t="str">
        <f ca="1">IFERROR(__xludf.DUMMYFUNCTION("""COMPUTED_VALUE"""),"No")</f>
        <v>No</v>
      </c>
      <c r="U135" t="str">
        <f ca="1">IFERROR(__xludf.DUMMYFUNCTION("""COMPUTED_VALUE"""),"No")</f>
        <v>No</v>
      </c>
      <c r="V135" t="str">
        <f ca="1">IFERROR(__xludf.DUMMYFUNCTION("""COMPUTED_VALUE"""),"No")</f>
        <v>No</v>
      </c>
      <c r="W135" t="str">
        <f ca="1">IFERROR(__xludf.DUMMYFUNCTION("""COMPUTED_VALUE"""),"No")</f>
        <v>No</v>
      </c>
      <c r="X135" t="str">
        <f ca="1">IFERROR(__xludf.DUMMYFUNCTION("""COMPUTED_VALUE"""),"No")</f>
        <v>No</v>
      </c>
      <c r="Y135" t="str">
        <f ca="1">IFERROR(__xludf.DUMMYFUNCTION("""COMPUTED_VALUE"""),"Not specified")</f>
        <v>Not specified</v>
      </c>
      <c r="Z135" t="str">
        <f ca="1">IFERROR(__xludf.DUMMYFUNCTION("""COMPUTED_VALUE"""),"Not specified")</f>
        <v>Not specified</v>
      </c>
      <c r="AA135" t="str">
        <f ca="1">IFERROR(__xludf.DUMMYFUNCTION("""COMPUTED_VALUE"""),"")</f>
        <v/>
      </c>
      <c r="AB135"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5" s="93" t="str">
        <f ca="1">IFERROR(__xludf.DUMMYFUNCTION("""COMPUTED_VALUE"""),"https://journals.aps.org/prl/authors/editorial-policies-practices#anonymity")</f>
        <v>https://journals.aps.org/prl/authors/editorial-policies-practices#anonymity</v>
      </c>
      <c r="AD135" t="str">
        <f ca="1">IFERROR(__xludf.DUMMYFUNCTION("""COMPUTED_VALUE"""),"Yes")</f>
        <v>Yes</v>
      </c>
      <c r="AE135" t="str">
        <f ca="1">IFERROR(__xludf.DUMMYFUNCTION("""COMPUTED_VALUE"""),"Unsure")</f>
        <v>Unsure</v>
      </c>
      <c r="AF135" t="str">
        <f ca="1">IFERROR(__xludf.DUMMYFUNCTION("""COMPUTED_VALUE"""),"Unsure")</f>
        <v>Unsure</v>
      </c>
      <c r="AG135" t="str">
        <f ca="1">IFERROR(__xludf.DUMMYFUNCTION("""COMPUTED_VALUE"""),"")</f>
        <v/>
      </c>
      <c r="AH135" t="str">
        <f ca="1">IFERROR(__xludf.DUMMYFUNCTION("""COMPUTED_VALUE"""),"No preprint policy")</f>
        <v>No preprint policy</v>
      </c>
      <c r="AI135" t="str">
        <f ca="1">IFERROR(__xludf.DUMMYFUNCTION("""COMPUTED_VALUE"""),"")</f>
        <v/>
      </c>
      <c r="AJ135" t="str">
        <f ca="1">IFERROR(__xludf.DUMMYFUNCTION("""COMPUTED_VALUE"""),"Unsure")</f>
        <v>Unsure</v>
      </c>
      <c r="AK135" t="str">
        <f ca="1">IFERROR(__xludf.DUMMYFUNCTION("""COMPUTED_VALUE"""),"Unsure")</f>
        <v>Unsure</v>
      </c>
      <c r="AL135" t="str">
        <f ca="1">IFERROR(__xludf.DUMMYFUNCTION("""COMPUTED_VALUE"""),"")</f>
        <v/>
      </c>
      <c r="AM135" t="str">
        <f ca="1">IFERROR(__xludf.DUMMYFUNCTION("""COMPUTED_VALUE"""),"")</f>
        <v/>
      </c>
      <c r="AN135" t="str">
        <f ca="1">IFERROR(__xludf.DUMMYFUNCTION("""COMPUTED_VALUE"""),"")</f>
        <v/>
      </c>
      <c r="AO135" t="str">
        <f ca="1">IFERROR(__xludf.DUMMYFUNCTION("""COMPUTED_VALUE"""),"")</f>
        <v/>
      </c>
      <c r="AP135" t="str">
        <f ca="1">IFERROR(__xludf.DUMMYFUNCTION("""COMPUTED_VALUE"""),"No ""the identities of our referees are not released to authors or other referees throughout or after the review process."" // ""Peer review material is confidential and access is restricted. Requests for access should be addressed to the Editor in Chief,"&amp;" who will consider the purposes of the research, the qualifications of the researchers, and the cost to APS of making the material available, among other factors. Material will not normally be released for scholarly purposes until at least fifty years aft"&amp;"er the events involved.:")</f>
        <v>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v>
      </c>
      <c r="AQ135">
        <f ca="1">IFERROR(__xludf.DUMMYFUNCTION("""COMPUTED_VALUE"""),10)</f>
        <v>10</v>
      </c>
      <c r="AR135" t="str">
        <f ca="1">IFERROR(__xludf.DUMMYFUNCTION("""COMPUTED_VALUE"""),"")</f>
        <v/>
      </c>
    </row>
    <row r="136" spans="1:44" ht="13">
      <c r="A136" t="str">
        <f ca="1">IFERROR(__xludf.DUMMYFUNCTION("""COMPUTED_VALUE"""),"GSM")</f>
        <v>GSM</v>
      </c>
      <c r="B136" s="41">
        <f ca="1">IFERROR(__xludf.DUMMYFUNCTION("""COMPUTED_VALUE"""),43114)</f>
        <v>43114</v>
      </c>
      <c r="C136" t="str">
        <f ca="1">IFERROR(__xludf.DUMMYFUNCTION("""COMPUTED_VALUE"""),"SH")</f>
        <v>SH</v>
      </c>
      <c r="D136" s="28">
        <f ca="1">IFERROR(__xludf.DUMMYFUNCTION("""COMPUTED_VALUE"""),43575)</f>
        <v>43575</v>
      </c>
      <c r="E136" t="str">
        <f ca="1">IFERROR(__xludf.DUMMYFUNCTION("""COMPUTED_VALUE"""),"TRH")</f>
        <v>TRH</v>
      </c>
      <c r="F136" s="28">
        <f ca="1">IFERROR(__xludf.DUMMYFUNCTION("""COMPUTED_VALUE"""),43581)</f>
        <v>43581</v>
      </c>
      <c r="G136" s="28" t="str">
        <f ca="1">IFERROR(__xludf.DUMMYFUNCTION("""COMPUTED_VALUE"""),"")</f>
        <v/>
      </c>
      <c r="H136" t="str">
        <f ca="1">IFERROR(__xludf.DUMMYFUNCTION("""COMPUTED_VALUE"""),"2160-3308")</f>
        <v>2160-3308</v>
      </c>
      <c r="I136" t="str">
        <f ca="1">IFERROR(__xludf.DUMMYFUNCTION("""COMPUTED_VALUE"""),"Physical Review X")</f>
        <v>Physical Review X</v>
      </c>
      <c r="J136" t="str">
        <f ca="1">IFERROR(__xludf.DUMMYFUNCTION("""COMPUTED_VALUE"""),"Physics &amp; Mathematics")</f>
        <v>Physics &amp; Mathematics</v>
      </c>
      <c r="K136" t="str">
        <f ca="1">IFERROR(__xludf.DUMMYFUNCTION("""COMPUTED_VALUE"""),"American Physical Society")</f>
        <v>American Physical Society</v>
      </c>
      <c r="L136" t="str">
        <f ca="1">IFERROR(__xludf.DUMMYFUNCTION("""COMPUTED_VALUE"""),"Single blind")</f>
        <v>Single blind</v>
      </c>
      <c r="M136" s="93" t="str">
        <f ca="1">IFERROR(__xludf.DUMMYFUNCTION("""COMPUTED_VALUE"""),"https://journals.aps.org/prx/authors/editorial-policies-practices")</f>
        <v>https://journals.aps.org/prx/authors/editorial-policies-practices</v>
      </c>
      <c r="N136" s="93" t="str">
        <f ca="1">IFERROR(__xludf.DUMMYFUNCTION("""COMPUTED_VALUE"""),"https://journals.aps.org/prx/referees/referee-response-physical-review-x")</f>
        <v>https://journals.aps.org/prx/referees/referee-response-physical-review-x</v>
      </c>
      <c r="O136" t="str">
        <f ca="1">IFERROR(__xludf.DUMMYFUNCTION("""COMPUTED_VALUE"""),"")</f>
        <v/>
      </c>
      <c r="P136" t="str">
        <f ca="1">IFERROR(__xludf.DUMMYFUNCTION("""COMPUTED_VALUE"""),"Unsure")</f>
        <v>Unsure</v>
      </c>
      <c r="Q136" t="str">
        <f ca="1">IFERROR(__xludf.DUMMYFUNCTION("""COMPUTED_VALUE"""),"Relationship to the other Physical Review journals
 Although a member of the Physical Review family of journals, Physical Review X is editorially independent of the other journals. Its editors make their own decisions on manuscripts under consideration by"&amp;" the journal.
 Procedurally, the Physical Review family journals, including Physical Review Letters and Physical Review X, allow transfer of a manuscript from one journal to another to take place, provided that the topic of the manuscript fits within the "&amp;"scope of the latter journal. However, the editors of that journal will make their own decision on the disposition of the transferred manuscript.
 Under this general policy, the editors of Physical Review X may reject the transferred manuscript without ext"&amp;"ernal review if they judge that the manuscript does not fulfill the journal's stringent acceptance criteria. Since the scope of Physical Review X is intended to be broader than what is currently covered by the other Physical Review journals, it is natural"&amp;" that Physical Review X may reconsider papers that have been rejected by the other Physical Review journals primarily for the reason of unmatched scope. In such cases, the editors of Physical Review X may seek external review of the transferred manuscript"&amp;" before reaching a final decision. In rare occasions and if the manuscript has been thoroughly vetted technically by the journal from which it is transferred, the editors of Physical Review X may accept the transferred manuscript for publication without a"&amp;"dditional external review, typically after consultation with the journal's editorial board.")</f>
        <v>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v>
      </c>
      <c r="R136" s="93" t="str">
        <f ca="1">IFERROR(__xludf.DUMMYFUNCTION("""COMPUTED_VALUE"""),"https://journals.aps.org/prx/authors/editorial-policies-practices")</f>
        <v>https://journals.aps.org/prx/authors/editorial-policies-practices</v>
      </c>
      <c r="S136" t="str">
        <f ca="1">IFERROR(__xludf.DUMMYFUNCTION("""COMPUTED_VALUE"""),"No")</f>
        <v>No</v>
      </c>
      <c r="T136" t="str">
        <f ca="1">IFERROR(__xludf.DUMMYFUNCTION("""COMPUTED_VALUE"""),"No")</f>
        <v>No</v>
      </c>
      <c r="U136" t="str">
        <f ca="1">IFERROR(__xludf.DUMMYFUNCTION("""COMPUTED_VALUE"""),"No")</f>
        <v>No</v>
      </c>
      <c r="V136" t="str">
        <f ca="1">IFERROR(__xludf.DUMMYFUNCTION("""COMPUTED_VALUE"""),"No")</f>
        <v>No</v>
      </c>
      <c r="W136" t="str">
        <f ca="1">IFERROR(__xludf.DUMMYFUNCTION("""COMPUTED_VALUE"""),"No")</f>
        <v>No</v>
      </c>
      <c r="X136" t="str">
        <f ca="1">IFERROR(__xludf.DUMMYFUNCTION("""COMPUTED_VALUE"""),"No")</f>
        <v>No</v>
      </c>
      <c r="Y136" t="str">
        <f ca="1">IFERROR(__xludf.DUMMYFUNCTION("""COMPUTED_VALUE"""),"Not specified")</f>
        <v>Not specified</v>
      </c>
      <c r="Z136" t="str">
        <f ca="1">IFERROR(__xludf.DUMMYFUNCTION("""COMPUTED_VALUE"""),"Not specified")</f>
        <v>Not specified</v>
      </c>
      <c r="AA136" t="str">
        <f ca="1">IFERROR(__xludf.DUMMYFUNCTION("""COMPUTED_VALUE"""),"")</f>
        <v/>
      </c>
      <c r="AB136"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36" s="93" t="str">
        <f ca="1">IFERROR(__xludf.DUMMYFUNCTION("""COMPUTED_VALUE"""),"https://journals.aps.org/prx/authors/editorial-policies-practices")</f>
        <v>https://journals.aps.org/prx/authors/editorial-policies-practices</v>
      </c>
      <c r="AD136" t="str">
        <f ca="1">IFERROR(__xludf.DUMMYFUNCTION("""COMPUTED_VALUE"""),"Yes")</f>
        <v>Yes</v>
      </c>
      <c r="AE136" t="str">
        <f ca="1">IFERROR(__xludf.DUMMYFUNCTION("""COMPUTED_VALUE"""),"Unsure")</f>
        <v>Unsure</v>
      </c>
      <c r="AF136" t="str">
        <f ca="1">IFERROR(__xludf.DUMMYFUNCTION("""COMPUTED_VALUE"""),"Unsure")</f>
        <v>Unsure</v>
      </c>
      <c r="AG136" t="str">
        <f ca="1">IFERROR(__xludf.DUMMYFUNCTION("""COMPUTED_VALUE"""),"")</f>
        <v/>
      </c>
      <c r="AH136" t="str">
        <f ca="1">IFERROR(__xludf.DUMMYFUNCTION("""COMPUTED_VALUE"""),"No preprint policy")</f>
        <v>No preprint policy</v>
      </c>
      <c r="AI136" t="str">
        <f ca="1">IFERROR(__xludf.DUMMYFUNCTION("""COMPUTED_VALUE"""),"")</f>
        <v/>
      </c>
      <c r="AJ136" t="str">
        <f ca="1">IFERROR(__xludf.DUMMYFUNCTION("""COMPUTED_VALUE"""),"Yes, in the reference list")</f>
        <v>Yes, in the reference list</v>
      </c>
      <c r="AK136" t="str">
        <f ca="1">IFERROR(__xludf.DUMMYFUNCTION("""COMPUTED_VALUE"""),"Unsure")</f>
        <v>Unsure</v>
      </c>
      <c r="AL136" t="str">
        <f ca="1">IFERROR(__xludf.DUMMYFUNCTION("""COMPUTED_VALUE"""),"")</f>
        <v/>
      </c>
      <c r="AM136" t="str">
        <f ca="1">IFERROR(__xludf.DUMMYFUNCTION("""COMPUTED_VALUE"""),"")</f>
        <v/>
      </c>
      <c r="AN136" t="str">
        <f ca="1">IFERROR(__xludf.DUMMYFUNCTION("""COMPUTED_VALUE"""),"")</f>
        <v/>
      </c>
      <c r="AO136" t="str">
        <f ca="1">IFERROR(__xludf.DUMMYFUNCTION("""COMPUTED_VALUE"""),"")</f>
        <v/>
      </c>
      <c r="AP136" t="str">
        <f ca="1">IFERROR(__xludf.DUMMYFUNCTION("""COMPUTED_VALUE"""),"No ""the identities of our referees are not released to authors or other referees throughout or after the review process."" // ""Peer review material is confidential and access is restricted. Requests for access should be addressed to the Editor in Chief,"&amp;" who will consider the purposes of the research, the qualifications of the researchers, and the cost to APS of making the material available, among other factors. Material will not normally be released for scholarly purposes until at least fifty years aft"&amp;"er the events involved.: // Preprint citation: ""When citations are made to internal reports, other items not available in the published literature, or unpublished work, it is the responsibility of the author to provide sufficient information to enable th"&amp;"e reader to obtain a copy of the cited material. Citations to papers published in peer-reviewed journals are considered primary references. Citations to e-print archives should not be used in place of primary references. Citations to classified reports or"&amp;" other documents with restricted circulation should be avoided. All citations, including those cited in figure and table captions, should be listed in the reference section.""")</f>
        <v>No "the identities of our referees are not released to authors or other referees throughout or after the review process." // "Peer review material is confidential and access is restricted. Requests for access should be addressed to the Editor in Chief, who will consider the purposes of the research, the qualifications of the researchers, and the cost to APS of making the material available, among other factors. Material will not normally be released for scholarly purposes until at least fifty years after the events involved.: // Preprint citation: "When citations are made to internal reports, other items not available in the published literature, or unpublished work, it is the responsibility of the author to provide sufficient information to enable the reader to obtain a copy of the cited material. Citations to papers published in peer-reviewed journals are considered primary references. Citations to e-print archives should not be used in place of primary references. Citations to classified reports or other documents with restricted circulation should be avoided. All citations, including those cited in figure and table captions, should be listed in the reference section."</v>
      </c>
      <c r="AQ136">
        <f ca="1">IFERROR(__xludf.DUMMYFUNCTION("""COMPUTED_VALUE"""),10)</f>
        <v>10</v>
      </c>
      <c r="AR136" t="str">
        <f ca="1">IFERROR(__xludf.DUMMYFUNCTION("""COMPUTED_VALUE"""),"")</f>
        <v/>
      </c>
    </row>
    <row r="137" spans="1:44" ht="13">
      <c r="A137" t="str">
        <f ca="1">IFERROR(__xludf.DUMMYFUNCTION("""COMPUTED_VALUE"""),"GSM")</f>
        <v>GSM</v>
      </c>
      <c r="B137" s="41">
        <f ca="1">IFERROR(__xludf.DUMMYFUNCTION("""COMPUTED_VALUE"""),43114)</f>
        <v>43114</v>
      </c>
      <c r="C137" t="str">
        <f ca="1">IFERROR(__xludf.DUMMYFUNCTION("""COMPUTED_VALUE"""),"SH")</f>
        <v>SH</v>
      </c>
      <c r="D137" s="28">
        <f ca="1">IFERROR(__xludf.DUMMYFUNCTION("""COMPUTED_VALUE"""),43575)</f>
        <v>43575</v>
      </c>
      <c r="E137" t="str">
        <f ca="1">IFERROR(__xludf.DUMMYFUNCTION("""COMPUTED_VALUE"""),"TRH")</f>
        <v>TRH</v>
      </c>
      <c r="F137" s="28">
        <f ca="1">IFERROR(__xludf.DUMMYFUNCTION("""COMPUTED_VALUE"""),43581)</f>
        <v>43581</v>
      </c>
      <c r="G137" s="28" t="str">
        <f ca="1">IFERROR(__xludf.DUMMYFUNCTION("""COMPUTED_VALUE"""),"")</f>
        <v/>
      </c>
      <c r="H137" t="str">
        <f ca="1">IFERROR(__xludf.DUMMYFUNCTION("""COMPUTED_VALUE"""),"0375-9601")</f>
        <v>0375-9601</v>
      </c>
      <c r="I137" t="str">
        <f ca="1">IFERROR(__xludf.DUMMYFUNCTION("""COMPUTED_VALUE"""),"Physics Letters B")</f>
        <v>Physics Letters B</v>
      </c>
      <c r="J137" t="str">
        <f ca="1">IFERROR(__xludf.DUMMYFUNCTION("""COMPUTED_VALUE"""),"Physics &amp; Mathematics")</f>
        <v>Physics &amp; Mathematics</v>
      </c>
      <c r="K137" t="str">
        <f ca="1">IFERROR(__xludf.DUMMYFUNCTION("""COMPUTED_VALUE"""),"Elsevier")</f>
        <v>Elsevier</v>
      </c>
      <c r="L137" t="str">
        <f ca="1">IFERROR(__xludf.DUMMYFUNCTION("""COMPUTED_VALUE"""),"Single blind")</f>
        <v>Single blind</v>
      </c>
      <c r="M137" s="93" t="str">
        <f ca="1">IFERROR(__xludf.DUMMYFUNCTION("""COMPUTED_VALUE"""),"https://www.elsevier.com/journals/physics-letters-b/0370-2693/guide-for-authors")</f>
        <v>https://www.elsevier.com/journals/physics-letters-b/0370-2693/guide-for-authors</v>
      </c>
      <c r="N137" t="str">
        <f ca="1">IFERROR(__xludf.DUMMYFUNCTION("""COMPUTED_VALUE"""),"")</f>
        <v/>
      </c>
      <c r="O137" t="str">
        <f ca="1">IFERROR(__xludf.DUMMYFUNCTION("""COMPUTED_VALUE"""),"")</f>
        <v/>
      </c>
      <c r="P137" t="str">
        <f ca="1">IFERROR(__xludf.DUMMYFUNCTION("""COMPUTED_VALUE"""),"Unsure")</f>
        <v>Unsure</v>
      </c>
      <c r="Q137" t="str">
        <f ca="1">IFERROR(__xludf.DUMMYFUNCTION("""COMPUTED_VALUE"""),"Article transfer service 
 This journal is part of our Article Transfer Service. This means that if the Editor feels your article is more suitable in one of our other participating journals, then you may be asked to consider transferring the article to on"&amp;"e of those. If you agree, your article will be transferred automatically on your behalf with no need to reformat. Please note that your article will be reviewed again by the new journal. More information.")</f>
        <v>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37" s="93" t="str">
        <f ca="1">IFERROR(__xludf.DUMMYFUNCTION("""COMPUTED_VALUE"""),"https://www.elsevier.com/journals/physics-letters-b/0370-2693/guide-for-authors")</f>
        <v>https://www.elsevier.com/journals/physics-letters-b/0370-2693/guide-for-authors</v>
      </c>
      <c r="S137" t="str">
        <f ca="1">IFERROR(__xludf.DUMMYFUNCTION("""COMPUTED_VALUE"""),"Not specified")</f>
        <v>Not specified</v>
      </c>
      <c r="T137" t="str">
        <f ca="1">IFERROR(__xludf.DUMMYFUNCTION("""COMPUTED_VALUE"""),"Not specified")</f>
        <v>Not specified</v>
      </c>
      <c r="U137" t="str">
        <f ca="1">IFERROR(__xludf.DUMMYFUNCTION("""COMPUTED_VALUE"""),"Not specified")</f>
        <v>Not specified</v>
      </c>
      <c r="V137" t="str">
        <f ca="1">IFERROR(__xludf.DUMMYFUNCTION("""COMPUTED_VALUE"""),"Not specified")</f>
        <v>Not specified</v>
      </c>
      <c r="W137" t="str">
        <f ca="1">IFERROR(__xludf.DUMMYFUNCTION("""COMPUTED_VALUE"""),"Not specified")</f>
        <v>Not specified</v>
      </c>
      <c r="X137" t="str">
        <f ca="1">IFERROR(__xludf.DUMMYFUNCTION("""COMPUTED_VALUE"""),"Not specified")</f>
        <v>Not specified</v>
      </c>
      <c r="Y137" t="str">
        <f ca="1">IFERROR(__xludf.DUMMYFUNCTION("""COMPUTED_VALUE"""),"Not specified")</f>
        <v>Not specified</v>
      </c>
      <c r="Z137" t="str">
        <f ca="1">IFERROR(__xludf.DUMMYFUNCTION("""COMPUTED_VALUE"""),"Not specified")</f>
        <v>Not specified</v>
      </c>
      <c r="AA137" t="str">
        <f ca="1">IFERROR(__xludf.DUMMYFUNCTION("""COMPUTED_VALUE"""),"")</f>
        <v/>
      </c>
      <c r="AB137" t="str">
        <f ca="1">IFERROR(__xludf.DUMMYFUNCTION("""COMPUTED_VALUE"""),"")</f>
        <v/>
      </c>
      <c r="AC137" t="str">
        <f ca="1">IFERROR(__xludf.DUMMYFUNCTION("""COMPUTED_VALUE"""),"")</f>
        <v/>
      </c>
      <c r="AD137" t="str">
        <f ca="1">IFERROR(__xludf.DUMMYFUNCTION("""COMPUTED_VALUE"""),"Unsure")</f>
        <v>Unsure</v>
      </c>
      <c r="AE137" t="str">
        <f ca="1">IFERROR(__xludf.DUMMYFUNCTION("""COMPUTED_VALUE"""),"Unsure")</f>
        <v>Unsure</v>
      </c>
      <c r="AF137" t="str">
        <f ca="1">IFERROR(__xludf.DUMMYFUNCTION("""COMPUTED_VALUE"""),"Unsure")</f>
        <v>Unsure</v>
      </c>
      <c r="AG137" s="93" t="str">
        <f ca="1">IFERROR(__xludf.DUMMYFUNCTION("""COMPUTED_VALUE"""),"https://www.elsevier.com/journals/physics-letters-b/0370-2693/guide-for-authors")</f>
        <v>https://www.elsevier.com/journals/physics-letters-b/0370-2693/guide-for-authors</v>
      </c>
      <c r="AH137" t="str">
        <f ca="1">IFERROR(__xludf.DUMMYFUNCTION("""COMPUTED_VALUE"""),"First submission only (before peer review)")</f>
        <v>First submission only (before peer review)</v>
      </c>
      <c r="AI137" t="str">
        <f ca="1">IFERROR(__xludf.DUMMYFUNCTION("""COMPUTED_VALUE"""),"")</f>
        <v/>
      </c>
      <c r="AJ137" t="str">
        <f ca="1">IFERROR(__xludf.DUMMYFUNCTION("""COMPUTED_VALUE"""),"Not specified")</f>
        <v>Not specified</v>
      </c>
      <c r="AK137" t="str">
        <f ca="1">IFERROR(__xludf.DUMMYFUNCTION("""COMPUTED_VALUE"""),"Yes")</f>
        <v>Yes</v>
      </c>
      <c r="AL137" t="str">
        <f ca="1">IFERROR(__xludf.DUMMYFUNCTION("""COMPUTED_VALUE"""),"")</f>
        <v/>
      </c>
      <c r="AM137" t="str">
        <f ca="1">IFERROR(__xludf.DUMMYFUNCTION("""COMPUTED_VALUE"""),"")</f>
        <v/>
      </c>
      <c r="AN137" t="str">
        <f ca="1">IFERROR(__xludf.DUMMYFUNCTION("""COMPUTED_VALUE"""),"")</f>
        <v/>
      </c>
      <c r="AO137" t="str">
        <f ca="1">IFERROR(__xludf.DUMMYFUNCTION("""COMPUTED_VALUE"""),"")</f>
        <v/>
      </c>
      <c r="AP137" t="str">
        <f ca="1">IFERROR(__xludf.DUMMYFUNCTION("""COMPUTED_VALUE"""),"")</f>
        <v/>
      </c>
      <c r="AQ137">
        <f ca="1">IFERROR(__xludf.DUMMYFUNCTION("""COMPUTED_VALUE"""),5)</f>
        <v>5</v>
      </c>
      <c r="AR137" t="str">
        <f ca="1">IFERROR(__xludf.DUMMYFUNCTION("""COMPUTED_VALUE"""),"")</f>
        <v/>
      </c>
    </row>
    <row r="138" spans="1:44" ht="13">
      <c r="A138" t="str">
        <f ca="1">IFERROR(__xludf.DUMMYFUNCTION("""COMPUTED_VALUE"""),"GSM")</f>
        <v>GSM</v>
      </c>
      <c r="B138" s="41">
        <f ca="1">IFERROR(__xludf.DUMMYFUNCTION("""COMPUTED_VALUE"""),43114)</f>
        <v>43114</v>
      </c>
      <c r="C138" t="str">
        <f ca="1">IFERROR(__xludf.DUMMYFUNCTION("""COMPUTED_VALUE"""),"SH")</f>
        <v>SH</v>
      </c>
      <c r="D138" s="28">
        <f ca="1">IFERROR(__xludf.DUMMYFUNCTION("""COMPUTED_VALUE"""),43575)</f>
        <v>43575</v>
      </c>
      <c r="E138" t="str">
        <f ca="1">IFERROR(__xludf.DUMMYFUNCTION("""COMPUTED_VALUE"""),"TRH")</f>
        <v>TRH</v>
      </c>
      <c r="F138" s="28">
        <f ca="1">IFERROR(__xludf.DUMMYFUNCTION("""COMPUTED_VALUE"""),43581)</f>
        <v>43581</v>
      </c>
      <c r="G138" s="28" t="str">
        <f ca="1">IFERROR(__xludf.DUMMYFUNCTION("""COMPUTED_VALUE"""),"")</f>
        <v/>
      </c>
      <c r="H138" t="str">
        <f ca="1">IFERROR(__xludf.DUMMYFUNCTION("""COMPUTED_VALUE"""),"1932-6203")</f>
        <v>1932-6203</v>
      </c>
      <c r="I138" t="str">
        <f ca="1">IFERROR(__xludf.DUMMYFUNCTION("""COMPUTED_VALUE"""),"PLoS One")</f>
        <v>PLoS One</v>
      </c>
      <c r="J138" t="str">
        <f ca="1">IFERROR(__xludf.DUMMYFUNCTION("""COMPUTED_VALUE"""),"Health &amp; Medical Sciences,
Life Sciences &amp; Earth Sciences")</f>
        <v>Health &amp; Medical Sciences,
Life Sciences &amp; Earth Sciences</v>
      </c>
      <c r="K138" t="str">
        <f ca="1">IFERROR(__xludf.DUMMYFUNCTION("""COMPUTED_VALUE"""),"PLoS")</f>
        <v>PLoS</v>
      </c>
      <c r="L138" t="str">
        <f ca="1">IFERROR(__xludf.DUMMYFUNCTION("""COMPUTED_VALUE"""),"Single blind")</f>
        <v>Single blind</v>
      </c>
      <c r="M138" s="93" t="str">
        <f ca="1">IFERROR(__xludf.DUMMYFUNCTION("""COMPUTED_VALUE"""),"https://journals.plos.org/plosone/s/editorial-and-peer-review-process")</f>
        <v>https://journals.plos.org/plosone/s/editorial-and-peer-review-process</v>
      </c>
      <c r="N138" t="str">
        <f ca="1">IFERROR(__xludf.DUMMYFUNCTION("""COMPUTED_VALUE"""),"")</f>
        <v/>
      </c>
      <c r="O138" t="str">
        <f ca="1">IFERROR(__xludf.DUMMYFUNCTION("""COMPUTED_VALUE"""),"")</f>
        <v/>
      </c>
      <c r="P138" t="str">
        <f ca="1">IFERROR(__xludf.DUMMYFUNCTION("""COMPUTED_VALUE"""),"Unsure")</f>
        <v>Unsure</v>
      </c>
      <c r="Q138" t="str">
        <f ca="1">IFERROR(__xludf.DUMMYFUNCTION("""COMPUTED_VALUE"""),"Authors can request that submissions (with referee reports, if relevant) rejected from one PLOS journal be transferred to another PLOS journal for further consideration there. Manuscripts will never be transferred between the journals without an author’s "&amp;"consent.
 We trust that reviewers for any PLOS journal are willing to have their reviews considered by the editors of another PLOS journal.")</f>
        <v>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v>
      </c>
      <c r="R138" s="93" t="str">
        <f ca="1">IFERROR(__xludf.DUMMYFUNCTION("""COMPUTED_VALUE"""),"https://journals.plos.org/plosone/s/editorial-and-peer-review-process")</f>
        <v>https://journals.plos.org/plosone/s/editorial-and-peer-review-process</v>
      </c>
      <c r="S138" t="str">
        <f ca="1">IFERROR(__xludf.DUMMYFUNCTION("""COMPUTED_VALUE"""),"Not specified")</f>
        <v>Not specified</v>
      </c>
      <c r="T138" t="str">
        <f ca="1">IFERROR(__xludf.DUMMYFUNCTION("""COMPUTED_VALUE"""),"Not specified")</f>
        <v>Not specified</v>
      </c>
      <c r="U138" t="str">
        <f ca="1">IFERROR(__xludf.DUMMYFUNCTION("""COMPUTED_VALUE"""),"Not specified")</f>
        <v>Not specified</v>
      </c>
      <c r="V138" t="str">
        <f ca="1">IFERROR(__xludf.DUMMYFUNCTION("""COMPUTED_VALUE"""),"Not specified")</f>
        <v>Not specified</v>
      </c>
      <c r="W138" t="str">
        <f ca="1">IFERROR(__xludf.DUMMYFUNCTION("""COMPUTED_VALUE"""),"Not specified")</f>
        <v>Not specified</v>
      </c>
      <c r="X138" t="str">
        <f ca="1">IFERROR(__xludf.DUMMYFUNCTION("""COMPUTED_VALUE"""),"Optional")</f>
        <v>Optional</v>
      </c>
      <c r="Y138" t="str">
        <f ca="1">IFERROR(__xludf.DUMMYFUNCTION("""COMPUTED_VALUE"""),"Not specified")</f>
        <v>Not specified</v>
      </c>
      <c r="Z138" t="str">
        <f ca="1">IFERROR(__xludf.DUMMYFUNCTION("""COMPUTED_VALUE"""),"Not specified")</f>
        <v>Not specified</v>
      </c>
      <c r="AA138" t="str">
        <f ca="1">IFERROR(__xludf.DUMMYFUNCTION("""COMPUTED_VALUE"""),"")</f>
        <v/>
      </c>
      <c r="AB138" t="str">
        <f ca="1">IFERROR(__xludf.DUMMYFUNCTION("""COMPUTED_VALUE"""),"Reviewers are required to treat all submitted manuscripts in strict confidence and should not share information about submissions with any other parties unless previously agreed with the editor. The involvement of a third party in the review must be decla"&amp;"red at the time of the submission of the review.")</f>
        <v>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v>
      </c>
      <c r="AC138" s="93" t="str">
        <f ca="1">IFERROR(__xludf.DUMMYFUNCTION("""COMPUTED_VALUE"""),"https://journals.plos.org/plosone/s/reviewer-guidelines")</f>
        <v>https://journals.plos.org/plosone/s/reviewer-guidelines</v>
      </c>
      <c r="AD138" t="str">
        <f ca="1">IFERROR(__xludf.DUMMYFUNCTION("""COMPUTED_VALUE"""),"Yes")</f>
        <v>Yes</v>
      </c>
      <c r="AE138" t="str">
        <f ca="1">IFERROR(__xludf.DUMMYFUNCTION("""COMPUTED_VALUE"""),"Unsure")</f>
        <v>Unsure</v>
      </c>
      <c r="AF138" t="str">
        <f ca="1">IFERROR(__xludf.DUMMYFUNCTION("""COMPUTED_VALUE"""),"Unsure")</f>
        <v>Unsure</v>
      </c>
      <c r="AG138" s="93" t="str">
        <f ca="1">IFERROR(__xludf.DUMMYFUNCTION("""COMPUTED_VALUE"""),"https://journals.plos.org/plosone/s/preprints")</f>
        <v>https://journals.plos.org/plosone/s/preprints</v>
      </c>
      <c r="AH138" t="str">
        <f ca="1">IFERROR(__xludf.DUMMYFUNCTION("""COMPUTED_VALUE"""),"First submission only (before peer review)")</f>
        <v>First submission only (before peer review)</v>
      </c>
      <c r="AI138" t="str">
        <f ca="1">IFERROR(__xludf.DUMMYFUNCTION("""COMPUTED_VALUE"""),"E.g. bioRxiv")</f>
        <v>E.g. bioRxiv</v>
      </c>
      <c r="AJ138" t="str">
        <f ca="1">IFERROR(__xludf.DUMMYFUNCTION("""COMPUTED_VALUE"""),"Yes, in reference list")</f>
        <v>Yes, in reference list</v>
      </c>
      <c r="AK138" t="str">
        <f ca="1">IFERROR(__xludf.DUMMYFUNCTION("""COMPUTED_VALUE"""),"Yes")</f>
        <v>Yes</v>
      </c>
      <c r="AL138" t="str">
        <f ca="1">IFERROR(__xludf.DUMMYFUNCTION("""COMPUTED_VALUE"""),"")</f>
        <v/>
      </c>
      <c r="AM138" t="str">
        <f ca="1">IFERROR(__xludf.DUMMYFUNCTION("""COMPUTED_VALUE"""),"")</f>
        <v/>
      </c>
      <c r="AN138" t="str">
        <f ca="1">IFERROR(__xludf.DUMMYFUNCTION("""COMPUTED_VALUE"""),"")</f>
        <v/>
      </c>
      <c r="AO138" t="str">
        <f ca="1">IFERROR(__xludf.DUMMYFUNCTION("""COMPUTED_VALUE"""),"""PLOS encourages editors to consider comments and feedback available on the preprint record to inform their editorial decision, and where relevant, editors may incorporate those comments in their editorial feedback to authors.""")</f>
        <v>"PLOS encourages editors to consider comments and feedback available on the preprint record to inform their editorial decision, and where relevant, editors may incorporate those comments in their editorial feedback to authors."</v>
      </c>
      <c r="AP138" t="str">
        <f ca="1">IFERROR(__xludf.DUMMYFUNCTION("""COMPUTED_VALUE"""),"Re. preprint citation: Any and all available works can be cited in the reference list. Acceptable sources include: .. Published or accepted manuscripts ... Manuscripts on preprint servers, providing the manuscript has a citable DOI or arXiv URL.""")</f>
        <v>Re. preprint citation: Any and all available works can be cited in the reference list. Acceptable sources include: .. Published or accepted manuscripts ... Manuscripts on preprint servers, providing the manuscript has a citable DOI or arXiv URL."</v>
      </c>
      <c r="AQ138">
        <f ca="1">IFERROR(__xludf.DUMMYFUNCTION("""COMPUTED_VALUE"""),10)</f>
        <v>10</v>
      </c>
      <c r="AR138" t="str">
        <f ca="1">IFERROR(__xludf.DUMMYFUNCTION("""COMPUTED_VALUE"""),"")</f>
        <v/>
      </c>
    </row>
    <row r="139" spans="1:44" ht="13">
      <c r="A139" t="str">
        <f ca="1">IFERROR(__xludf.DUMMYFUNCTION("""COMPUTED_VALUE"""),"GSM")</f>
        <v>GSM</v>
      </c>
      <c r="B139" s="41">
        <f ca="1">IFERROR(__xludf.DUMMYFUNCTION("""COMPUTED_VALUE"""),43114)</f>
        <v>43114</v>
      </c>
      <c r="C139" t="str">
        <f ca="1">IFERROR(__xludf.DUMMYFUNCTION("""COMPUTED_VALUE"""),"NP")</f>
        <v>NP</v>
      </c>
      <c r="D139" s="28">
        <f ca="1">IFERROR(__xludf.DUMMYFUNCTION("""COMPUTED_VALUE"""),43575)</f>
        <v>43575</v>
      </c>
      <c r="E139" t="str">
        <f ca="1">IFERROR(__xludf.DUMMYFUNCTION("""COMPUTED_VALUE"""),"JP")</f>
        <v>JP</v>
      </c>
      <c r="F139" s="28">
        <f ca="1">IFERROR(__xludf.DUMMYFUNCTION("""COMPUTED_VALUE"""),43581)</f>
        <v>43581</v>
      </c>
      <c r="G139" t="str">
        <f ca="1">IFERROR(__xludf.DUMMYFUNCTION("""COMPUTED_VALUE"""),"Added url for additional peer review info; replaced acceptable servers w quote; moved peer review credit url from notes to field")</f>
        <v>Added url for additional peer review info; replaced acceptable servers w quote; moved peer review credit url from notes to field</v>
      </c>
      <c r="H139" t="str">
        <f ca="1">IFERROR(__xludf.DUMMYFUNCTION("""COMPUTED_VALUE"""),"1091-6490")</f>
        <v>1091-6490</v>
      </c>
      <c r="I139" t="str">
        <f ca="1">IFERROR(__xludf.DUMMYFUNCTION("""COMPUTED_VALUE"""),"Proceedings of the National Academy of Sciences")</f>
        <v>Proceedings of the National Academy of Sciences</v>
      </c>
      <c r="J139" t="str">
        <f ca="1">IFERROR(__xludf.DUMMYFUNCTION("""COMPUTED_VALUE"""),"Health &amp; Medical Sciences,
Life Sciences &amp; Earth Sciences")</f>
        <v>Health &amp; Medical Sciences,
Life Sciences &amp; Earth Sciences</v>
      </c>
      <c r="K139" t="str">
        <f ca="1">IFERROR(__xludf.DUMMYFUNCTION("""COMPUTED_VALUE"""),"National Academy of Sciences")</f>
        <v>National Academy of Sciences</v>
      </c>
      <c r="L139" t="str">
        <f ca="1">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M139" s="93" t="str">
        <f ca="1">IFERROR(__xludf.DUMMYFUNCTION("""COMPUTED_VALUE"""),"https://www.pnas.org/page/authors/reviewers")</f>
        <v>https://www.pnas.org/page/authors/reviewers</v>
      </c>
      <c r="N139" t="str">
        <f ca="1">IFERROR(__xludf.DUMMYFUNCTION("""COMPUTED_VALUE"""),"")</f>
        <v/>
      </c>
      <c r="O139" s="93" t="str">
        <f ca="1">IFERROR(__xludf.DUMMYFUNCTION("""COMPUTED_VALUE"""),"https://www.pnas.org/content/115/52/E12466")</f>
        <v>https://www.pnas.org/content/115/52/E12466</v>
      </c>
      <c r="P139" t="str">
        <f ca="1">IFERROR(__xludf.DUMMYFUNCTION("""COMPUTED_VALUE"""),"Unsure")</f>
        <v>Unsure</v>
      </c>
      <c r="Q139" t="str">
        <f ca="1">IFERROR(__xludf.DUMMYFUNCTION("""COMPUTED_VALUE"""),"Not specified")</f>
        <v>Not specified</v>
      </c>
      <c r="R139" t="str">
        <f ca="1">IFERROR(__xludf.DUMMYFUNCTION("""COMPUTED_VALUE"""),"Not specified")</f>
        <v>Not specified</v>
      </c>
      <c r="S139" t="str">
        <f ca="1">IFERROR(__xludf.DUMMYFUNCTION("""COMPUTED_VALUE"""),"Not specified")</f>
        <v>Not specified</v>
      </c>
      <c r="T139" t="str">
        <f ca="1">IFERROR(__xludf.DUMMYFUNCTION("""COMPUTED_VALUE"""),"Not specified")</f>
        <v>Not specified</v>
      </c>
      <c r="U139" t="str">
        <f ca="1">IFERROR(__xludf.DUMMYFUNCTION("""COMPUTED_VALUE"""),"Not specified")</f>
        <v>Not specified</v>
      </c>
      <c r="V139" t="str">
        <f ca="1">IFERROR(__xludf.DUMMYFUNCTION("""COMPUTED_VALUE"""),"Not specified")</f>
        <v>Not specified</v>
      </c>
      <c r="W139" t="str">
        <f ca="1">IFERROR(__xludf.DUMMYFUNCTION("""COMPUTED_VALUE"""),"Conditional")</f>
        <v>Conditional</v>
      </c>
      <c r="X139" t="str">
        <f ca="1">IFERROR(__xludf.DUMMYFUNCTION("""COMPUTED_VALUE"""),"Conditional")</f>
        <v>Conditional</v>
      </c>
      <c r="Y139" t="str">
        <f ca="1">IFERROR(__xludf.DUMMYFUNCTION("""COMPUTED_VALUE"""),"Not specified")</f>
        <v>Not specified</v>
      </c>
      <c r="Z139" t="str">
        <f ca="1">IFERROR(__xludf.DUMMYFUNCTION("""COMPUTED_VALUE"""),"Not specified")</f>
        <v>Not specified</v>
      </c>
      <c r="AA139" t="str">
        <f ca="1">IFERROR(__xludf.DUMMYFUNCTION("""COMPUTED_VALUE"""),"The review process is conducted anonymously for all submissions, except NAS members’ own contributions where the reviewers are known to the member author and their names are published. - https://www.pnas.org/page/authors/reviewers")</f>
        <v>The review process is conducted anonymously for all submissions, except NAS members’ own contributions where the reviewers are known to the member author and their names are published. - https://www.pnas.org/page/authors/reviewers</v>
      </c>
      <c r="AB139" t="str">
        <f ca="1">IFERROR(__xludf.DUMMYFUNCTION("""COMPUTED_VALUE"""),"Material under review is a privileged communication that should not be shared or discussed with anyone outside the designated review process unless necessary and approved by the editor. If you wish to consult a colleague for assistance with the review, pl"&amp;"ease ensure they are free of any conflicts of interest and agree to abide by journal policies.")</f>
        <v>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v>
      </c>
      <c r="AC139" s="93" t="str">
        <f ca="1">IFERROR(__xludf.DUMMYFUNCTION("""COMPUTED_VALUE"""),"https://www.pnas.org/page/authors/reviewers")</f>
        <v>https://www.pnas.org/page/authors/reviewers</v>
      </c>
      <c r="AD139" t="str">
        <f ca="1">IFERROR(__xludf.DUMMYFUNCTION("""COMPUTED_VALUE"""),"Yes")</f>
        <v>Yes</v>
      </c>
      <c r="AE139" t="str">
        <f ca="1">IFERROR(__xludf.DUMMYFUNCTION("""COMPUTED_VALUE"""),"Unsure")</f>
        <v>Unsure</v>
      </c>
      <c r="AF139" t="str">
        <f ca="1">IFERROR(__xludf.DUMMYFUNCTION("""COMPUTED_VALUE"""),"Unsure")</f>
        <v>Unsure</v>
      </c>
      <c r="AG139" t="str">
        <f ca="1">IFERROR(__xludf.DUMMYFUNCTION("""COMPUTED_VALUE"""),"https://www.pnas.org/page/authors/journal-policies &amp; https://www.pnas.org/content/114/48/12630")</f>
        <v>https://www.pnas.org/page/authors/journal-policies &amp; https://www.pnas.org/content/114/48/12630</v>
      </c>
      <c r="AH139" t="str">
        <f ca="1">IFERROR(__xludf.DUMMYFUNCTION("""COMPUTED_VALUE"""),"Unsure (preprints are allowed, but it's not clear what version")</f>
        <v>Unsure (preprints are allowed, but it's not clear what version</v>
      </c>
      <c r="AI139" t="str">
        <f ca="1">IFERROR(__xludf.DUMMYFUNCTION("""COMPUTED_VALUE"""),"Posting on Preprint Servers, such as arXiv or bioRxiv, is permitted.")</f>
        <v>Posting on Preprint Servers, such as arXiv or bioRxiv, is permitted.</v>
      </c>
      <c r="AJ139" t="str">
        <f ca="1">IFERROR(__xludf.DUMMYFUNCTION("""COMPUTED_VALUE"""),"Not specified")</f>
        <v>Not specified</v>
      </c>
      <c r="AK139" t="str">
        <f ca="1">IFERROR(__xludf.DUMMYFUNCTION("""COMPUTED_VALUE"""),"Unsure")</f>
        <v>Unsure</v>
      </c>
      <c r="AL139" t="str">
        <f ca="1">IFERROR(__xludf.DUMMYFUNCTION("""COMPUTED_VALUE"""),"we may distribute advance copies of accepted manuscripts under embargo to the news media before online publication in the journal, we ask that authors inform us if a version of their submission has ever appeared on a publicly accessible preprint server. T"&amp;"his helps us to ensure equitable dissemination of information to journalists.")</f>
        <v>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v>
      </c>
      <c r="AM139" t="str">
        <f ca="1">IFERROR(__xludf.DUMMYFUNCTION("""COMPUTED_VALUE"""),"[https://www.pnas.org/content/96/8/4215] We have never refused to consider a manuscript based on the license that an author has chosen for its preprint, options for which include Creative Commons (CC) licenses.")</f>
        <v>[https://www.pnas.org/content/96/8/4215] We have never refused to consider a manuscript based on the license that an author has chosen for its preprint, options for which include Creative Commons (CC) licenses.</v>
      </c>
      <c r="AN139" t="str">
        <f ca="1">IFERROR(__xludf.DUMMYFUNCTION("""COMPUTED_VALUE"""),"[https://www.pnas.org/content/96/8/4215] Precisely because a preprint is not a publication, it does not guarantee priority. Dissemination of your results in any form before publication carries with it the risk that others will publish them first, or super"&amp;"sede them. Either will definitely prejudice subsequent publication. Free exchange of unpublished work should be followed by timely publication.")</f>
        <v>[https://www.pnas.org/content/96/8/4215]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v>
      </c>
      <c r="AO139" t="str">
        <f ca="1">IFERROR(__xludf.DUMMYFUNCTION("""COMPUTED_VALUE"""),"")</f>
        <v/>
      </c>
      <c r="AP139" t="str">
        <f ca="1">IFERROR(__xludf.DUMMYFUNCTION("""COMPUTED_VALUE"""),"")</f>
        <v/>
      </c>
      <c r="AQ139" t="str">
        <f ca="1">IFERROR(__xludf.DUMMYFUNCTION("""COMPUTED_VALUE"""),"")</f>
        <v/>
      </c>
      <c r="AR139" t="str">
        <f ca="1">IFERROR(__xludf.DUMMYFUNCTION("""COMPUTED_VALUE"""),"")</f>
        <v/>
      </c>
    </row>
    <row r="140" spans="1:44" ht="13">
      <c r="A140" t="str">
        <f ca="1">IFERROR(__xludf.DUMMYFUNCTION("""COMPUTED_VALUE"""),"GSM")</f>
        <v>GSM</v>
      </c>
      <c r="B140" s="41">
        <f ca="1">IFERROR(__xludf.DUMMYFUNCTION("""COMPUTED_VALUE"""),43114)</f>
        <v>43114</v>
      </c>
      <c r="C140" t="str">
        <f ca="1">IFERROR(__xludf.DUMMYFUNCTION("""COMPUTED_VALUE"""),"NP")</f>
        <v>NP</v>
      </c>
      <c r="D140" s="28">
        <f ca="1">IFERROR(__xludf.DUMMYFUNCTION("""COMPUTED_VALUE"""),43575)</f>
        <v>43575</v>
      </c>
      <c r="E140" t="str">
        <f ca="1">IFERROR(__xludf.DUMMYFUNCTION("""COMPUTED_VALUE"""),"JP")</f>
        <v>JP</v>
      </c>
      <c r="F140" s="28">
        <f ca="1">IFERROR(__xludf.DUMMYFUNCTION("""COMPUTED_VALUE"""),43581)</f>
        <v>43581</v>
      </c>
      <c r="G140" t="str">
        <f ca="1">IFERROR(__xludf.DUMMYFUNCTION("""COMPUTED_VALUE"""),"Revised preprint policies according to comments; one of the links now redirects to a blanket preprint policy for SAGE")</f>
        <v>Revised preprint policies according to comments; one of the links now redirects to a blanket preprint policy for SAGE</v>
      </c>
      <c r="H140" t="str">
        <f ca="1">IFERROR(__xludf.DUMMYFUNCTION("""COMPUTED_VALUE"""),"1477-0288")</f>
        <v>1477-0288</v>
      </c>
      <c r="I140" t="str">
        <f ca="1">IFERROR(__xludf.DUMMYFUNCTION("""COMPUTED_VALUE"""),"Progress in Human Geography")</f>
        <v>Progress in Human Geography</v>
      </c>
      <c r="J140" t="str">
        <f ca="1">IFERROR(__xludf.DUMMYFUNCTION("""COMPUTED_VALUE"""),"Social Sciences")</f>
        <v>Social Sciences</v>
      </c>
      <c r="K140" t="str">
        <f ca="1">IFERROR(__xludf.DUMMYFUNCTION("""COMPUTED_VALUE"""),"SAGE")</f>
        <v>SAGE</v>
      </c>
      <c r="L140" t="str">
        <f ca="1">IFERROR(__xludf.DUMMYFUNCTION("""COMPUTED_VALUE"""),"Double blind")</f>
        <v>Double blind</v>
      </c>
      <c r="M140" s="93" t="str">
        <f ca="1">IFERROR(__xludf.DUMMYFUNCTION("""COMPUTED_VALUE"""),"https://uk.sagepub.com/en-gb/eur/journal/progress-human-geography#EditorialPolicies")</f>
        <v>https://uk.sagepub.com/en-gb/eur/journal/progress-human-geography#EditorialPolicies</v>
      </c>
      <c r="N140" t="str">
        <f ca="1">IFERROR(__xludf.DUMMYFUNCTION("""COMPUTED_VALUE"""),"")</f>
        <v/>
      </c>
      <c r="O140" s="93" t="str">
        <f ca="1">IFERROR(__xludf.DUMMYFUNCTION("""COMPUTED_VALUE"""),"https://uk.sagepub.com/en-gb/eur/get-credit-for-your-reviews")</f>
        <v>https://uk.sagepub.com/en-gb/eur/get-credit-for-your-reviews</v>
      </c>
      <c r="P140" t="str">
        <f ca="1">IFERROR(__xludf.DUMMYFUNCTION("""COMPUTED_VALUE"""),"Yes")</f>
        <v>Yes</v>
      </c>
      <c r="Q140" t="str">
        <f ca="1">IFERROR(__xludf.DUMMYFUNCTION("""COMPUTED_VALUE"""),"")</f>
        <v/>
      </c>
      <c r="R140" t="str">
        <f ca="1">IFERROR(__xludf.DUMMYFUNCTION("""COMPUTED_VALUE"""),"")</f>
        <v/>
      </c>
      <c r="S140" t="str">
        <f ca="1">IFERROR(__xludf.DUMMYFUNCTION("""COMPUTED_VALUE"""),"Not specified")</f>
        <v>Not specified</v>
      </c>
      <c r="T140" t="str">
        <f ca="1">IFERROR(__xludf.DUMMYFUNCTION("""COMPUTED_VALUE"""),"Not specified")</f>
        <v>Not specified</v>
      </c>
      <c r="U140" t="str">
        <f ca="1">IFERROR(__xludf.DUMMYFUNCTION("""COMPUTED_VALUE"""),"Not specified")</f>
        <v>Not specified</v>
      </c>
      <c r="V140" t="str">
        <f ca="1">IFERROR(__xludf.DUMMYFUNCTION("""COMPUTED_VALUE"""),"Not specified")</f>
        <v>Not specified</v>
      </c>
      <c r="W140" t="str">
        <f ca="1">IFERROR(__xludf.DUMMYFUNCTION("""COMPUTED_VALUE"""),"Not specified")</f>
        <v>Not specified</v>
      </c>
      <c r="X140" t="str">
        <f ca="1">IFERROR(__xludf.DUMMYFUNCTION("""COMPUTED_VALUE"""),"Not specified")</f>
        <v>Not specified</v>
      </c>
      <c r="Y140" t="str">
        <f ca="1">IFERROR(__xludf.DUMMYFUNCTION("""COMPUTED_VALUE"""),"Not specified")</f>
        <v>Not specified</v>
      </c>
      <c r="Z140" t="str">
        <f ca="1">IFERROR(__xludf.DUMMYFUNCTION("""COMPUTED_VALUE"""),"Not specified")</f>
        <v>Not specified</v>
      </c>
      <c r="AA140" t="str">
        <f ca="1">IFERROR(__xludf.DUMMYFUNCTION("""COMPUTED_VALUE"""),"")</f>
        <v/>
      </c>
      <c r="AB140" t="str">
        <f ca="1">IFERROR(__xludf.DUMMYFUNCTION("""COMPUTED_VALUE"""),"Sometimes a reviewer will want to involve junior researchers in the review of an article as it can be good practice and experience for that person. However, you should ensure that you obtain permission from the journal editor prior to accepting the invita"&amp;"tion to review. The names of everyone involved in doing the review should be submitted to the editor so that the journal records accurately reflect the review process that took place.")</f>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v>
      </c>
      <c r="AC140" s="93" t="str">
        <f ca="1">IFERROR(__xludf.DUMMYFUNCTION("""COMPUTED_VALUE"""),"https://uk.sagepub.com/en-gb/eur/how-to-review-articles")</f>
        <v>https://uk.sagepub.com/en-gb/eur/how-to-review-articles</v>
      </c>
      <c r="AD140" t="str">
        <f ca="1">IFERROR(__xludf.DUMMYFUNCTION("""COMPUTED_VALUE"""),"Yes")</f>
        <v>Yes</v>
      </c>
      <c r="AE140" t="str">
        <f ca="1">IFERROR(__xludf.DUMMYFUNCTION("""COMPUTED_VALUE"""),"Unsure")</f>
        <v>Unsure</v>
      </c>
      <c r="AF140" t="str">
        <f ca="1">IFERROR(__xludf.DUMMYFUNCTION("""COMPUTED_VALUE"""),"Unsure")</f>
        <v>Unsure</v>
      </c>
      <c r="AG140" t="str">
        <f ca="1">IFERROR(__xludf.DUMMYFUNCTION("""COMPUTED_VALUE"""),"https://us.sagepub.com/en-us/nam/preprintsfaq
https://journals.sagepub.com/pb-assets/Journals-Accepting-PrePrints.pdf
")</f>
        <v xml:space="preserve">https://us.sagepub.com/en-us/nam/preprintsfaq
https://journals.sagepub.com/pb-assets/Journals-Accepting-PrePrints.pdf
</v>
      </c>
      <c r="AH140" t="str">
        <f ca="1">IFERROR(__xludf.DUMMYFUNCTION("""COMPUTED_VALUE"""),"Unsure (preprints are allowed, but it's not clear what version)")</f>
        <v>Unsure (preprints are allowed, but it's not clear what version)</v>
      </c>
      <c r="AI140" t="str">
        <f ca="1">IFERROR(__xludf.DUMMYFUNCTION("""COMPUTED_VALUE"""),"")</f>
        <v/>
      </c>
      <c r="AJ140" t="str">
        <f ca="1">IFERROR(__xludf.DUMMYFUNCTION("""COMPUTED_VALUE"""),"Not specified")</f>
        <v>Not specified</v>
      </c>
      <c r="AK140" t="str">
        <f ca="1">IFERROR(__xludf.DUMMYFUNCTION("""COMPUTED_VALUE"""),"Unsure")</f>
        <v>Unsure</v>
      </c>
      <c r="AL140" t="str">
        <f ca="1">IFERROR(__xludf.DUMMYFUNCTION("""COMPUTED_VALUE"""),"")</f>
        <v/>
      </c>
      <c r="AM140" t="str">
        <f ca="1">IFERROR(__xludf.DUMMYFUNCTION("""COMPUTED_VALUE"""),"")</f>
        <v/>
      </c>
      <c r="AN140" t="str">
        <f ca="1">IFERROR(__xludf.DUMMYFUNCTION("""COMPUTED_VALUE"""),"")</f>
        <v/>
      </c>
      <c r="AO140" t="str">
        <f ca="1">IFERROR(__xludf.DUMMYFUNCTION("""COMPUTED_VALUE"""),"")</f>
        <v/>
      </c>
      <c r="AP140" t="str">
        <f ca="1">IFERROR(__xludf.DUMMYFUNCTION("""COMPUTED_VALUE"""),"")</f>
        <v/>
      </c>
      <c r="AQ140" t="str">
        <f ca="1">IFERROR(__xludf.DUMMYFUNCTION("""COMPUTED_VALUE"""),"")</f>
        <v/>
      </c>
      <c r="AR140" t="str">
        <f ca="1">IFERROR(__xludf.DUMMYFUNCTION("""COMPUTED_VALUE"""),"")</f>
        <v/>
      </c>
    </row>
    <row r="141" spans="1:44" ht="13">
      <c r="A141" t="str">
        <f ca="1">IFERROR(__xludf.DUMMYFUNCTION("""COMPUTED_VALUE"""),"GSM")</f>
        <v>GSM</v>
      </c>
      <c r="B141" s="41">
        <f ca="1">IFERROR(__xludf.DUMMYFUNCTION("""COMPUTED_VALUE"""),43114)</f>
        <v>43114</v>
      </c>
      <c r="C141" t="str">
        <f ca="1">IFERROR(__xludf.DUMMYFUNCTION("""COMPUTED_VALUE"""),"NP")</f>
        <v>NP</v>
      </c>
      <c r="D141" s="28">
        <f ca="1">IFERROR(__xludf.DUMMYFUNCTION("""COMPUTED_VALUE"""),43576)</f>
        <v>43576</v>
      </c>
      <c r="E141" t="str">
        <f ca="1">IFERROR(__xludf.DUMMYFUNCTION("""COMPUTED_VALUE"""),"JP")</f>
        <v>JP</v>
      </c>
      <c r="F141" s="28">
        <f ca="1">IFERROR(__xludf.DUMMYFUNCTION("""COMPUTED_VALUE"""),43581)</f>
        <v>43581</v>
      </c>
      <c r="G141" t="str">
        <f ca="1">IFERROR(__xludf.DUMMYFUNCTION("""COMPUTED_VALUE"""),"")</f>
        <v/>
      </c>
      <c r="H141" t="str">
        <f ca="1">IFERROR(__xludf.DUMMYFUNCTION("""COMPUTED_VALUE"""),"1537-5331")</f>
        <v>1537-5331</v>
      </c>
      <c r="I141" t="str">
        <f ca="1">IFERROR(__xludf.DUMMYFUNCTION("""COMPUTED_VALUE"""),"Public Opinion Quarterly")</f>
        <v>Public Opinion Quarterly</v>
      </c>
      <c r="J141" t="str">
        <f ca="1">IFERROR(__xludf.DUMMYFUNCTION("""COMPUTED_VALUE"""),"Humanities, Literature &amp; Arts")</f>
        <v>Humanities, Literature &amp; Arts</v>
      </c>
      <c r="K141" t="str">
        <f ca="1">IFERROR(__xludf.DUMMYFUNCTION("""COMPUTED_VALUE"""),"Oxford University Press")</f>
        <v>Oxford University Press</v>
      </c>
      <c r="L141" t="str">
        <f ca="1">IFERROR(__xludf.DUMMYFUNCTION("""COMPUTED_VALUE"""),"Double blind")</f>
        <v>Double blind</v>
      </c>
      <c r="M141" s="93" t="str">
        <f ca="1">IFERROR(__xludf.DUMMYFUNCTION("""COMPUTED_VALUE"""),"https://academic.oup.com/poq/pages/general_instructions")</f>
        <v>https://academic.oup.com/poq/pages/general_instructions</v>
      </c>
      <c r="N141" t="str">
        <f ca="1">IFERROR(__xludf.DUMMYFUNCTION("""COMPUTED_VALUE"""),"")</f>
        <v/>
      </c>
      <c r="O141" t="str">
        <f ca="1">IFERROR(__xludf.DUMMYFUNCTION("""COMPUTED_VALUE"""),"")</f>
        <v/>
      </c>
      <c r="P141" t="str">
        <f ca="1">IFERROR(__xludf.DUMMYFUNCTION("""COMPUTED_VALUE"""),"Unsure")</f>
        <v>Unsure</v>
      </c>
      <c r="Q141" t="str">
        <f ca="1">IFERROR(__xludf.DUMMYFUNCTION("""COMPUTED_VALUE"""),"")</f>
        <v/>
      </c>
      <c r="R141" t="str">
        <f ca="1">IFERROR(__xludf.DUMMYFUNCTION("""COMPUTED_VALUE"""),"")</f>
        <v/>
      </c>
      <c r="S141" t="str">
        <f ca="1">IFERROR(__xludf.DUMMYFUNCTION("""COMPUTED_VALUE"""),"Not specified")</f>
        <v>Not specified</v>
      </c>
      <c r="T141" t="str">
        <f ca="1">IFERROR(__xludf.DUMMYFUNCTION("""COMPUTED_VALUE"""),"Not specified")</f>
        <v>Not specified</v>
      </c>
      <c r="U141" t="str">
        <f ca="1">IFERROR(__xludf.DUMMYFUNCTION("""COMPUTED_VALUE"""),"Not specified")</f>
        <v>Not specified</v>
      </c>
      <c r="V141" t="str">
        <f ca="1">IFERROR(__xludf.DUMMYFUNCTION("""COMPUTED_VALUE"""),"Not specified")</f>
        <v>Not specified</v>
      </c>
      <c r="W141" t="str">
        <f ca="1">IFERROR(__xludf.DUMMYFUNCTION("""COMPUTED_VALUE"""),"Not specified")</f>
        <v>Not specified</v>
      </c>
      <c r="X141" t="str">
        <f ca="1">IFERROR(__xludf.DUMMYFUNCTION("""COMPUTED_VALUE"""),"Not specified")</f>
        <v>Not specified</v>
      </c>
      <c r="Y141" t="str">
        <f ca="1">IFERROR(__xludf.DUMMYFUNCTION("""COMPUTED_VALUE"""),"Not specified")</f>
        <v>Not specified</v>
      </c>
      <c r="Z141" t="str">
        <f ca="1">IFERROR(__xludf.DUMMYFUNCTION("""COMPUTED_VALUE"""),"Not specified")</f>
        <v>Not specified</v>
      </c>
      <c r="AA141" t="str">
        <f ca="1">IFERROR(__xludf.DUMMYFUNCTION("""COMPUTED_VALUE"""),"")</f>
        <v/>
      </c>
      <c r="AB141" t="str">
        <f ca="1">IFERROR(__xludf.DUMMYFUNCTION("""COMPUTED_VALUE"""),"")</f>
        <v/>
      </c>
      <c r="AC141" t="str">
        <f ca="1">IFERROR(__xludf.DUMMYFUNCTION("""COMPUTED_VALUE"""),"")</f>
        <v/>
      </c>
      <c r="AD141" t="str">
        <f ca="1">IFERROR(__xludf.DUMMYFUNCTION("""COMPUTED_VALUE"""),"Unsure")</f>
        <v>Unsure</v>
      </c>
      <c r="AE141" t="str">
        <f ca="1">IFERROR(__xludf.DUMMYFUNCTION("""COMPUTED_VALUE"""),"Unsure")</f>
        <v>Unsure</v>
      </c>
      <c r="AF141" t="str">
        <f ca="1">IFERROR(__xludf.DUMMYFUNCTION("""COMPUTED_VALUE"""),"Unsure")</f>
        <v>Unsure</v>
      </c>
      <c r="AG141" s="93" t="str">
        <f ca="1">IFERROR(__xludf.DUMMYFUNCTION("""COMPUTED_VALUE"""),"https://academic.oup.com/journals/pages/access_purchase/rights_and_permissions/self_archiving_policy_a")</f>
        <v>https://academic.oup.com/journals/pages/access_purchase/rights_and_permissions/self_archiving_policy_a</v>
      </c>
      <c r="AH141" t="str">
        <f ca="1">IFERROR(__xludf.DUMMYFUNCTION("""COMPUTED_VALUE"""),"First submission only (before peer review)")</f>
        <v>First submission only (before peer review)</v>
      </c>
      <c r="AI141" t="str">
        <f ca="1">IFERROR(__xludf.DUMMYFUNCTION("""COMPUTED_VALUE"""),"This includes posting on their own personal websites, institutional or non-commercial subject based repositories, commercial platforms websites or repositories, or social media, provided that, upon acceptance, they acknowledge that the article has been ac"&amp;"cepted for publication as follows: 
 This article has been accepted for publication in [Journal Title] Published by Oxford University Press. 
 After publication we would also ask authors to update their AOV with the Digital Object Identifier (DOI), and in"&amp;"clude a link to the Version of Record.")</f>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J141" t="str">
        <f ca="1">IFERROR(__xludf.DUMMYFUNCTION("""COMPUTED_VALUE"""),"Not specified")</f>
        <v>Not specified</v>
      </c>
      <c r="AK141" t="str">
        <f ca="1">IFERROR(__xludf.DUMMYFUNCTION("""COMPUTED_VALUE"""),"Unsure")</f>
        <v>Unsure</v>
      </c>
      <c r="AL141" t="str">
        <f ca="1">IFERROR(__xludf.DUMMYFUNCTION("""COMPUTED_VALUE"""),"")</f>
        <v/>
      </c>
      <c r="AM141" t="str">
        <f ca="1">IFERROR(__xludf.DUMMYFUNCTION("""COMPUTED_VALUE"""),"")</f>
        <v/>
      </c>
      <c r="AN141" t="str">
        <f ca="1">IFERROR(__xludf.DUMMYFUNCTION("""COMPUTED_VALUE"""),"")</f>
        <v/>
      </c>
      <c r="AO141" t="str">
        <f ca="1">IFERROR(__xludf.DUMMYFUNCTION("""COMPUTED_VALUE"""),"")</f>
        <v/>
      </c>
      <c r="AP141" t="str">
        <f ca="1">IFERROR(__xludf.DUMMYFUNCTION("""COMPUTED_VALUE"""),"")</f>
        <v/>
      </c>
      <c r="AQ141" t="str">
        <f ca="1">IFERROR(__xludf.DUMMYFUNCTION("""COMPUTED_VALUE"""),"")</f>
        <v/>
      </c>
      <c r="AR141" t="str">
        <f ca="1">IFERROR(__xludf.DUMMYFUNCTION("""COMPUTED_VALUE"""),"")</f>
        <v/>
      </c>
    </row>
    <row r="142" spans="1:44" ht="13">
      <c r="A142" t="str">
        <f ca="1">IFERROR(__xludf.DUMMYFUNCTION("""COMPUTED_VALUE"""),"SR")</f>
        <v>SR</v>
      </c>
      <c r="B142" s="41">
        <f ca="1">IFERROR(__xludf.DUMMYFUNCTION("""COMPUTED_VALUE"""),43444)</f>
        <v>43444</v>
      </c>
      <c r="C142" t="str">
        <f ca="1">IFERROR(__xludf.DUMMYFUNCTION("""COMPUTED_VALUE"""),"NP")</f>
        <v>NP</v>
      </c>
      <c r="D142" s="28">
        <f ca="1">IFERROR(__xludf.DUMMYFUNCTION("""COMPUTED_VALUE"""),43576)</f>
        <v>43576</v>
      </c>
      <c r="E142" t="str">
        <f ca="1">IFERROR(__xludf.DUMMYFUNCTION("""COMPUTED_VALUE"""),"JP")</f>
        <v>JP</v>
      </c>
      <c r="F142" s="28">
        <f ca="1">IFERROR(__xludf.DUMMYFUNCTION("""COMPUTED_VALUE"""),43581)</f>
        <v>43581</v>
      </c>
      <c r="G142" t="str">
        <f ca="1">IFERROR(__xludf.DUMMYFUNCTION("""COMPUTED_VALUE"""),"")</f>
        <v/>
      </c>
      <c r="H142" t="str">
        <f ca="1">IFERROR(__xludf.DUMMYFUNCTION("""COMPUTED_VALUE"""),"1360-0591")</f>
        <v>1360-0591</v>
      </c>
      <c r="I142" t="str">
        <f ca="1">IFERROR(__xludf.DUMMYFUNCTION("""COMPUTED_VALUE"""),"Regional Studies")</f>
        <v>Regional Studies</v>
      </c>
      <c r="J142" t="str">
        <f ca="1">IFERROR(__xludf.DUMMYFUNCTION("""COMPUTED_VALUE"""),"Social Sciences")</f>
        <v>Social Sciences</v>
      </c>
      <c r="K142" t="str">
        <f ca="1">IFERROR(__xludf.DUMMYFUNCTION("""COMPUTED_VALUE"""),"Taylor &amp; Francis")</f>
        <v>Taylor &amp; Francis</v>
      </c>
      <c r="L142" t="str">
        <f ca="1">IFERROR(__xludf.DUMMYFUNCTION("""COMPUTED_VALUE"""),"Double blind")</f>
        <v>Double blind</v>
      </c>
      <c r="M142" s="93" t="str">
        <f ca="1">IFERROR(__xludf.DUMMYFUNCTION("""COMPUTED_VALUE"""),"https://www.tandfonline.com/action/authorSubmission?show=instructions&amp;journalCode=cres20")</f>
        <v>https://www.tandfonline.com/action/authorSubmission?show=instructions&amp;journalCode=cres20</v>
      </c>
      <c r="N142" t="str">
        <f ca="1">IFERROR(__xludf.DUMMYFUNCTION("""COMPUTED_VALUE"""),"")</f>
        <v/>
      </c>
      <c r="O142" t="str">
        <f ca="1">IFERROR(__xludf.DUMMYFUNCTION("""COMPUTED_VALUE"""),"")</f>
        <v/>
      </c>
      <c r="P142" t="str">
        <f ca="1">IFERROR(__xludf.DUMMYFUNCTION("""COMPUTED_VALUE"""),"Unsure")</f>
        <v>Unsure</v>
      </c>
      <c r="Q142" t="str">
        <f ca="1">IFERROR(__xludf.DUMMYFUNCTION("""COMPUTED_VALUE"""),"")</f>
        <v/>
      </c>
      <c r="R142" t="str">
        <f ca="1">IFERROR(__xludf.DUMMYFUNCTION("""COMPUTED_VALUE"""),"")</f>
        <v/>
      </c>
      <c r="S142" t="str">
        <f ca="1">IFERROR(__xludf.DUMMYFUNCTION("""COMPUTED_VALUE"""),"Not specified")</f>
        <v>Not specified</v>
      </c>
      <c r="T142" t="str">
        <f ca="1">IFERROR(__xludf.DUMMYFUNCTION("""COMPUTED_VALUE"""),"Not specified")</f>
        <v>Not specified</v>
      </c>
      <c r="U142" t="str">
        <f ca="1">IFERROR(__xludf.DUMMYFUNCTION("""COMPUTED_VALUE"""),"Not specified")</f>
        <v>Not specified</v>
      </c>
      <c r="V142" t="str">
        <f ca="1">IFERROR(__xludf.DUMMYFUNCTION("""COMPUTED_VALUE"""),"Not specified")</f>
        <v>Not specified</v>
      </c>
      <c r="W142" t="str">
        <f ca="1">IFERROR(__xludf.DUMMYFUNCTION("""COMPUTED_VALUE"""),"Not specified")</f>
        <v>Not specified</v>
      </c>
      <c r="X142" t="str">
        <f ca="1">IFERROR(__xludf.DUMMYFUNCTION("""COMPUTED_VALUE"""),"Not specified")</f>
        <v>Not specified</v>
      </c>
      <c r="Y142" t="str">
        <f ca="1">IFERROR(__xludf.DUMMYFUNCTION("""COMPUTED_VALUE"""),"Not specified")</f>
        <v>Not specified</v>
      </c>
      <c r="Z142" t="str">
        <f ca="1">IFERROR(__xludf.DUMMYFUNCTION("""COMPUTED_VALUE"""),"Not specified")</f>
        <v>Not specified</v>
      </c>
      <c r="AA142" t="str">
        <f ca="1">IFERROR(__xludf.DUMMYFUNCTION("""COMPUTED_VALUE"""),"")</f>
        <v/>
      </c>
      <c r="AB142" t="str">
        <f ca="1">IFERROR(__xludf.DUMMYFUNCTION("""COMPUTED_VALUE"""),"")</f>
        <v/>
      </c>
      <c r="AC142" t="str">
        <f ca="1">IFERROR(__xludf.DUMMYFUNCTION("""COMPUTED_VALUE"""),"")</f>
        <v/>
      </c>
      <c r="AD142" t="str">
        <f ca="1">IFERROR(__xludf.DUMMYFUNCTION("""COMPUTED_VALUE"""),"Unsure")</f>
        <v>Unsure</v>
      </c>
      <c r="AE142" t="str">
        <f ca="1">IFERROR(__xludf.DUMMYFUNCTION("""COMPUTED_VALUE"""),"Unsure")</f>
        <v>Unsure</v>
      </c>
      <c r="AF142" t="str">
        <f ca="1">IFERROR(__xludf.DUMMYFUNCTION("""COMPUTED_VALUE"""),"Unsure")</f>
        <v>Unsure</v>
      </c>
      <c r="AG142" t="str">
        <f ca="1">IFERROR(__xludf.DUMMYFUNCTION("""COMPUTED_VALUE"""),"")</f>
        <v/>
      </c>
      <c r="AH142" t="str">
        <f ca="1">IFERROR(__xludf.DUMMYFUNCTION("""COMPUTED_VALUE"""),"No preprint policy")</f>
        <v>No preprint policy</v>
      </c>
      <c r="AI142" t="str">
        <f ca="1">IFERROR(__xludf.DUMMYFUNCTION("""COMPUTED_VALUE"""),"")</f>
        <v/>
      </c>
      <c r="AJ142" t="str">
        <f ca="1">IFERROR(__xludf.DUMMYFUNCTION("""COMPUTED_VALUE"""),"Not specified")</f>
        <v>Not specified</v>
      </c>
      <c r="AK142" t="str">
        <f ca="1">IFERROR(__xludf.DUMMYFUNCTION("""COMPUTED_VALUE"""),"Unsure")</f>
        <v>Unsure</v>
      </c>
      <c r="AL142" t="str">
        <f ca="1">IFERROR(__xludf.DUMMYFUNCTION("""COMPUTED_VALUE"""),"")</f>
        <v/>
      </c>
      <c r="AM142" t="str">
        <f ca="1">IFERROR(__xludf.DUMMYFUNCTION("""COMPUTED_VALUE"""),"")</f>
        <v/>
      </c>
      <c r="AN142" t="str">
        <f ca="1">IFERROR(__xludf.DUMMYFUNCTION("""COMPUTED_VALUE"""),"")</f>
        <v/>
      </c>
      <c r="AO142" t="str">
        <f ca="1">IFERROR(__xludf.DUMMYFUNCTION("""COMPUTED_VALUE"""),"")</f>
        <v/>
      </c>
      <c r="AP142" t="str">
        <f ca="1">IFERROR(__xludf.DUMMYFUNCTION("""COMPUTED_VALUE"""),"")</f>
        <v/>
      </c>
      <c r="AQ142" t="str">
        <f ca="1">IFERROR(__xludf.DUMMYFUNCTION("""COMPUTED_VALUE"""),"")</f>
        <v/>
      </c>
      <c r="AR142" t="str">
        <f ca="1">IFERROR(__xludf.DUMMYFUNCTION("""COMPUTED_VALUE"""),"")</f>
        <v/>
      </c>
    </row>
    <row r="143" spans="1:44" ht="13">
      <c r="A143" t="str">
        <f ca="1">IFERROR(__xludf.DUMMYFUNCTION("""COMPUTED_VALUE"""),"SR")</f>
        <v>SR</v>
      </c>
      <c r="B143" s="41">
        <f ca="1">IFERROR(__xludf.DUMMYFUNCTION("""COMPUTED_VALUE"""),43444)</f>
        <v>43444</v>
      </c>
      <c r="C143" t="str">
        <f ca="1">IFERROR(__xludf.DUMMYFUNCTION("""COMPUTED_VALUE"""),"JP")</f>
        <v>JP</v>
      </c>
      <c r="D143" s="28">
        <f ca="1">IFERROR(__xludf.DUMMYFUNCTION("""COMPUTED_VALUE"""),43566)</f>
        <v>43566</v>
      </c>
      <c r="E143" t="str">
        <f ca="1">IFERROR(__xludf.DUMMYFUNCTION("""COMPUTED_VALUE"""),"TRH")</f>
        <v>TRH</v>
      </c>
      <c r="F143" s="28">
        <f ca="1">IFERROR(__xludf.DUMMYFUNCTION("""COMPUTED_VALUE"""),43581)</f>
        <v>43581</v>
      </c>
      <c r="G143" s="28" t="str">
        <f ca="1">IFERROR(__xludf.DUMMYFUNCTION("""COMPUTED_VALUE"""),"")</f>
        <v/>
      </c>
      <c r="H143" t="str">
        <f ca="1">IFERROR(__xludf.DUMMYFUNCTION("""COMPUTED_VALUE"""),"1364-0321")</f>
        <v>1364-0321</v>
      </c>
      <c r="I143" t="str">
        <f ca="1">IFERROR(__xludf.DUMMYFUNCTION("""COMPUTED_VALUE"""),"Renewable and Sustainable Energy Reviews")</f>
        <v>Renewable and Sustainable Energy Reviews</v>
      </c>
      <c r="J143" t="str">
        <f ca="1">IFERROR(__xludf.DUMMYFUNCTION("""COMPUTED_VALUE"""),"Engineering &amp; Computer Science")</f>
        <v>Engineering &amp; Computer Science</v>
      </c>
      <c r="K143" t="str">
        <f ca="1">IFERROR(__xludf.DUMMYFUNCTION("""COMPUTED_VALUE"""),"Elsevier")</f>
        <v>Elsevier</v>
      </c>
      <c r="L143" t="str">
        <f ca="1">IFERROR(__xludf.DUMMYFUNCTION("""COMPUTED_VALUE"""),"Single blind")</f>
        <v>Single blind</v>
      </c>
      <c r="M143" s="93" t="str">
        <f ca="1">IFERROR(__xludf.DUMMYFUNCTION("""COMPUTED_VALUE"""),"https://www.elsevier.com/journals/renewable-and-sustainable-energy-reviews/1364-0321/guide-for-authors")</f>
        <v>https://www.elsevier.com/journals/renewable-and-sustainable-energy-reviews/1364-0321/guide-for-authors</v>
      </c>
      <c r="N143" t="str">
        <f ca="1">IFERROR(__xludf.DUMMYFUNCTION("""COMPUTED_VALUE"""),"")</f>
        <v/>
      </c>
      <c r="O143" s="93" t="str">
        <f ca="1">IFERROR(__xludf.DUMMYFUNCTION("""COMPUTED_VALUE"""),"https://www.elsevier.com/reviewers/role#RRP")</f>
        <v>https://www.elsevier.com/reviewers/role#RRP</v>
      </c>
      <c r="P143" t="str">
        <f ca="1">IFERROR(__xludf.DUMMYFUNCTION("""COMPUTED_VALUE"""),"Unsure")</f>
        <v>Unsure</v>
      </c>
      <c r="Q143"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43" s="93" t="str">
        <f ca="1">IFERROR(__xludf.DUMMYFUNCTION("""COMPUTED_VALUE"""),"https://www.elsevier.com/reviewers/what-is-peer-review")</f>
        <v>https://www.elsevier.com/reviewers/what-is-peer-review</v>
      </c>
      <c r="S143" t="str">
        <f ca="1">IFERROR(__xludf.DUMMYFUNCTION("""COMPUTED_VALUE"""),"Not specified")</f>
        <v>Not specified</v>
      </c>
      <c r="T143" t="str">
        <f ca="1">IFERROR(__xludf.DUMMYFUNCTION("""COMPUTED_VALUE"""),"Not specified")</f>
        <v>Not specified</v>
      </c>
      <c r="U143" t="str">
        <f ca="1">IFERROR(__xludf.DUMMYFUNCTION("""COMPUTED_VALUE"""),"Not specified")</f>
        <v>Not specified</v>
      </c>
      <c r="V143" t="str">
        <f ca="1">IFERROR(__xludf.DUMMYFUNCTION("""COMPUTED_VALUE"""),"Not specified")</f>
        <v>Not specified</v>
      </c>
      <c r="W143" t="str">
        <f ca="1">IFERROR(__xludf.DUMMYFUNCTION("""COMPUTED_VALUE"""),"Not specified")</f>
        <v>Not specified</v>
      </c>
      <c r="X143" t="str">
        <f ca="1">IFERROR(__xludf.DUMMYFUNCTION("""COMPUTED_VALUE"""),"Not specified")</f>
        <v>Not specified</v>
      </c>
      <c r="Y143" t="str">
        <f ca="1">IFERROR(__xludf.DUMMYFUNCTION("""COMPUTED_VALUE"""),"Not specified")</f>
        <v>Not specified</v>
      </c>
      <c r="Z143" t="str">
        <f ca="1">IFERROR(__xludf.DUMMYFUNCTION("""COMPUTED_VALUE"""),"Not specified")</f>
        <v>Not specified</v>
      </c>
      <c r="AA143"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143"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43" s="93" t="str">
        <f ca="1">IFERROR(__xludf.DUMMYFUNCTION("""COMPUTED_VALUE"""),"https://www.elsevier.com/reviewers/how-to-review")</f>
        <v>https://www.elsevier.com/reviewers/how-to-review</v>
      </c>
      <c r="AD143" t="str">
        <f ca="1">IFERROR(__xludf.DUMMYFUNCTION("""COMPUTED_VALUE"""),"Unsure")</f>
        <v>Unsure</v>
      </c>
      <c r="AE143" t="str">
        <f ca="1">IFERROR(__xludf.DUMMYFUNCTION("""COMPUTED_VALUE"""),"Unsure")</f>
        <v>Unsure</v>
      </c>
      <c r="AF143" t="str">
        <f ca="1">IFERROR(__xludf.DUMMYFUNCTION("""COMPUTED_VALUE"""),"Unsure")</f>
        <v>Unsure</v>
      </c>
      <c r="AG143" t="str">
        <f ca="1">IFERROR(__xludf.DUMMYFUNCTION("""COMPUTED_VALUE"""),"https://www.elsevier.com/journals/research-policy/0048-7333/guide-for-authors#20920, https://www.elsevier.com/authors/journal-authors/submit-your-paper/sharing-and-promoting-your-article")</f>
        <v>https://www.elsevier.com/journals/research-policy/0048-7333/guide-for-authors#20920, https://www.elsevier.com/authors/journal-authors/submit-your-paper/sharing-and-promoting-your-article</v>
      </c>
      <c r="AH143" t="str">
        <f ca="1">IFERROR(__xludf.DUMMYFUNCTION("""COMPUTED_VALUE"""),"Unsure (preprints are allowed, but it's not clear what version)")</f>
        <v>Unsure (preprints are allowed, but it's not clear what version)</v>
      </c>
      <c r="AI143" t="str">
        <f ca="1">IFERROR(__xludf.DUMMYFUNCTION("""COMPUTED_VALUE"""),"")</f>
        <v/>
      </c>
      <c r="AJ143" t="str">
        <f ca="1">IFERROR(__xludf.DUMMYFUNCTION("""COMPUTED_VALUE"""),"Not specified")</f>
        <v>Not specified</v>
      </c>
      <c r="AK143" t="str">
        <f ca="1">IFERROR(__xludf.DUMMYFUNCTION("""COMPUTED_VALUE"""),"Unsure")</f>
        <v>Unsure</v>
      </c>
      <c r="AL143" t="str">
        <f ca="1">IFERROR(__xludf.DUMMYFUNCTION("""COMPUTED_VALUE"""),"")</f>
        <v/>
      </c>
      <c r="AM143" t="str">
        <f ca="1">IFERROR(__xludf.DUMMYFUNCTION("""COMPUTED_VALUE"""),"")</f>
        <v/>
      </c>
      <c r="AN143" t="str">
        <f ca="1">IFERROR(__xludf.DUMMYFUNCTION("""COMPUTED_VALUE"""),"")</f>
        <v/>
      </c>
      <c r="AO143" t="str">
        <f ca="1">IFERROR(__xludf.DUMMYFUNCTION("""COMPUTED_VALUE"""),"")</f>
        <v/>
      </c>
      <c r="AP143" t="str">
        <f ca="1">IFERROR(__xludf.DUMMYFUNCTION("""COMPUTED_VALUE"""),"The journal Renewable &amp; Sustainable Energy Reviews is published by Elsevier, so presumably many of Elsevier's general policies apply. However, no journal specific materials are offered on their website.")</f>
        <v>The journal Renewable &amp; Sustainable Energy Reviews is published by Elsevier, so presumably many of Elsevier's general policies apply. However, no journal specific materials are offered on their website.</v>
      </c>
      <c r="AQ143" t="str">
        <f ca="1">IFERROR(__xludf.DUMMYFUNCTION("""COMPUTED_VALUE"""),"20 mins")</f>
        <v>20 mins</v>
      </c>
      <c r="AR143" t="str">
        <f ca="1">IFERROR(__xludf.DUMMYFUNCTION("""COMPUTED_VALUE"""),"")</f>
        <v/>
      </c>
    </row>
    <row r="144" spans="1:44" ht="13">
      <c r="A144" t="str">
        <f ca="1">IFERROR(__xludf.DUMMYFUNCTION("""COMPUTED_VALUE"""),"SR")</f>
        <v>SR</v>
      </c>
      <c r="B144" s="41">
        <f ca="1">IFERROR(__xludf.DUMMYFUNCTION("""COMPUTED_VALUE"""),43444)</f>
        <v>43444</v>
      </c>
      <c r="C144" t="str">
        <f ca="1">IFERROR(__xludf.DUMMYFUNCTION("""COMPUTED_VALUE"""),"JP")</f>
        <v>JP</v>
      </c>
      <c r="D144" s="28">
        <f ca="1">IFERROR(__xludf.DUMMYFUNCTION("""COMPUTED_VALUE"""),43566)</f>
        <v>43566</v>
      </c>
      <c r="E144" t="str">
        <f ca="1">IFERROR(__xludf.DUMMYFUNCTION("""COMPUTED_VALUE"""),"TRH")</f>
        <v>TRH</v>
      </c>
      <c r="F144" s="28">
        <f ca="1">IFERROR(__xludf.DUMMYFUNCTION("""COMPUTED_VALUE"""),43581)</f>
        <v>43581</v>
      </c>
      <c r="G144" s="28" t="str">
        <f ca="1">IFERROR(__xludf.DUMMYFUNCTION("""COMPUTED_VALUE"""),"")</f>
        <v/>
      </c>
      <c r="H144" t="str">
        <f ca="1">IFERROR(__xludf.DUMMYFUNCTION("""COMPUTED_VALUE"""),"0048-7333")</f>
        <v>0048-7333</v>
      </c>
      <c r="I144" t="str">
        <f ca="1">IFERROR(__xludf.DUMMYFUNCTION("""COMPUTED_VALUE"""),"Research Policy")</f>
        <v>Research Policy</v>
      </c>
      <c r="J144" t="str">
        <f ca="1">IFERROR(__xludf.DUMMYFUNCTION("""COMPUTED_VALUE"""),"Social Sciences")</f>
        <v>Social Sciences</v>
      </c>
      <c r="K144" t="str">
        <f ca="1">IFERROR(__xludf.DUMMYFUNCTION("""COMPUTED_VALUE"""),"Elsevier")</f>
        <v>Elsevier</v>
      </c>
      <c r="L144" t="str">
        <f ca="1">IFERROR(__xludf.DUMMYFUNCTION("""COMPUTED_VALUE"""),"Double blind")</f>
        <v>Double blind</v>
      </c>
      <c r="M144" s="93" t="str">
        <f ca="1">IFERROR(__xludf.DUMMYFUNCTION("""COMPUTED_VALUE"""),"https://www.elsevier.com/journals/research-policy/0048-7333/guide-for-authors")</f>
        <v>https://www.elsevier.com/journals/research-policy/0048-7333/guide-for-authors</v>
      </c>
      <c r="N144" t="str">
        <f ca="1">IFERROR(__xludf.DUMMYFUNCTION("""COMPUTED_VALUE"""),"")</f>
        <v/>
      </c>
      <c r="O144" s="93" t="str">
        <f ca="1">IFERROR(__xludf.DUMMYFUNCTION("""COMPUTED_VALUE"""),"https://www.elsevier.com/reviewers/role#RRP")</f>
        <v>https://www.elsevier.com/reviewers/role#RRP</v>
      </c>
      <c r="P144" t="str">
        <f ca="1">IFERROR(__xludf.DUMMYFUNCTION("""COMPUTED_VALUE"""),"Unsure")</f>
        <v>Unsure</v>
      </c>
      <c r="Q144"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44" s="93" t="str">
        <f ca="1">IFERROR(__xludf.DUMMYFUNCTION("""COMPUTED_VALUE"""),"https://www.elsevier.com/reviewers/what-is-peer-review")</f>
        <v>https://www.elsevier.com/reviewers/what-is-peer-review</v>
      </c>
      <c r="S144" t="str">
        <f ca="1">IFERROR(__xludf.DUMMYFUNCTION("""COMPUTED_VALUE"""),"Not specified")</f>
        <v>Not specified</v>
      </c>
      <c r="T144" t="str">
        <f ca="1">IFERROR(__xludf.DUMMYFUNCTION("""COMPUTED_VALUE"""),"Not specified")</f>
        <v>Not specified</v>
      </c>
      <c r="U144" t="str">
        <f ca="1">IFERROR(__xludf.DUMMYFUNCTION("""COMPUTED_VALUE"""),"Not specified")</f>
        <v>Not specified</v>
      </c>
      <c r="V144" t="str">
        <f ca="1">IFERROR(__xludf.DUMMYFUNCTION("""COMPUTED_VALUE"""),"Not specified")</f>
        <v>Not specified</v>
      </c>
      <c r="W144" t="str">
        <f ca="1">IFERROR(__xludf.DUMMYFUNCTION("""COMPUTED_VALUE"""),"Not specified")</f>
        <v>Not specified</v>
      </c>
      <c r="X144" t="str">
        <f ca="1">IFERROR(__xludf.DUMMYFUNCTION("""COMPUTED_VALUE"""),"Not specified")</f>
        <v>Not specified</v>
      </c>
      <c r="Y144" t="str">
        <f ca="1">IFERROR(__xludf.DUMMYFUNCTION("""COMPUTED_VALUE"""),"Not specified")</f>
        <v>Not specified</v>
      </c>
      <c r="Z144" t="str">
        <f ca="1">IFERROR(__xludf.DUMMYFUNCTION("""COMPUTED_VALUE"""),"Not specified")</f>
        <v>Not specified</v>
      </c>
      <c r="AA144" t="str">
        <f ca="1">IFERROR(__xludf.DUMMYFUNCTION("""COMPUTED_VALUE"""),"Elsevier offers information on peer review in its author guidelines, but this information only becomes meaningful when additionally considering their ""what is peer review"" page where the meanings of different types of peer review are specified. Here one"&amp;" learns that double blind implies that no aspect of the peer review process is made public (apparently).")</f>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AB144"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44" s="93" t="str">
        <f ca="1">IFERROR(__xludf.DUMMYFUNCTION("""COMPUTED_VALUE"""),"https://www.elsevier.com/reviewers/how-to-review")</f>
        <v>https://www.elsevier.com/reviewers/how-to-review</v>
      </c>
      <c r="AD144" t="str">
        <f ca="1">IFERROR(__xludf.DUMMYFUNCTION("""COMPUTED_VALUE"""),"Unsure")</f>
        <v>Unsure</v>
      </c>
      <c r="AE144" t="str">
        <f ca="1">IFERROR(__xludf.DUMMYFUNCTION("""COMPUTED_VALUE"""),"Unsure")</f>
        <v>Unsure</v>
      </c>
      <c r="AF144" t="str">
        <f ca="1">IFERROR(__xludf.DUMMYFUNCTION("""COMPUTED_VALUE"""),"Unsure")</f>
        <v>Unsure</v>
      </c>
      <c r="AG144" t="str">
        <f ca="1">IFERROR(__xludf.DUMMYFUNCTION("""COMPUTED_VALUE"""),"https://www.elsevier.com/journals/research-policy/0048-7333/guide-for-authors#20920, https://www.elsevier.com/authors/journal-authors/submit-your-paper/sharing-and-promoting-your-article")</f>
        <v>https://www.elsevier.com/journals/research-policy/0048-7333/guide-for-authors#20920, https://www.elsevier.com/authors/journal-authors/submit-your-paper/sharing-and-promoting-your-article</v>
      </c>
      <c r="AH144" t="str">
        <f ca="1">IFERROR(__xludf.DUMMYFUNCTION("""COMPUTED_VALUE"""),"First submission only (before peer review)")</f>
        <v>First submission only (before peer review)</v>
      </c>
      <c r="AI144" t="str">
        <f ca="1">IFERROR(__xludf.DUMMYFUNCTION("""COMPUTED_VALUE"""),"")</f>
        <v/>
      </c>
      <c r="AJ144" t="str">
        <f ca="1">IFERROR(__xludf.DUMMYFUNCTION("""COMPUTED_VALUE"""),"Not specified")</f>
        <v>Not specified</v>
      </c>
      <c r="AK144" t="str">
        <f ca="1">IFERROR(__xludf.DUMMYFUNCTION("""COMPUTED_VALUE"""),"Unsure")</f>
        <v>Unsure</v>
      </c>
      <c r="AL144" t="str">
        <f ca="1">IFERROR(__xludf.DUMMYFUNCTION("""COMPUTED_VALUE"""),"")</f>
        <v/>
      </c>
      <c r="AM144" t="str">
        <f ca="1">IFERROR(__xludf.DUMMYFUNCTION("""COMPUTED_VALUE"""),"")</f>
        <v/>
      </c>
      <c r="AN144" t="str">
        <f ca="1">IFERROR(__xludf.DUMMYFUNCTION("""COMPUTED_VALUE"""),"")</f>
        <v/>
      </c>
      <c r="AO144" t="str">
        <f ca="1">IFERROR(__xludf.DUMMYFUNCTION("""COMPUTED_VALUE"""),"")</f>
        <v/>
      </c>
      <c r="AP144" t="str">
        <f ca="1">IFERROR(__xludf.DUMMYFUNCTION("""COMPUTED_VALUE"""),"Research Policy is published by Elsevier, so many of their general policies apply. In general, it can be difficult with Elsevier journals to locate the journal specific policies.")</f>
        <v>Research Policy is published by Elsevier, so many of their general policies apply. In general, it can be difficult with Elsevier journals to locate the journal specific policies.</v>
      </c>
      <c r="AQ144" t="str">
        <f ca="1">IFERROR(__xludf.DUMMYFUNCTION("""COMPUTED_VALUE"""),"10 mins")</f>
        <v>10 mins</v>
      </c>
      <c r="AR144" t="str">
        <f ca="1">IFERROR(__xludf.DUMMYFUNCTION("""COMPUTED_VALUE"""),"")</f>
        <v/>
      </c>
    </row>
    <row r="145" spans="1:44" ht="13">
      <c r="A145" t="str">
        <f ca="1">IFERROR(__xludf.DUMMYFUNCTION("""COMPUTED_VALUE"""),"SR")</f>
        <v>SR</v>
      </c>
      <c r="B145" s="41">
        <f ca="1">IFERROR(__xludf.DUMMYFUNCTION("""COMPUTED_VALUE"""),43444)</f>
        <v>43444</v>
      </c>
      <c r="C145" t="str">
        <f ca="1">IFERROR(__xludf.DUMMYFUNCTION("""COMPUTED_VALUE"""),"JP")</f>
        <v>JP</v>
      </c>
      <c r="D145" s="28">
        <f ca="1">IFERROR(__xludf.DUMMYFUNCTION("""COMPUTED_VALUE"""),43566)</f>
        <v>43566</v>
      </c>
      <c r="E145" t="str">
        <f ca="1">IFERROR(__xludf.DUMMYFUNCTION("""COMPUTED_VALUE"""),"TRH")</f>
        <v>TRH</v>
      </c>
      <c r="F145" s="28">
        <f ca="1">IFERROR(__xludf.DUMMYFUNCTION("""COMPUTED_VALUE"""),43581)</f>
        <v>43581</v>
      </c>
      <c r="G145" s="28" t="str">
        <f ca="1">IFERROR(__xludf.DUMMYFUNCTION("""COMPUTED_VALUE"""),"")</f>
        <v/>
      </c>
      <c r="H145" t="str">
        <f ca="1">IFERROR(__xludf.DUMMYFUNCTION("""COMPUTED_VALUE"""),"0034-6535")</f>
        <v>0034-6535</v>
      </c>
      <c r="I145" t="str">
        <f ca="1">IFERROR(__xludf.DUMMYFUNCTION("""COMPUTED_VALUE"""),"Review of Economics and Statistics")</f>
        <v>Review of Economics and Statistics</v>
      </c>
      <c r="J145" t="str">
        <f ca="1">IFERROR(__xludf.DUMMYFUNCTION("""COMPUTED_VALUE"""),"Business, Economics &amp; Management")</f>
        <v>Business, Economics &amp; Management</v>
      </c>
      <c r="K145" t="str">
        <f ca="1">IFERROR(__xludf.DUMMYFUNCTION("""COMPUTED_VALUE"""),"The MIT Press")</f>
        <v>The MIT Press</v>
      </c>
      <c r="L145" t="str">
        <f ca="1">IFERROR(__xludf.DUMMYFUNCTION("""COMPUTED_VALUE"""),"Unsure")</f>
        <v>Unsure</v>
      </c>
      <c r="M145" t="str">
        <f ca="1">IFERROR(__xludf.DUMMYFUNCTION("""COMPUTED_VALUE"""),"")</f>
        <v/>
      </c>
      <c r="N145" t="str">
        <f ca="1">IFERROR(__xludf.DUMMYFUNCTION("""COMPUTED_VALUE"""),"")</f>
        <v/>
      </c>
      <c r="O145" t="str">
        <f ca="1">IFERROR(__xludf.DUMMYFUNCTION("""COMPUTED_VALUE"""),"")</f>
        <v/>
      </c>
      <c r="P145" t="str">
        <f ca="1">IFERROR(__xludf.DUMMYFUNCTION("""COMPUTED_VALUE"""),"Unsure")</f>
        <v>Unsure</v>
      </c>
      <c r="Q145" t="str">
        <f ca="1">IFERROR(__xludf.DUMMYFUNCTION("""COMPUTED_VALUE"""),"")</f>
        <v/>
      </c>
      <c r="R145" t="str">
        <f ca="1">IFERROR(__xludf.DUMMYFUNCTION("""COMPUTED_VALUE"""),"")</f>
        <v/>
      </c>
      <c r="S145" t="str">
        <f ca="1">IFERROR(__xludf.DUMMYFUNCTION("""COMPUTED_VALUE"""),"Not specified")</f>
        <v>Not specified</v>
      </c>
      <c r="T145" t="str">
        <f ca="1">IFERROR(__xludf.DUMMYFUNCTION("""COMPUTED_VALUE"""),"Not specified")</f>
        <v>Not specified</v>
      </c>
      <c r="U145" t="str">
        <f ca="1">IFERROR(__xludf.DUMMYFUNCTION("""COMPUTED_VALUE"""),"Not specified")</f>
        <v>Not specified</v>
      </c>
      <c r="V145" t="str">
        <f ca="1">IFERROR(__xludf.DUMMYFUNCTION("""COMPUTED_VALUE"""),"Not specified")</f>
        <v>Not specified</v>
      </c>
      <c r="W145" t="str">
        <f ca="1">IFERROR(__xludf.DUMMYFUNCTION("""COMPUTED_VALUE"""),"Not specified")</f>
        <v>Not specified</v>
      </c>
      <c r="X145" t="str">
        <f ca="1">IFERROR(__xludf.DUMMYFUNCTION("""COMPUTED_VALUE"""),"Not specified")</f>
        <v>Not specified</v>
      </c>
      <c r="Y145" t="str">
        <f ca="1">IFERROR(__xludf.DUMMYFUNCTION("""COMPUTED_VALUE"""),"Not specified")</f>
        <v>Not specified</v>
      </c>
      <c r="Z145" t="str">
        <f ca="1">IFERROR(__xludf.DUMMYFUNCTION("""COMPUTED_VALUE"""),"Not specified")</f>
        <v>Not specified</v>
      </c>
      <c r="AA145" t="str">
        <f ca="1">IFERROR(__xludf.DUMMYFUNCTION("""COMPUTED_VALUE"""),"")</f>
        <v/>
      </c>
      <c r="AB145" t="str">
        <f ca="1">IFERROR(__xludf.DUMMYFUNCTION("""COMPUTED_VALUE"""),"Not specified")</f>
        <v>Not specified</v>
      </c>
      <c r="AC145" t="str">
        <f ca="1">IFERROR(__xludf.DUMMYFUNCTION("""COMPUTED_VALUE"""),"")</f>
        <v/>
      </c>
      <c r="AD145" t="str">
        <f ca="1">IFERROR(__xludf.DUMMYFUNCTION("""COMPUTED_VALUE"""),"Unsure")</f>
        <v>Unsure</v>
      </c>
      <c r="AE145" t="str">
        <f ca="1">IFERROR(__xludf.DUMMYFUNCTION("""COMPUTED_VALUE"""),"Unsure")</f>
        <v>Unsure</v>
      </c>
      <c r="AF145" t="str">
        <f ca="1">IFERROR(__xludf.DUMMYFUNCTION("""COMPUTED_VALUE"""),"Unsure")</f>
        <v>Unsure</v>
      </c>
      <c r="AG145" s="93" t="str">
        <f ca="1">IFERROR(__xludf.DUMMYFUNCTION("""COMPUTED_VALUE"""),"https://www.mitpressjournals.org/for_authors#authorposting")</f>
        <v>https://www.mitpressjournals.org/for_authors#authorposting</v>
      </c>
      <c r="AH145" t="str">
        <f ca="1">IFERROR(__xludf.DUMMYFUNCTION("""COMPUTED_VALUE"""),"After peer review (but not final, copyedited version)")</f>
        <v>After peer review (but not final, copyedited version)</v>
      </c>
      <c r="AI145" t="str">
        <f ca="1">IFERROR(__xludf.DUMMYFUNCTION("""COMPUTED_VALUE"""),"")</f>
        <v/>
      </c>
      <c r="AJ145" t="str">
        <f ca="1">IFERROR(__xludf.DUMMYFUNCTION("""COMPUTED_VALUE"""),"Not specified")</f>
        <v>Not specified</v>
      </c>
      <c r="AK145" t="str">
        <f ca="1">IFERROR(__xludf.DUMMYFUNCTION("""COMPUTED_VALUE"""),"Unsure")</f>
        <v>Unsure</v>
      </c>
      <c r="AL145" t="str">
        <f ca="1">IFERROR(__xludf.DUMMYFUNCTION("""COMPUTED_VALUE"""),"")</f>
        <v/>
      </c>
      <c r="AM145" t="str">
        <f ca="1">IFERROR(__xludf.DUMMYFUNCTION("""COMPUTED_VALUE"""),"")</f>
        <v/>
      </c>
      <c r="AN145" t="str">
        <f ca="1">IFERROR(__xludf.DUMMYFUNCTION("""COMPUTED_VALUE"""),"")</f>
        <v/>
      </c>
      <c r="AO145" t="str">
        <f ca="1">IFERROR(__xludf.DUMMYFUNCTION("""COMPUTED_VALUE"""),"")</f>
        <v/>
      </c>
      <c r="AP145" t="str">
        <f ca="1">IFERROR(__xludf.DUMMYFUNCTION("""COMPUTED_VALUE"""),"The MIT Press does not offer very transparent information concerning its review process. No information can be found on the journal website regarding its review process (whether blinded or not, e.g.).")</f>
        <v>The MIT Press does not offer very transparent information concerning its review process. No information can be found on the journal website regarding its review process (whether blinded or not, e.g.).</v>
      </c>
      <c r="AQ145" t="str">
        <f ca="1">IFERROR(__xludf.DUMMYFUNCTION("""COMPUTED_VALUE"""),"20 mins")</f>
        <v>20 mins</v>
      </c>
      <c r="AR145" t="str">
        <f ca="1">IFERROR(__xludf.DUMMYFUNCTION("""COMPUTED_VALUE"""),"")</f>
        <v/>
      </c>
    </row>
    <row r="146" spans="1:44" ht="13">
      <c r="A146" t="str">
        <f ca="1">IFERROR(__xludf.DUMMYFUNCTION("""COMPUTED_VALUE"""),"SR")</f>
        <v>SR</v>
      </c>
      <c r="B146" s="41">
        <f ca="1">IFERROR(__xludf.DUMMYFUNCTION("""COMPUTED_VALUE"""),43440)</f>
        <v>43440</v>
      </c>
      <c r="C146" t="str">
        <f ca="1">IFERROR(__xludf.DUMMYFUNCTION("""COMPUTED_VALUE"""),"JP")</f>
        <v>JP</v>
      </c>
      <c r="D146" s="28">
        <f ca="1">IFERROR(__xludf.DUMMYFUNCTION("""COMPUTED_VALUE"""),43566)</f>
        <v>43566</v>
      </c>
      <c r="E146" t="str">
        <f ca="1">IFERROR(__xludf.DUMMYFUNCTION("""COMPUTED_VALUE"""),"TRH")</f>
        <v>TRH</v>
      </c>
      <c r="F146" s="28">
        <f ca="1">IFERROR(__xludf.DUMMYFUNCTION("""COMPUTED_VALUE"""),43581)</f>
        <v>43581</v>
      </c>
      <c r="G146" s="28" t="str">
        <f ca="1">IFERROR(__xludf.DUMMYFUNCTION("""COMPUTED_VALUE"""),"")</f>
        <v/>
      </c>
      <c r="H146" t="str">
        <f ca="1">IFERROR(__xludf.DUMMYFUNCTION("""COMPUTED_VALUE"""),"1539-0756")</f>
        <v>1539-0756</v>
      </c>
      <c r="I146" t="str">
        <f ca="1">IFERROR(__xludf.DUMMYFUNCTION("""COMPUTED_VALUE"""),"Reviews of Modern Physics")</f>
        <v>Reviews of Modern Physics</v>
      </c>
      <c r="J146" t="str">
        <f ca="1">IFERROR(__xludf.DUMMYFUNCTION("""COMPUTED_VALUE"""),"Physics &amp; Mathematics")</f>
        <v>Physics &amp; Mathematics</v>
      </c>
      <c r="K146" t="str">
        <f ca="1">IFERROR(__xludf.DUMMYFUNCTION("""COMPUTED_VALUE"""),"American Physical Society")</f>
        <v>American Physical Society</v>
      </c>
      <c r="L146" t="str">
        <f ca="1">IFERROR(__xludf.DUMMYFUNCTION("""COMPUTED_VALUE"""),"Single blind")</f>
        <v>Single blind</v>
      </c>
      <c r="M146" t="str">
        <f ca="1">IFERROR(__xludf.DUMMYFUNCTION("""COMPUTED_VALUE"""),"https://journals.aps.org/rmp/authors#review, https://journals.aps.org/peer-review-materials-policy")</f>
        <v>https://journals.aps.org/rmp/authors#review, https://journals.aps.org/peer-review-materials-policy</v>
      </c>
      <c r="N146" t="str">
        <f ca="1">IFERROR(__xludf.DUMMYFUNCTION("""COMPUTED_VALUE"""),"")</f>
        <v/>
      </c>
      <c r="O146" t="str">
        <f ca="1">IFERROR(__xludf.DUMMYFUNCTION("""COMPUTED_VALUE"""),"")</f>
        <v/>
      </c>
      <c r="P146" t="str">
        <f ca="1">IFERROR(__xludf.DUMMYFUNCTION("""COMPUTED_VALUE"""),"No")</f>
        <v>No</v>
      </c>
      <c r="Q146" t="str">
        <f ca="1">IFERROR(__xludf.DUMMYFUNCTION("""COMPUTED_VALUE"""),"")</f>
        <v/>
      </c>
      <c r="R146" t="str">
        <f ca="1">IFERROR(__xludf.DUMMYFUNCTION("""COMPUTED_VALUE"""),"")</f>
        <v/>
      </c>
      <c r="S146" t="str">
        <f ca="1">IFERROR(__xludf.DUMMYFUNCTION("""COMPUTED_VALUE"""),"No")</f>
        <v>No</v>
      </c>
      <c r="T146" t="str">
        <f ca="1">IFERROR(__xludf.DUMMYFUNCTION("""COMPUTED_VALUE"""),"No")</f>
        <v>No</v>
      </c>
      <c r="U146" t="str">
        <f ca="1">IFERROR(__xludf.DUMMYFUNCTION("""COMPUTED_VALUE"""),"No")</f>
        <v>No</v>
      </c>
      <c r="V146" t="str">
        <f ca="1">IFERROR(__xludf.DUMMYFUNCTION("""COMPUTED_VALUE"""),"Not specified")</f>
        <v>Not specified</v>
      </c>
      <c r="W146" t="str">
        <f ca="1">IFERROR(__xludf.DUMMYFUNCTION("""COMPUTED_VALUE"""),"No")</f>
        <v>No</v>
      </c>
      <c r="X146" t="str">
        <f ca="1">IFERROR(__xludf.DUMMYFUNCTION("""COMPUTED_VALUE"""),"No")</f>
        <v>No</v>
      </c>
      <c r="Y146" t="str">
        <f ca="1">IFERROR(__xludf.DUMMYFUNCTION("""COMPUTED_VALUE"""),"Not specified")</f>
        <v>Not specified</v>
      </c>
      <c r="Z146" t="str">
        <f ca="1">IFERROR(__xludf.DUMMYFUNCTION("""COMPUTED_VALUE"""),"Not specified")</f>
        <v>Not specified</v>
      </c>
      <c r="AA146" t="str">
        <f ca="1">IFERROR(__xludf.DUMMYFUNCTION("""COMPUTED_VALUE"""),"")</f>
        <v/>
      </c>
      <c r="AB146" t="str">
        <f ca="1">IFERROR(__xludf.DUMMYFUNCTION("""COMPUTED_VALUE"""),"Although referees may consult and seek advice from other researchers or colleagues, the referee must ensure that the confidentiality of these materials is preserved. In such cases, we require referees to provide the names and contact information of those "&amp;"researchers who have been consulted.")</f>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AC146" s="93" t="str">
        <f ca="1">IFERROR(__xludf.DUMMYFUNCTION("""COMPUTED_VALUE"""),"https://journals.aps.org/rmp/info/procedures.html")</f>
        <v>https://journals.aps.org/rmp/info/procedures.html</v>
      </c>
      <c r="AD146" t="str">
        <f ca="1">IFERROR(__xludf.DUMMYFUNCTION("""COMPUTED_VALUE"""),"Yes")</f>
        <v>Yes</v>
      </c>
      <c r="AE146" t="str">
        <f ca="1">IFERROR(__xludf.DUMMYFUNCTION("""COMPUTED_VALUE"""),"Unsure")</f>
        <v>Unsure</v>
      </c>
      <c r="AF146" t="str">
        <f ca="1">IFERROR(__xludf.DUMMYFUNCTION("""COMPUTED_VALUE"""),"Unsure")</f>
        <v>Unsure</v>
      </c>
      <c r="AG146" s="93" t="str">
        <f ca="1">IFERROR(__xludf.DUMMYFUNCTION("""COMPUTED_VALUE"""),"https://journals.aps.org/rmp/info/procedures.html")</f>
        <v>https://journals.aps.org/rmp/info/procedures.html</v>
      </c>
      <c r="AH146" t="str">
        <f ca="1">IFERROR(__xludf.DUMMYFUNCTION("""COMPUTED_VALUE"""),"Any")</f>
        <v>Any</v>
      </c>
      <c r="AI146" t="str">
        <f ca="1">IFERROR(__xludf.DUMMYFUNCTION("""COMPUTED_VALUE"""),"Not specified")</f>
        <v>Not specified</v>
      </c>
      <c r="AJ146" t="str">
        <f ca="1">IFERROR(__xludf.DUMMYFUNCTION("""COMPUTED_VALUE"""),"Not specified")</f>
        <v>Not specified</v>
      </c>
      <c r="AK146" t="str">
        <f ca="1">IFERROR(__xludf.DUMMYFUNCTION("""COMPUTED_VALUE"""),"Unsure")</f>
        <v>Unsure</v>
      </c>
      <c r="AL146" t="str">
        <f ca="1">IFERROR(__xludf.DUMMYFUNCTION("""COMPUTED_VALUE"""),"")</f>
        <v/>
      </c>
      <c r="AM146" t="str">
        <f ca="1">IFERROR(__xludf.DUMMYFUNCTION("""COMPUTED_VALUE"""),"")</f>
        <v/>
      </c>
      <c r="AN146" t="str">
        <f ca="1">IFERROR(__xludf.DUMMYFUNCTION("""COMPUTED_VALUE"""),"")</f>
        <v/>
      </c>
      <c r="AO146" t="str">
        <f ca="1">IFERROR(__xludf.DUMMYFUNCTION("""COMPUTED_VALUE"""),"")</f>
        <v/>
      </c>
      <c r="AP146" t="str">
        <f ca="1">IFERROR(__xludf.DUMMYFUNCTION("""COMPUTED_VALUE"""),"Reviews of Modern Physics is a peer reviewd journal employing a single blind peer review process, but placing high value on not making the review process public (i.e. Names and comments of reviewers). Accordingly, the journal does not offer peer review tr"&amp;"ansfer.")</f>
        <v>Reviews of Modern Physics is a peer reviewd journal employing a single blind peer review process, but placing high value on not making the review process public (i.e. Names and comments of reviewers). Accordingly, the journal does not offer peer review transfer.</v>
      </c>
      <c r="AQ146" t="str">
        <f ca="1">IFERROR(__xludf.DUMMYFUNCTION("""COMPUTED_VALUE"""),"30 min")</f>
        <v>30 min</v>
      </c>
      <c r="AR146" t="str">
        <f ca="1">IFERROR(__xludf.DUMMYFUNCTION("""COMPUTED_VALUE"""),"")</f>
        <v/>
      </c>
    </row>
    <row r="147" spans="1:44" ht="13">
      <c r="A147" t="str">
        <f ca="1">IFERROR(__xludf.DUMMYFUNCTION("""COMPUTED_VALUE"""),"SR")</f>
        <v>SR</v>
      </c>
      <c r="B147" s="41">
        <f ca="1">IFERROR(__xludf.DUMMYFUNCTION("""COMPUTED_VALUE"""),43440)</f>
        <v>43440</v>
      </c>
      <c r="C147" t="str">
        <f ca="1">IFERROR(__xludf.DUMMYFUNCTION("""COMPUTED_VALUE"""),"JP")</f>
        <v>JP</v>
      </c>
      <c r="D147" s="28">
        <f ca="1">IFERROR(__xludf.DUMMYFUNCTION("""COMPUTED_VALUE"""),43572)</f>
        <v>43572</v>
      </c>
      <c r="E147" t="str">
        <f ca="1">IFERROR(__xludf.DUMMYFUNCTION("""COMPUTED_VALUE"""),"TRH")</f>
        <v>TRH</v>
      </c>
      <c r="F147" s="28">
        <f ca="1">IFERROR(__xludf.DUMMYFUNCTION("""COMPUTED_VALUE"""),43581)</f>
        <v>43581</v>
      </c>
      <c r="G147" t="str">
        <f ca="1">IFERROR(__xludf.DUMMYFUNCTION("""COMPUTED_VALUE"""),"")</f>
        <v/>
      </c>
      <c r="H147" t="str">
        <f ca="1">IFERROR(__xludf.DUMMYFUNCTION("""COMPUTED_VALUE"""),"1095-9203")</f>
        <v>1095-9203</v>
      </c>
      <c r="I147" t="str">
        <f ca="1">IFERROR(__xludf.DUMMYFUNCTION("""COMPUTED_VALUE"""),"Science")</f>
        <v>Science</v>
      </c>
      <c r="J147" t="str">
        <f ca="1">IFERROR(__xludf.DUMMYFUNCTION("""COMPUTED_VALUE"""),"Life Sciences &amp; Earth Sciences")</f>
        <v>Life Sciences &amp; Earth Sciences</v>
      </c>
      <c r="K147" t="str">
        <f ca="1">IFERROR(__xludf.DUMMYFUNCTION("""COMPUTED_VALUE"""),"American Association for the Advancement of Science")</f>
        <v>American Association for the Advancement of Science</v>
      </c>
      <c r="L147" t="str">
        <f ca="1">IFERROR(__xludf.DUMMYFUNCTION("""COMPUTED_VALUE"""),"Unsure")</f>
        <v>Unsure</v>
      </c>
      <c r="M147" s="93" t="str">
        <f ca="1">IFERROR(__xludf.DUMMYFUNCTION("""COMPUTED_VALUE"""),"http://www.sciencemag.org/authors/science-information-authors")</f>
        <v>http://www.sciencemag.org/authors/science-information-authors</v>
      </c>
      <c r="N147" t="str">
        <f ca="1">IFERROR(__xludf.DUMMYFUNCTION("""COMPUTED_VALUE"""),"")</f>
        <v/>
      </c>
      <c r="O147" t="str">
        <f ca="1">IFERROR(__xludf.DUMMYFUNCTION("""COMPUTED_VALUE"""),"")</f>
        <v/>
      </c>
      <c r="P147" t="str">
        <f ca="1">IFERROR(__xludf.DUMMYFUNCTION("""COMPUTED_VALUE"""),"No")</f>
        <v>No</v>
      </c>
      <c r="Q147" t="str">
        <f ca="1">IFERROR(__xludf.DUMMYFUNCTION("""COMPUTED_VALUE"""),"Authors submitting to Science may elect to transfer to one of our other journals should the manuscript not be selected for publication at Science. Science editors will not see this choice until after the decision is made, and authors will be given the opp"&amp;"ortunity to confirm the choice before transfer is initiated. If a manuscript is rejected from Science with the option of transfer, we would be happy to transfer your submission from Science with no reformatting required. ")</f>
        <v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v>
      </c>
      <c r="R147" s="93" t="str">
        <f ca="1">IFERROR(__xludf.DUMMYFUNCTION("""COMPUTED_VALUE"""),"https://www.sciencemag.org/authors/science-information-authors")</f>
        <v>https://www.sciencemag.org/authors/science-information-authors</v>
      </c>
      <c r="S147" t="str">
        <f ca="1">IFERROR(__xludf.DUMMYFUNCTION("""COMPUTED_VALUE"""),"No")</f>
        <v>No</v>
      </c>
      <c r="T147" t="str">
        <f ca="1">IFERROR(__xludf.DUMMYFUNCTION("""COMPUTED_VALUE"""),"Not specified")</f>
        <v>Not specified</v>
      </c>
      <c r="U147" t="str">
        <f ca="1">IFERROR(__xludf.DUMMYFUNCTION("""COMPUTED_VALUE"""),"Not specified")</f>
        <v>Not specified</v>
      </c>
      <c r="V147" t="str">
        <f ca="1">IFERROR(__xludf.DUMMYFUNCTION("""COMPUTED_VALUE"""),"Not specified")</f>
        <v>Not specified</v>
      </c>
      <c r="W147" t="str">
        <f ca="1">IFERROR(__xludf.DUMMYFUNCTION("""COMPUTED_VALUE"""),"No")</f>
        <v>No</v>
      </c>
      <c r="X147" t="str">
        <f ca="1">IFERROR(__xludf.DUMMYFUNCTION("""COMPUTED_VALUE"""),"No")</f>
        <v>No</v>
      </c>
      <c r="Y147" t="str">
        <f ca="1">IFERROR(__xludf.DUMMYFUNCTION("""COMPUTED_VALUE"""),"Not specified")</f>
        <v>Not specified</v>
      </c>
      <c r="Z147" t="str">
        <f ca="1">IFERROR(__xludf.DUMMYFUNCTION("""COMPUTED_VALUE"""),"Yes")</f>
        <v>Yes</v>
      </c>
      <c r="AA147" t="str">
        <f ca="1">IFERROR(__xludf.DUMMYFUNCTION("""COMPUTED_VALUE"""),"Science employs a cross-review policy, so once all reviews are in, they are circulated among all other reviewers of a given paper")</f>
        <v>Science employs a cross-review policy, so once all reviews are in, they are circulated among all other reviewers of a given paper</v>
      </c>
      <c r="AB147" t="str">
        <f ca="1">IFERROR(__xludf.DUMMYFUNCTION("""COMPUTED_VALUE""")," Please do not share the manuscript with any colleagues without the explicit permission of the editor. ")</f>
        <v xml:space="preserve"> Please do not share the manuscript with any colleagues without the explicit permission of the editor. </v>
      </c>
      <c r="AC147" s="93" t="str">
        <f ca="1">IFERROR(__xludf.DUMMYFUNCTION("""COMPUTED_VALUE"""),"https://www.sciencemag.org/authors/peer-review-science-publications")</f>
        <v>https://www.sciencemag.org/authors/peer-review-science-publications</v>
      </c>
      <c r="AD147" t="str">
        <f ca="1">IFERROR(__xludf.DUMMYFUNCTION("""COMPUTED_VALUE"""),"Unsure")</f>
        <v>Unsure</v>
      </c>
      <c r="AE147" t="str">
        <f ca="1">IFERROR(__xludf.DUMMYFUNCTION("""COMPUTED_VALUE"""),"Unsure")</f>
        <v>Unsure</v>
      </c>
      <c r="AF147" t="str">
        <f ca="1">IFERROR(__xludf.DUMMYFUNCTION("""COMPUTED_VALUE"""),"Unsure")</f>
        <v>Unsure</v>
      </c>
      <c r="AG147" s="93" t="str">
        <f ca="1">IFERROR(__xludf.DUMMYFUNCTION("""COMPUTED_VALUE"""),"http://www.sciencemag.org/authors/science-journals-editorial-policies")</f>
        <v>http://www.sciencemag.org/authors/science-journals-editorial-policies</v>
      </c>
      <c r="AH147" t="str">
        <f ca="1">IFERROR(__xludf.DUMMYFUNCTION("""COMPUTED_VALUE"""),"First submission only (before peer review)")</f>
        <v>First submission only (before peer review)</v>
      </c>
      <c r="AI147" t="str">
        <f ca="1">IFERROR(__xludf.DUMMYFUNCTION("""COMPUTED_VALUE"""),"We do support posting of research papers on not-for-profit preprint servers such as arXiv.org and bioRxiv.org.")</f>
        <v>We do support posting of research papers on not-for-profit preprint servers such as arXiv.org and bioRxiv.org.</v>
      </c>
      <c r="AJ147" t="str">
        <f ca="1">IFERROR(__xludf.DUMMYFUNCTION("""COMPUTED_VALUE"""),"Not specified")</f>
        <v>Not specified</v>
      </c>
      <c r="AK147" t="str">
        <f ca="1">IFERROR(__xludf.DUMMYFUNCTION("""COMPUTED_VALUE"""),"Unsure")</f>
        <v>Unsure</v>
      </c>
      <c r="AL147" t="str">
        <f ca="1">IFERROR(__xludf.DUMMYFUNCTION("""COMPUTED_VALUE"""),"Manuscripts posted at a preprint server should not be discussed with the media prior to publication. Please contact the editors with questions regarding allowable postings to other servers.")</f>
        <v>Manuscripts posted at a preprint server should not be discussed with the media prior to publication. Please contact the editors with questions regarding allowable postings to other servers.</v>
      </c>
      <c r="AM147" t="str">
        <f ca="1">IFERROR(__xludf.DUMMYFUNCTION("""COMPUTED_VALUE"""),"")</f>
        <v/>
      </c>
      <c r="AN147" t="str">
        <f ca="1">IFERROR(__xludf.DUMMYFUNCTION("""COMPUTED_VALUE"""),"")</f>
        <v/>
      </c>
      <c r="AO147" t="str">
        <f ca="1">IFERROR(__xludf.DUMMYFUNCTION("""COMPUTED_VALUE"""),"")</f>
        <v/>
      </c>
      <c r="AP147" t="str">
        <f ca="1">IFERROR(__xludf.DUMMYFUNCTION("""COMPUTED_VALUE"""),"Science offers a rather comprehensive, easily accessible peer review policy on its website. It is the first journal surveyed during the first round to employ a cross-review policy. PR model not known - but not open identities (so single or double blind). "&amp;"Anon open interaction: ""Once all reviews are in, we initiate a cross-review process in which we invite all reviewers to read the other (still anonymous) reviews and make additional comments within 2 business days. Cross-review is encouraged, but not requ"&amp;"ired.""")</f>
        <v>Science offers a rather comprehensive, easily accessible peer review policy on its website. It is the first journal surveyed during the first round to employ a cross-review policy. PR model not known - but not open identities (so single or double blind). Anon open interaction: "Once all reviews are in, we initiate a cross-review process in which we invite all reviewers to read the other (still anonymous) reviews and make additional comments within 2 business days. Cross-review is encouraged, but not required."</v>
      </c>
      <c r="AQ147" t="str">
        <f ca="1">IFERROR(__xludf.DUMMYFUNCTION("""COMPUTED_VALUE"""),"20 mins")</f>
        <v>20 mins</v>
      </c>
      <c r="AR147" t="str">
        <f ca="1">IFERROR(__xludf.DUMMYFUNCTION("""COMPUTED_VALUE"""),"")</f>
        <v/>
      </c>
    </row>
    <row r="148" spans="1:44" ht="13">
      <c r="A148" t="str">
        <f ca="1">IFERROR(__xludf.DUMMYFUNCTION("""COMPUTED_VALUE"""),"SR")</f>
        <v>SR</v>
      </c>
      <c r="B148" s="41">
        <f ca="1">IFERROR(__xludf.DUMMYFUNCTION("""COMPUTED_VALUE"""),43440)</f>
        <v>43440</v>
      </c>
      <c r="C148" t="str">
        <f ca="1">IFERROR(__xludf.DUMMYFUNCTION("""COMPUTED_VALUE"""),"JP")</f>
        <v>JP</v>
      </c>
      <c r="D148" s="28">
        <f ca="1">IFERROR(__xludf.DUMMYFUNCTION("""COMPUTED_VALUE"""),43572)</f>
        <v>43572</v>
      </c>
      <c r="E148" t="str">
        <f ca="1">IFERROR(__xludf.DUMMYFUNCTION("""COMPUTED_VALUE"""),"TRH")</f>
        <v>TRH</v>
      </c>
      <c r="F148" s="28">
        <f ca="1">IFERROR(__xludf.DUMMYFUNCTION("""COMPUTED_VALUE"""),43581)</f>
        <v>43581</v>
      </c>
      <c r="G148" t="str">
        <f ca="1">IFERROR(__xludf.DUMMYFUNCTION("""COMPUTED_VALUE"""),"")</f>
        <v/>
      </c>
      <c r="H148" t="str">
        <f ca="1">IFERROR(__xludf.DUMMYFUNCTION("""COMPUTED_VALUE"""),"1946-6234")</f>
        <v>1946-6234</v>
      </c>
      <c r="I148" t="str">
        <f ca="1">IFERROR(__xludf.DUMMYFUNCTION("""COMPUTED_VALUE"""),"Science Translational Medicine")</f>
        <v>Science Translational Medicine</v>
      </c>
      <c r="J148" t="str">
        <f ca="1">IFERROR(__xludf.DUMMYFUNCTION("""COMPUTED_VALUE"""),"")</f>
        <v/>
      </c>
      <c r="K148" t="str">
        <f ca="1">IFERROR(__xludf.DUMMYFUNCTION("""COMPUTED_VALUE"""),"")</f>
        <v/>
      </c>
      <c r="L148" t="str">
        <f ca="1">IFERROR(__xludf.DUMMYFUNCTION("""COMPUTED_VALUE"""),"Unsure")</f>
        <v>Unsure</v>
      </c>
      <c r="M148" s="93" t="str">
        <f ca="1">IFERROR(__xludf.DUMMYFUNCTION("""COMPUTED_VALUE"""),"https://stm.sciencemag.org/content/science-translational-medicine-general-policies")</f>
        <v>https://stm.sciencemag.org/content/science-translational-medicine-general-policies</v>
      </c>
      <c r="N148" t="str">
        <f ca="1">IFERROR(__xludf.DUMMYFUNCTION("""COMPUTED_VALUE"""),"")</f>
        <v/>
      </c>
      <c r="O148" t="str">
        <f ca="1">IFERROR(__xludf.DUMMYFUNCTION("""COMPUTED_VALUE"""),"")</f>
        <v/>
      </c>
      <c r="P148" t="str">
        <f ca="1">IFERROR(__xludf.DUMMYFUNCTION("""COMPUTED_VALUE"""),"No")</f>
        <v>No</v>
      </c>
      <c r="Q148" t="str">
        <f ca="1">IFERROR(__xludf.DUMMYFUNCTION("""COMPUTED_VALUE"""),"")</f>
        <v/>
      </c>
      <c r="R148" t="str">
        <f ca="1">IFERROR(__xludf.DUMMYFUNCTION("""COMPUTED_VALUE"""),"")</f>
        <v/>
      </c>
      <c r="S148" t="str">
        <f ca="1">IFERROR(__xludf.DUMMYFUNCTION("""COMPUTED_VALUE"""),"No")</f>
        <v>No</v>
      </c>
      <c r="T148" t="str">
        <f ca="1">IFERROR(__xludf.DUMMYFUNCTION("""COMPUTED_VALUE"""),"Not specified")</f>
        <v>Not specified</v>
      </c>
      <c r="U148" t="str">
        <f ca="1">IFERROR(__xludf.DUMMYFUNCTION("""COMPUTED_VALUE"""),"Not specified")</f>
        <v>Not specified</v>
      </c>
      <c r="V148" t="str">
        <f ca="1">IFERROR(__xludf.DUMMYFUNCTION("""COMPUTED_VALUE"""),"Not specified")</f>
        <v>Not specified</v>
      </c>
      <c r="W148" t="str">
        <f ca="1">IFERROR(__xludf.DUMMYFUNCTION("""COMPUTED_VALUE"""),"No")</f>
        <v>No</v>
      </c>
      <c r="X148" t="str">
        <f ca="1">IFERROR(__xludf.DUMMYFUNCTION("""COMPUTED_VALUE"""),"No")</f>
        <v>No</v>
      </c>
      <c r="Y148" t="str">
        <f ca="1">IFERROR(__xludf.DUMMYFUNCTION("""COMPUTED_VALUE"""),"Not specified")</f>
        <v>Not specified</v>
      </c>
      <c r="Z148" t="str">
        <f ca="1">IFERROR(__xludf.DUMMYFUNCTION("""COMPUTED_VALUE"""),"Not specified")</f>
        <v>Not specified</v>
      </c>
      <c r="AA148" t="str">
        <f ca="1">IFERROR(__xludf.DUMMYFUNCTION("""COMPUTED_VALUE"""),"")</f>
        <v/>
      </c>
      <c r="AB148" t="str">
        <f ca="1">IFERROR(__xludf.DUMMYFUNCTION("""COMPUTED_VALUE""")," Please do not share the manuscript with any colleagues without the explicit permission of the editor. ")</f>
        <v xml:space="preserve"> Please do not share the manuscript with any colleagues without the explicit permission of the editor. </v>
      </c>
      <c r="AC148" s="93" t="str">
        <f ca="1">IFERROR(__xludf.DUMMYFUNCTION("""COMPUTED_VALUE"""),"https://stm.sciencemag.org/content/information-reviewers")</f>
        <v>https://stm.sciencemag.org/content/information-reviewers</v>
      </c>
      <c r="AD148" t="str">
        <f ca="1">IFERROR(__xludf.DUMMYFUNCTION("""COMPUTED_VALUE"""),"Unsure")</f>
        <v>Unsure</v>
      </c>
      <c r="AE148" t="str">
        <f ca="1">IFERROR(__xludf.DUMMYFUNCTION("""COMPUTED_VALUE"""),"Unsure")</f>
        <v>Unsure</v>
      </c>
      <c r="AF148" t="str">
        <f ca="1">IFERROR(__xludf.DUMMYFUNCTION("""COMPUTED_VALUE"""),"Unsure")</f>
        <v>Unsure</v>
      </c>
      <c r="AG148" s="93" t="str">
        <f ca="1">IFERROR(__xludf.DUMMYFUNCTION("""COMPUTED_VALUE"""),"https://stm.sciencemag.org/content/science-translational-medicine-general-policies")</f>
        <v>https://stm.sciencemag.org/content/science-translational-medicine-general-policies</v>
      </c>
      <c r="AH148" t="str">
        <f ca="1">IFERROR(__xludf.DUMMYFUNCTION("""COMPUTED_VALUE"""),"First submission only (before peer review)")</f>
        <v>First submission only (before peer review)</v>
      </c>
      <c r="AI148" t="str">
        <f ca="1">IFERROR(__xludf.DUMMYFUNCTION("""COMPUTED_VALUE"""),"We do support posting of research papers on not-for-profit preprint servers such as arXiv.org and bioRxiv.org.")</f>
        <v>We do support posting of research papers on not-for-profit preprint servers such as arXiv.org and bioRxiv.org.</v>
      </c>
      <c r="AJ148" t="str">
        <f ca="1">IFERROR(__xludf.DUMMYFUNCTION("""COMPUTED_VALUE"""),"Not specified")</f>
        <v>Not specified</v>
      </c>
      <c r="AK148" t="str">
        <f ca="1">IFERROR(__xludf.DUMMYFUNCTION("""COMPUTED_VALUE"""),"Unsure")</f>
        <v>Unsure</v>
      </c>
      <c r="AL148" t="str">
        <f ca="1">IFERROR(__xludf.DUMMYFUNCTION("""COMPUTED_VALUE"""),"We generally encourage presentation of original results prior to publication at scientific meetings. Nevertheless, press coverage and presentation at scientific conferences can sometimes affect consideration of papers at Science Translational Medicine. Fo"&amp;"r example, reporting the main findings of a paper in the mass media can compromise the novelty of the work and thus its appropriateness for Science Translational Medicine. Therefore, authors should feel free to present their data at scientific meetings bu"&amp;"t should not overtly seek media attention or give copies of the figures or data from their manuscript to any reporter. If a reporter attends an author's session at a meeting and writes a story based only on the presentation, such coverage will not affect "&amp;"Science Translational Medicine's consideration of the author's paper. (For more information, please see the embargo entry in the Science Contributors FAQ.)")</f>
        <v>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v>
      </c>
      <c r="AM148" t="str">
        <f ca="1">IFERROR(__xludf.DUMMYFUNCTION("""COMPUTED_VALUE"""),"")</f>
        <v/>
      </c>
      <c r="AN148" t="str">
        <f ca="1">IFERROR(__xludf.DUMMYFUNCTION("""COMPUTED_VALUE"""),"")</f>
        <v/>
      </c>
      <c r="AO148" t="str">
        <f ca="1">IFERROR(__xludf.DUMMYFUNCTION("""COMPUTED_VALUE"""),"")</f>
        <v/>
      </c>
      <c r="AP148" t="str">
        <f ca="1">IFERROR(__xludf.DUMMYFUNCTION("""COMPUTED_VALUE"""),"")</f>
        <v/>
      </c>
      <c r="AQ148" t="str">
        <f ca="1">IFERROR(__xludf.DUMMYFUNCTION("""COMPUTED_VALUE"""),"20 mins")</f>
        <v>20 mins</v>
      </c>
      <c r="AR148" t="str">
        <f ca="1">IFERROR(__xludf.DUMMYFUNCTION("""COMPUTED_VALUE"""),"")</f>
        <v/>
      </c>
    </row>
    <row r="149" spans="1:44" ht="13">
      <c r="A149" t="str">
        <f ca="1">IFERROR(__xludf.DUMMYFUNCTION("""COMPUTED_VALUE"""),"SR")</f>
        <v>SR</v>
      </c>
      <c r="B149" s="41">
        <f ca="1">IFERROR(__xludf.DUMMYFUNCTION("""COMPUTED_VALUE"""),43440)</f>
        <v>43440</v>
      </c>
      <c r="C149" t="str">
        <f ca="1">IFERROR(__xludf.DUMMYFUNCTION("""COMPUTED_VALUE"""),"JP")</f>
        <v>JP</v>
      </c>
      <c r="D149" s="28">
        <f ca="1">IFERROR(__xludf.DUMMYFUNCTION("""COMPUTED_VALUE"""),43572)</f>
        <v>43572</v>
      </c>
      <c r="E149" t="str">
        <f ca="1">IFERROR(__xludf.DUMMYFUNCTION("""COMPUTED_VALUE"""),"TRH")</f>
        <v>TRH</v>
      </c>
      <c r="F149" s="28">
        <f ca="1">IFERROR(__xludf.DUMMYFUNCTION("""COMPUTED_VALUE"""),43581)</f>
        <v>43581</v>
      </c>
      <c r="G149" t="str">
        <f ca="1">IFERROR(__xludf.DUMMYFUNCTION("""COMPUTED_VALUE"""),"")</f>
        <v/>
      </c>
      <c r="H149" t="str">
        <f ca="1">IFERROR(__xludf.DUMMYFUNCTION("""COMPUTED_VALUE"""),"2045-2322")</f>
        <v>2045-2322</v>
      </c>
      <c r="I149" t="str">
        <f ca="1">IFERROR(__xludf.DUMMYFUNCTION("""COMPUTED_VALUE"""),"Scientific Reports")</f>
        <v>Scientific Reports</v>
      </c>
      <c r="J149" t="str">
        <f ca="1">IFERROR(__xludf.DUMMYFUNCTION("""COMPUTED_VALUE"""),"Life Sciences &amp; Earth Sciences")</f>
        <v>Life Sciences &amp; Earth Sciences</v>
      </c>
      <c r="K149" t="str">
        <f ca="1">IFERROR(__xludf.DUMMYFUNCTION("""COMPUTED_VALUE"""),"Springer Nature")</f>
        <v>Springer Nature</v>
      </c>
      <c r="L149" t="str">
        <f ca="1">IFERROR(__xludf.DUMMYFUNCTION("""COMPUTED_VALUE"""),"Single blind")</f>
        <v>Single blind</v>
      </c>
      <c r="M149" s="93" t="str">
        <f ca="1">IFERROR(__xludf.DUMMYFUNCTION("""COMPUTED_VALUE"""),"https://www.nature.com/srep/journal-policies/peer-review")</f>
        <v>https://www.nature.com/srep/journal-policies/peer-review</v>
      </c>
      <c r="N149" t="str">
        <f ca="1">IFERROR(__xludf.DUMMYFUNCTION("""COMPUTED_VALUE"""),"")</f>
        <v/>
      </c>
      <c r="O149" t="str">
        <f ca="1">IFERROR(__xludf.DUMMYFUNCTION("""COMPUTED_VALUE"""),"")</f>
        <v/>
      </c>
      <c r="P149" t="str">
        <f ca="1">IFERROR(__xludf.DUMMYFUNCTION("""COMPUTED_VALUE"""),"No")</f>
        <v>No</v>
      </c>
      <c r="Q149" t="str">
        <f ca="1">IFERROR(__xludf.DUMMYFUNCTION("""COMPUTED_VALUE"""),"(1) Referee reports, whether signed or not, are subsequently shared with the other reviewers and with other Nature Research journals if the manuscript were to be transferred and (2) Reviewers may be asked to comment on the criticisms of other reviewers an"&amp;"d on further revisions of the manuscript and identified reviewers may find these discussions more challenging.")</f>
        <v>(1)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v>
      </c>
      <c r="R149" s="93" t="str">
        <f ca="1">IFERROR(__xludf.DUMMYFUNCTION("""COMPUTED_VALUE"""),"https://www.nature.com/authors/author_resources/transfer_manuscripts.html")</f>
        <v>https://www.nature.com/authors/author_resources/transfer_manuscripts.html</v>
      </c>
      <c r="S149" t="str">
        <f ca="1">IFERROR(__xludf.DUMMYFUNCTION("""COMPUTED_VALUE"""),"Not specified")</f>
        <v>Not specified</v>
      </c>
      <c r="T149" t="str">
        <f ca="1">IFERROR(__xludf.DUMMYFUNCTION("""COMPUTED_VALUE"""),"Not specified")</f>
        <v>Not specified</v>
      </c>
      <c r="U149" t="str">
        <f ca="1">IFERROR(__xludf.DUMMYFUNCTION("""COMPUTED_VALUE"""),"Not specified")</f>
        <v>Not specified</v>
      </c>
      <c r="V149" t="str">
        <f ca="1">IFERROR(__xludf.DUMMYFUNCTION("""COMPUTED_VALUE"""),"Not specified")</f>
        <v>Not specified</v>
      </c>
      <c r="W149" t="str">
        <f ca="1">IFERROR(__xludf.DUMMYFUNCTION("""COMPUTED_VALUE"""),"Not specified")</f>
        <v>Not specified</v>
      </c>
      <c r="X149" t="str">
        <f ca="1">IFERROR(__xludf.DUMMYFUNCTION("""COMPUTED_VALUE"""),"Optional")</f>
        <v>Optional</v>
      </c>
      <c r="Y149" t="str">
        <f ca="1">IFERROR(__xludf.DUMMYFUNCTION("""COMPUTED_VALUE"""),"Not specified")</f>
        <v>Not specified</v>
      </c>
      <c r="Z149" t="str">
        <f ca="1">IFERROR(__xludf.DUMMYFUNCTION("""COMPUTED_VALUE"""),"Not specified")</f>
        <v>Not specified</v>
      </c>
      <c r="AA149" t="str">
        <f ca="1">IFERROR(__xludf.DUMMYFUNCTION("""COMPUTED_VALUE"""),"")</f>
        <v/>
      </c>
      <c r="AB149" t="str">
        <f ca="1">IFERROR(__xludf.DUMMYFUNCTION("""COMPUTED_VALUE""")," It is acceptable to consult with laboratory colleagues, but we ask that they are identified to the Editorial Board Member. ")</f>
        <v xml:space="preserve"> It is acceptable to consult with laboratory colleagues, but we ask that they are identified to the Editorial Board Member. </v>
      </c>
      <c r="AC149" s="93" t="str">
        <f ca="1">IFERROR(__xludf.DUMMYFUNCTION("""COMPUTED_VALUE"""),"https://www.nature.com/srep/journal-policies/referees#confidentiality")</f>
        <v>https://www.nature.com/srep/journal-policies/referees#confidentiality</v>
      </c>
      <c r="AD149" t="str">
        <f ca="1">IFERROR(__xludf.DUMMYFUNCTION("""COMPUTED_VALUE"""),"Yes")</f>
        <v>Yes</v>
      </c>
      <c r="AE149" t="str">
        <f ca="1">IFERROR(__xludf.DUMMYFUNCTION("""COMPUTED_VALUE"""),"Unsure")</f>
        <v>Unsure</v>
      </c>
      <c r="AF149" t="str">
        <f ca="1">IFERROR(__xludf.DUMMYFUNCTION("""COMPUTED_VALUE"""),"Unsure")</f>
        <v>Unsure</v>
      </c>
      <c r="AG149" s="93" t="str">
        <f ca="1">IFERROR(__xludf.DUMMYFUNCTION("""COMPUTED_VALUE"""),"https://www.nature.com/srep/journal-policies/editorial-policies?draft=journal&amp;target=content#confidentiality")</f>
        <v>https://www.nature.com/srep/journal-policies/editorial-policies?draft=journal&amp;target=content#confidentiality</v>
      </c>
      <c r="AH149" t="str">
        <f ca="1">IFERROR(__xludf.DUMMYFUNCTION("""COMPUTED_VALUE"""),"Any")</f>
        <v>Any</v>
      </c>
      <c r="AI149" t="str">
        <f ca="1">IFERROR(__xludf.DUMMYFUNCTION("""COMPUTED_VALUE"""),"You are welcome to post pre-submission versions or the original submitted version of the manuscript on a personal blog, a collaborative wiki or a recognised preprint server at any time. The website and URL must be identified in the cover letter accompanyi"&amp;"ng submission of the paper to Scientific Reports.")</f>
        <v>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v>
      </c>
      <c r="AJ149" t="str">
        <f ca="1">IFERROR(__xludf.DUMMYFUNCTION("""COMPUTED_VALUE"""),"Preprints may be cited in the reference list as below: Babichev, S.A., Ries, J. &amp; Lvovsky, A.I. Quantum scissors: teleportation of single-mode optical states by means of a nonlocal single photon. Preprint at http://arXiv.org/quant-ph/0208066 (2002).")</f>
        <v>Preprints may be cited in the reference list as below: Babichev, S.A., Ries, J. &amp; Lvovsky, A.I. Quantum scissors: teleportation of single-mode optical states by means of a nonlocal single photon. Preprint at http://arXiv.org/quant-ph/0208066 (2002).</v>
      </c>
      <c r="AK149" t="str">
        <f ca="1">IFERROR(__xludf.DUMMYFUNCTION("""COMPUTED_VALUE"""),"Yes")</f>
        <v>Yes</v>
      </c>
      <c r="AL149" t="str">
        <f ca="1">IFERROR(__xludf.DUMMYFUNCTION("""COMPUTED_VALUE"""),"Researchers are welcome to respond to requests from the media in response to a preprint or conference presentation, by providing explanation or clarification of the work, or information about its context. In these circumstances, media coverage will not hi"&amp;"nder editorial handling of the submission.
Researchers should be aware that such coverage may reduce or pre-empt coverage by other media at the time of publication. We also advise that researchers approached by reporters in response to a preprint make it"&amp;" clear that the paper has not yet undergone peer review, and that the content is provisional. Details of peer review should be kept confidential.")</f>
        <v>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v>
      </c>
      <c r="AM149" t="str">
        <f ca="1">IFERROR(__xludf.DUMMYFUNCTION("""COMPUTED_VALUE"""),"")</f>
        <v/>
      </c>
      <c r="AN149" t="str">
        <f ca="1">IFERROR(__xludf.DUMMYFUNCTION("""COMPUTED_VALUE"""),"")</f>
        <v/>
      </c>
      <c r="AO149" t="str">
        <f ca="1">IFERROR(__xludf.DUMMYFUNCTION("""COMPUTED_VALUE"""),"")</f>
        <v/>
      </c>
      <c r="AP149" t="str">
        <f ca="1">IFERROR(__xludf.DUMMYFUNCTION("""COMPUTED_VALUE"""),"Nature Scientific Reports offers a very comprehensive peer review policy conveniently located in one place, which includes detailed information on aspects of open peer review, peer review credit policies as well as the way the peer review process works. T"&amp;"he specficiations concerning peer review as well as pre-prints concern all Nature Review journals, apparently. It was not possible to locate specifications for one specific journal.")</f>
        <v>Nature Scientific Reports offers a very comprehensive peer review policy conveniently located in one place, which includes detailed information on aspects of open peer review, peer review credit policies as well as the way the peer review process works. The specficiations concerning peer review as well as pre-prints concern all Nature Review journals, apparently. It was not possible to locate specifications for one specific journal.</v>
      </c>
      <c r="AQ149" t="str">
        <f ca="1">IFERROR(__xludf.DUMMYFUNCTION("""COMPUTED_VALUE"""),"30 min")</f>
        <v>30 min</v>
      </c>
      <c r="AR149" t="str">
        <f ca="1">IFERROR(__xludf.DUMMYFUNCTION("""COMPUTED_VALUE"""),"")</f>
        <v/>
      </c>
    </row>
    <row r="150" spans="1:44" ht="13">
      <c r="A150" t="str">
        <f ca="1">IFERROR(__xludf.DUMMYFUNCTION("""COMPUTED_VALUE"""),"JKP")</f>
        <v>JKP</v>
      </c>
      <c r="B150" s="41">
        <f ca="1">IFERROR(__xludf.DUMMYFUNCTION("""COMPUTED_VALUE"""),43472)</f>
        <v>43472</v>
      </c>
      <c r="C150" t="str">
        <f ca="1">IFERROR(__xludf.DUMMYFUNCTION("""COMPUTED_VALUE"""),"TRH")</f>
        <v>TRH</v>
      </c>
      <c r="D150" s="28">
        <f ca="1">IFERROR(__xludf.DUMMYFUNCTION("""COMPUTED_VALUE"""),43575)</f>
        <v>43575</v>
      </c>
      <c r="E150" t="str">
        <f ca="1">IFERROR(__xludf.DUMMYFUNCTION("""COMPUTED_VALUE"""),"JP")</f>
        <v>JP</v>
      </c>
      <c r="F150" s="28">
        <f ca="1">IFERROR(__xludf.DUMMYFUNCTION("""COMPUTED_VALUE"""),43581)</f>
        <v>43581</v>
      </c>
      <c r="G150" t="str">
        <f ca="1">IFERROR(__xludf.DUMMYFUNCTION("""COMPUTED_VALUE"""),"")</f>
        <v/>
      </c>
      <c r="H150" t="str">
        <f ca="1">IFERROR(__xludf.DUMMYFUNCTION("""COMPUTED_VALUE"""),"0277-9536")</f>
        <v>0277-9536</v>
      </c>
      <c r="I150" t="str">
        <f ca="1">IFERROR(__xludf.DUMMYFUNCTION("""COMPUTED_VALUE"""),"Social Science &amp; Medicine")</f>
        <v>Social Science &amp; Medicine</v>
      </c>
      <c r="J150" t="str">
        <f ca="1">IFERROR(__xludf.DUMMYFUNCTION("""COMPUTED_VALUE"""),"Social Sciences")</f>
        <v>Social Sciences</v>
      </c>
      <c r="K150" t="str">
        <f ca="1">IFERROR(__xludf.DUMMYFUNCTION("""COMPUTED_VALUE"""),"Elsevier")</f>
        <v>Elsevier</v>
      </c>
      <c r="L150" t="str">
        <f ca="1">IFERROR(__xludf.DUMMYFUNCTION("""COMPUTED_VALUE"""),"Double blind")</f>
        <v>Double blind</v>
      </c>
      <c r="M150" s="93" t="str">
        <f ca="1">IFERROR(__xludf.DUMMYFUNCTION("""COMPUTED_VALUE"""),"https://www.elsevier.com/journals/social-science-and-medicine/0277-9536/guide-for-authors")</f>
        <v>https://www.elsevier.com/journals/social-science-and-medicine/0277-9536/guide-for-authors</v>
      </c>
      <c r="N150" t="str">
        <f ca="1">IFERROR(__xludf.DUMMYFUNCTION("""COMPUTED_VALUE"""),"")</f>
        <v/>
      </c>
      <c r="O150" t="str">
        <f ca="1">IFERROR(__xludf.DUMMYFUNCTION("""COMPUTED_VALUE"""),"")</f>
        <v/>
      </c>
      <c r="P150" t="str">
        <f ca="1">IFERROR(__xludf.DUMMYFUNCTION("""COMPUTED_VALUE"""),"Unsure")</f>
        <v>Unsure</v>
      </c>
      <c r="Q150" t="str">
        <f ca="1">IFERROR(__xludf.DUMMYFUNCTION("""COMPUTED_VALUE"""),"This journal is part of our Article Transfer Service. This means that if the Editor feels your article is more suitable in one of our other participating journals, then you may be asked to consider transferring the article to one of those. If you agree, y"&amp;"our article will be transferred automatically on your behalf with no need to reformat. Please note that your article will be reviewed again by the new journal.")</f>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R150" s="93" t="str">
        <f ca="1">IFERROR(__xludf.DUMMYFUNCTION("""COMPUTED_VALUE"""),"https://www.elsevier.com/journals/social-science-and-medicine/0277-9536/guide-for-authors")</f>
        <v>https://www.elsevier.com/journals/social-science-and-medicine/0277-9536/guide-for-authors</v>
      </c>
      <c r="S150" t="str">
        <f ca="1">IFERROR(__xludf.DUMMYFUNCTION("""COMPUTED_VALUE"""),"Not specified")</f>
        <v>Not specified</v>
      </c>
      <c r="T150" t="str">
        <f ca="1">IFERROR(__xludf.DUMMYFUNCTION("""COMPUTED_VALUE"""),"Not specified")</f>
        <v>Not specified</v>
      </c>
      <c r="U150" t="str">
        <f ca="1">IFERROR(__xludf.DUMMYFUNCTION("""COMPUTED_VALUE"""),"Not specified")</f>
        <v>Not specified</v>
      </c>
      <c r="V150" t="str">
        <f ca="1">IFERROR(__xludf.DUMMYFUNCTION("""COMPUTED_VALUE"""),"Not specified")</f>
        <v>Not specified</v>
      </c>
      <c r="W150" t="str">
        <f ca="1">IFERROR(__xludf.DUMMYFUNCTION("""COMPUTED_VALUE"""),"Not specified")</f>
        <v>Not specified</v>
      </c>
      <c r="X150" t="str">
        <f ca="1">IFERROR(__xludf.DUMMYFUNCTION("""COMPUTED_VALUE"""),"Not specified")</f>
        <v>Not specified</v>
      </c>
      <c r="Y150" t="str">
        <f ca="1">IFERROR(__xludf.DUMMYFUNCTION("""COMPUTED_VALUE"""),"Not specified")</f>
        <v>Not specified</v>
      </c>
      <c r="Z150" t="str">
        <f ca="1">IFERROR(__xludf.DUMMYFUNCTION("""COMPUTED_VALUE"""),"Not specified")</f>
        <v>Not specified</v>
      </c>
      <c r="AA150" t="str">
        <f ca="1">IFERROR(__xludf.DUMMYFUNCTION("""COMPUTED_VALUE"""),"")</f>
        <v/>
      </c>
      <c r="AB150" t="str">
        <f ca="1">IFERROR(__xludf.DUMMYFUNCTION("""COMPUTED_VALUE"""),"")</f>
        <v/>
      </c>
      <c r="AC150" t="str">
        <f ca="1">IFERROR(__xludf.DUMMYFUNCTION("""COMPUTED_VALUE"""),"")</f>
        <v/>
      </c>
      <c r="AD150" t="str">
        <f ca="1">IFERROR(__xludf.DUMMYFUNCTION("""COMPUTED_VALUE"""),"Unsure")</f>
        <v>Unsure</v>
      </c>
      <c r="AE150" t="str">
        <f ca="1">IFERROR(__xludf.DUMMYFUNCTION("""COMPUTED_VALUE"""),"Unsure")</f>
        <v>Unsure</v>
      </c>
      <c r="AF150" t="str">
        <f ca="1">IFERROR(__xludf.DUMMYFUNCTION("""COMPUTED_VALUE"""),"Unsure")</f>
        <v>Unsure</v>
      </c>
      <c r="AG150" t="str">
        <f ca="1">IFERROR(__xludf.DUMMYFUNCTION("""COMPUTED_VALUE"""),"https://www.elsevier.com/journals/social-science-and-medicine/0277-9536/guide-for-authors, https://www.elsevier.com/about/policies/sharing/preprint")</f>
        <v>https://www.elsevier.com/journals/social-science-and-medicine/0277-9536/guide-for-authors, https://www.elsevier.com/about/policies/sharing/preprint</v>
      </c>
      <c r="AH150" t="str">
        <f ca="1">IFERROR(__xludf.DUMMYFUNCTION("""COMPUTED_VALUE"""),"First submission only")</f>
        <v>First submission only</v>
      </c>
      <c r="AI150" t="str">
        <f ca="1">IFERROR(__xludf.DUMMYFUNCTION("""COMPUTED_VALUE"""),"Please note that preprints can be shared anywhere at any time, in line with Elsevier's sharing policy. Sharing your preprints e.g. on a preprint server will not count as prior publication (see 'Multiple, redundant or concurrent publication' for more infor"&amp;"mation).")</f>
        <v>Please note that preprints can be shared anywhere at any time, in line with Elsevier's sharing policy. Sharing your preprints e.g. on a preprint server will not count as prior publication (see 'Multiple, redundant or concurrent publication' for more information).</v>
      </c>
      <c r="AJ150" t="str">
        <f ca="1">IFERROR(__xludf.DUMMYFUNCTION("""COMPUTED_VALUE"""),"Unsure")</f>
        <v>Unsure</v>
      </c>
      <c r="AK150" t="str">
        <f ca="1">IFERROR(__xludf.DUMMYFUNCTION("""COMPUTED_VALUE"""),"Unsure")</f>
        <v>Unsure</v>
      </c>
      <c r="AL150" t="str">
        <f ca="1">IFERROR(__xludf.DUMMYFUNCTION("""COMPUTED_VALUE"""),"")</f>
        <v/>
      </c>
      <c r="AM150" t="str">
        <f ca="1">IFERROR(__xludf.DUMMYFUNCTION("""COMPUTED_VALUE"""),"")</f>
        <v/>
      </c>
      <c r="AN150" t="str">
        <f ca="1">IFERROR(__xludf.DUMMYFUNCTION("""COMPUTED_VALUE"""),"")</f>
        <v/>
      </c>
      <c r="AO150" t="str">
        <f ca="1">IFERROR(__xludf.DUMMYFUNCTION("""COMPUTED_VALUE"""),"")</f>
        <v/>
      </c>
      <c r="AP150" t="str">
        <f ca="1">IFERROR(__xludf.DUMMYFUNCTION("""COMPUTED_VALUE"""),"")</f>
        <v/>
      </c>
      <c r="AQ150" s="442" t="str">
        <f ca="1">IFERROR(__xludf.DUMMYFUNCTION("""COMPUTED_VALUE"""),"")</f>
        <v/>
      </c>
      <c r="AR150" t="str">
        <f ca="1">IFERROR(__xludf.DUMMYFUNCTION("""COMPUTED_VALUE"""),"")</f>
        <v/>
      </c>
    </row>
    <row r="151" spans="1:44" ht="13">
      <c r="A151" t="str">
        <f ca="1">IFERROR(__xludf.DUMMYFUNCTION("""COMPUTED_VALUE"""),"JKP")</f>
        <v>JKP</v>
      </c>
      <c r="B151" s="41">
        <f ca="1">IFERROR(__xludf.DUMMYFUNCTION("""COMPUTED_VALUE"""),43472)</f>
        <v>43472</v>
      </c>
      <c r="C151" t="str">
        <f ca="1">IFERROR(__xludf.DUMMYFUNCTION("""COMPUTED_VALUE"""),"GMD")</f>
        <v>GMD</v>
      </c>
      <c r="D151" s="28">
        <f ca="1">IFERROR(__xludf.DUMMYFUNCTION("""COMPUTED_VALUE"""),43579)</f>
        <v>43579</v>
      </c>
      <c r="E151" t="str">
        <f ca="1">IFERROR(__xludf.DUMMYFUNCTION("""COMPUTED_VALUE"""),"JP")</f>
        <v>JP</v>
      </c>
      <c r="F151" s="28">
        <f ca="1">IFERROR(__xludf.DUMMYFUNCTION("""COMPUTED_VALUE"""),43583)</f>
        <v>43583</v>
      </c>
      <c r="G151" t="str">
        <f ca="1">IFERROR(__xludf.DUMMYFUNCTION("""COMPUTED_VALUE"""),"New link does not contiain form; added coreviewer policy")</f>
        <v>New link does not contiain form; added coreviewer policy</v>
      </c>
      <c r="H151" t="str">
        <f ca="1">IFERROR(__xludf.DUMMYFUNCTION("""COMPUTED_VALUE"""),"1097-0266")</f>
        <v>1097-0266</v>
      </c>
      <c r="I151" t="str">
        <f ca="1">IFERROR(__xludf.DUMMYFUNCTION("""COMPUTED_VALUE"""),"Strategic Management Journal")</f>
        <v>Strategic Management Journal</v>
      </c>
      <c r="J151" t="str">
        <f ca="1">IFERROR(__xludf.DUMMYFUNCTION("""COMPUTED_VALUE"""),"Business, Economics &amp; Management")</f>
        <v>Business, Economics &amp; Management</v>
      </c>
      <c r="K151" t="str">
        <f ca="1">IFERROR(__xludf.DUMMYFUNCTION("""COMPUTED_VALUE"""),"Wiley, Strategic Management Society")</f>
        <v>Wiley, Strategic Management Society</v>
      </c>
      <c r="L151" t="str">
        <f ca="1">IFERROR(__xludf.DUMMYFUNCTION("""COMPUTED_VALUE"""),"Unsure")</f>
        <v>Unsure</v>
      </c>
      <c r="M151" t="str">
        <f ca="1">IFERROR(__xludf.DUMMYFUNCTION("""COMPUTED_VALUE"""),"")</f>
        <v/>
      </c>
      <c r="N151" t="str">
        <f ca="1">IFERROR(__xludf.DUMMYFUNCTION("""COMPUTED_VALUE"""),"")</f>
        <v/>
      </c>
      <c r="O151" t="str">
        <f ca="1">IFERROR(__xludf.DUMMYFUNCTION("""COMPUTED_VALUE"""),"")</f>
        <v/>
      </c>
      <c r="P151" t="str">
        <f ca="1">IFERROR(__xludf.DUMMYFUNCTION("""COMPUTED_VALUE"""),"Unsure")</f>
        <v>Unsure</v>
      </c>
      <c r="Q151" t="str">
        <f ca="1">IFERROR(__xludf.DUMMYFUNCTION("""COMPUTED_VALUE"""),"")</f>
        <v/>
      </c>
      <c r="R151" t="str">
        <f ca="1">IFERROR(__xludf.DUMMYFUNCTION("""COMPUTED_VALUE"""),"")</f>
        <v/>
      </c>
      <c r="S151" t="str">
        <f ca="1">IFERROR(__xludf.DUMMYFUNCTION("""COMPUTED_VALUE"""),"Not specified")</f>
        <v>Not specified</v>
      </c>
      <c r="T151" t="str">
        <f ca="1">IFERROR(__xludf.DUMMYFUNCTION("""COMPUTED_VALUE"""),"Not specified")</f>
        <v>Not specified</v>
      </c>
      <c r="U151" t="str">
        <f ca="1">IFERROR(__xludf.DUMMYFUNCTION("""COMPUTED_VALUE"""),"Not specified")</f>
        <v>Not specified</v>
      </c>
      <c r="V151" t="str">
        <f ca="1">IFERROR(__xludf.DUMMYFUNCTION("""COMPUTED_VALUE"""),"Not specified")</f>
        <v>Not specified</v>
      </c>
      <c r="W151" t="str">
        <f ca="1">IFERROR(__xludf.DUMMYFUNCTION("""COMPUTED_VALUE"""),"Not specified")</f>
        <v>Not specified</v>
      </c>
      <c r="X151" t="str">
        <f ca="1">IFERROR(__xludf.DUMMYFUNCTION("""COMPUTED_VALUE"""),"Not specified")</f>
        <v>Not specified</v>
      </c>
      <c r="Y151" t="str">
        <f ca="1">IFERROR(__xludf.DUMMYFUNCTION("""COMPUTED_VALUE"""),"Not specified")</f>
        <v>Not specified</v>
      </c>
      <c r="Z151" t="str">
        <f ca="1">IFERROR(__xludf.DUMMYFUNCTION("""COMPUTED_VALUE"""),"Not specified")</f>
        <v>Not specified</v>
      </c>
      <c r="AA151" t="str">
        <f ca="1">IFERROR(__xludf.DUMMYFUNCTION("""COMPUTED_VALUE"""),"Not specified")</f>
        <v>Not specified</v>
      </c>
      <c r="AB151" t="str">
        <f ca="1">IFERROR(__xludf.DUMMYFUNCTION("""COMPUTED_VALUE"""),"Confidentiality: Respect the confidentiality of the peer review process and refrain from using information obtained during the peer review process for your own or another’s advantage, or to disadvantage or discredit others (e.g. see COPE Case 14-06: Possi"&amp;"ble breach of reviewer confidentiality). Do not involve anyone else in the review of a manuscript (including early career researchers you are mentoring), without first obtaining permission from the journal (e.g. see COPE Case 11-29: Reviewer asks trainee "&amp;"to review manuscript). The names of any individuals who have helped with the review should be included so that they are associated with the manuscript in the journal’s records and can also receive due recognition for their efforts.")</f>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AC151" s="93" t="str">
        <f ca="1">IFERROR(__xludf.DUMMYFUNCTION("""COMPUTED_VALUE"""),"https://authorservices.wiley.com/Reviewers/journal-reviewers/how-to-perform-a-peer-review/general-and-ethical-guidelines.html")</f>
        <v>https://authorservices.wiley.com/Reviewers/journal-reviewers/how-to-perform-a-peer-review/general-and-ethical-guidelines.html</v>
      </c>
      <c r="AD151" t="str">
        <f ca="1">IFERROR(__xludf.DUMMYFUNCTION("""COMPUTED_VALUE"""),"Unsure")</f>
        <v>Unsure</v>
      </c>
      <c r="AE151" t="str">
        <f ca="1">IFERROR(__xludf.DUMMYFUNCTION("""COMPUTED_VALUE"""),"Unsure")</f>
        <v>Unsure</v>
      </c>
      <c r="AF151" t="str">
        <f ca="1">IFERROR(__xludf.DUMMYFUNCTION("""COMPUTED_VALUE"""),"Unsure")</f>
        <v>Unsure</v>
      </c>
      <c r="AG151" t="str">
        <f ca="1">IFERROR(__xludf.DUMMYFUNCTION("""COMPUTED_VALUE"""),"(describes working paper citations) https://onlinelibrary.wiley.com/page/journal/10970266/homepage/forauthors.html")</f>
        <v>(describes working paper citations) https://onlinelibrary.wiley.com/page/journal/10970266/homepage/forauthors.html</v>
      </c>
      <c r="AH151" t="str">
        <f ca="1">IFERROR(__xludf.DUMMYFUNCTION("""COMPUTED_VALUE"""),"No preprint policy")</f>
        <v>No preprint policy</v>
      </c>
      <c r="AI151" t="str">
        <f ca="1">IFERROR(__xludf.DUMMYFUNCTION("""COMPUTED_VALUE"""),"""Submitted manuscripts should not have been previously published and should not be submitted for publication elsewhere while they are under consideration by SMJ .
 ...
 We suggest that you circulate your manuscript among colleagues before submitting to S"&amp;"MJ , and make revisions based on their thoughtful suggestions. The reviewers should not be your first readers.""")</f>
        <v>"Submitted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v>
      </c>
      <c r="AJ151" t="str">
        <f ca="1">IFERROR(__xludf.DUMMYFUNCTION("""COMPUTED_VALUE"""),"Yes")</f>
        <v>Yes</v>
      </c>
      <c r="AK151" t="str">
        <f ca="1">IFERROR(__xludf.DUMMYFUNCTION("""COMPUTED_VALUE"""),"Unsure")</f>
        <v>Unsure</v>
      </c>
      <c r="AL151" t="str">
        <f ca="1">IFERROR(__xludf.DUMMYFUNCTION("""COMPUTED_VALUE"""),"")</f>
        <v/>
      </c>
      <c r="AM151" t="str">
        <f ca="1">IFERROR(__xludf.DUMMYFUNCTION("""COMPUTED_VALUE"""),"")</f>
        <v/>
      </c>
      <c r="AN151" t="str">
        <f ca="1">IFERROR(__xludf.DUMMYFUNCTION("""COMPUTED_VALUE"""),"")</f>
        <v/>
      </c>
      <c r="AO151" t="str">
        <f ca="1">IFERROR(__xludf.DUMMYFUNCTION("""COMPUTED_VALUE"""),"")</f>
        <v/>
      </c>
      <c r="AP151" t="str">
        <f ca="1">IFERROR(__xludf.DUMMYFUNCTION("""COMPUTED_VALUE"""),"")</f>
        <v/>
      </c>
      <c r="AQ151" s="442" t="str">
        <f ca="1">IFERROR(__xludf.DUMMYFUNCTION("""COMPUTED_VALUE"""),"")</f>
        <v/>
      </c>
      <c r="AR151" t="str">
        <f ca="1">IFERROR(__xludf.DUMMYFUNCTION("""COMPUTED_VALUE"""),"")</f>
        <v/>
      </c>
    </row>
    <row r="152" spans="1:44" ht="13">
      <c r="A152" t="str">
        <f ca="1">IFERROR(__xludf.DUMMYFUNCTION("""COMPUTED_VALUE"""),"JKP")</f>
        <v>JKP</v>
      </c>
      <c r="B152" s="41">
        <f ca="1">IFERROR(__xludf.DUMMYFUNCTION("""COMPUTED_VALUE"""),43472)</f>
        <v>43472</v>
      </c>
      <c r="C152" t="str">
        <f ca="1">IFERROR(__xludf.DUMMYFUNCTION("""COMPUTED_VALUE"""),"GMD")</f>
        <v>GMD</v>
      </c>
      <c r="D152" s="28">
        <f ca="1">IFERROR(__xludf.DUMMYFUNCTION("""COMPUTED_VALUE"""),43579)</f>
        <v>43579</v>
      </c>
      <c r="E152" t="str">
        <f ca="1">IFERROR(__xludf.DUMMYFUNCTION("""COMPUTED_VALUE"""),"JP")</f>
        <v>JP</v>
      </c>
      <c r="F152" s="28">
        <f ca="1">IFERROR(__xludf.DUMMYFUNCTION("""COMPUTED_VALUE"""),43583)</f>
        <v>43583</v>
      </c>
      <c r="G152" t="str">
        <f ca="1">IFERROR(__xludf.DUMMYFUNCTION("""COMPUTED_VALUE"""),"")</f>
        <v/>
      </c>
      <c r="H152" t="str">
        <f ca="1">IFERROR(__xludf.DUMMYFUNCTION("""COMPUTED_VALUE"""),"1573-0964")</f>
        <v>1573-0964</v>
      </c>
      <c r="I152" t="str">
        <f ca="1">IFERROR(__xludf.DUMMYFUNCTION("""COMPUTED_VALUE"""),"Synthese")</f>
        <v>Synthese</v>
      </c>
      <c r="J152" t="str">
        <f ca="1">IFERROR(__xludf.DUMMYFUNCTION("""COMPUTED_VALUE"""),"Humanities, Literature &amp; Arts")</f>
        <v>Humanities, Literature &amp; Arts</v>
      </c>
      <c r="K152" t="str">
        <f ca="1">IFERROR(__xludf.DUMMYFUNCTION("""COMPUTED_VALUE"""),"Springer")</f>
        <v>Springer</v>
      </c>
      <c r="L152" t="str">
        <f ca="1">IFERROR(__xludf.DUMMYFUNCTION("""COMPUTED_VALUE"""),"Double blind")</f>
        <v>Double blind</v>
      </c>
      <c r="M152" s="93" t="str">
        <f ca="1">IFERROR(__xludf.DUMMYFUNCTION("""COMPUTED_VALUE"""),"https://www.springer.com/philosophy/epistemology+and+philosophy+of+science/journal/11229")</f>
        <v>https://www.springer.com/philosophy/epistemology+and+philosophy+of+science/journal/11229</v>
      </c>
      <c r="N152" t="str">
        <f ca="1">IFERROR(__xludf.DUMMYFUNCTION("""COMPUTED_VALUE"""),"")</f>
        <v/>
      </c>
      <c r="O152" t="str">
        <f ca="1">IFERROR(__xludf.DUMMYFUNCTION("""COMPUTED_VALUE"""),"")</f>
        <v/>
      </c>
      <c r="P152" t="str">
        <f ca="1">IFERROR(__xludf.DUMMYFUNCTION("""COMPUTED_VALUE"""),"Unsure")</f>
        <v>Unsure</v>
      </c>
      <c r="Q152" t="str">
        <f ca="1">IFERROR(__xludf.DUMMYFUNCTION("""COMPUTED_VALUE"""),"")</f>
        <v/>
      </c>
      <c r="R152" t="str">
        <f ca="1">IFERROR(__xludf.DUMMYFUNCTION("""COMPUTED_VALUE"""),"")</f>
        <v/>
      </c>
      <c r="S152" t="str">
        <f ca="1">IFERROR(__xludf.DUMMYFUNCTION("""COMPUTED_VALUE"""),"Not specified")</f>
        <v>Not specified</v>
      </c>
      <c r="T152" t="str">
        <f ca="1">IFERROR(__xludf.DUMMYFUNCTION("""COMPUTED_VALUE"""),"Not specified")</f>
        <v>Not specified</v>
      </c>
      <c r="U152" t="str">
        <f ca="1">IFERROR(__xludf.DUMMYFUNCTION("""COMPUTED_VALUE"""),"Not specified")</f>
        <v>Not specified</v>
      </c>
      <c r="V152" t="str">
        <f ca="1">IFERROR(__xludf.DUMMYFUNCTION("""COMPUTED_VALUE"""),"Not specified")</f>
        <v>Not specified</v>
      </c>
      <c r="W152" t="str">
        <f ca="1">IFERROR(__xludf.DUMMYFUNCTION("""COMPUTED_VALUE"""),"Not specified")</f>
        <v>Not specified</v>
      </c>
      <c r="X152" t="str">
        <f ca="1">IFERROR(__xludf.DUMMYFUNCTION("""COMPUTED_VALUE"""),"Not specified")</f>
        <v>Not specified</v>
      </c>
      <c r="Y152" t="str">
        <f ca="1">IFERROR(__xludf.DUMMYFUNCTION("""COMPUTED_VALUE"""),"Not specified")</f>
        <v>Not specified</v>
      </c>
      <c r="Z152" t="str">
        <f ca="1">IFERROR(__xludf.DUMMYFUNCTION("""COMPUTED_VALUE"""),"Not specified")</f>
        <v>Not specified</v>
      </c>
      <c r="AA152" t="str">
        <f ca="1">IFERROR(__xludf.DUMMYFUNCTION("""COMPUTED_VALUE"""),"Not specified")</f>
        <v>Not specified</v>
      </c>
      <c r="AB152" t="str">
        <f ca="1">IFERROR(__xludf.DUMMYFUNCTION("""COMPUTED_VALUE"""),"")</f>
        <v/>
      </c>
      <c r="AC152" t="str">
        <f ca="1">IFERROR(__xludf.DUMMYFUNCTION("""COMPUTED_VALUE"""),"")</f>
        <v/>
      </c>
      <c r="AD152" t="str">
        <f ca="1">IFERROR(__xludf.DUMMYFUNCTION("""COMPUTED_VALUE"""),"Unsure")</f>
        <v>Unsure</v>
      </c>
      <c r="AE152" t="str">
        <f ca="1">IFERROR(__xludf.DUMMYFUNCTION("""COMPUTED_VALUE"""),"Unsure")</f>
        <v>Unsure</v>
      </c>
      <c r="AF152" t="str">
        <f ca="1">IFERROR(__xludf.DUMMYFUNCTION("""COMPUTED_VALUE"""),"Unsure")</f>
        <v>Unsure</v>
      </c>
      <c r="AG152" s="93" t="str">
        <f ca="1">IFERROR(__xludf.DUMMYFUNCTION("""COMPUTED_VALUE"""),"https://www.springer.com/philosophy/epistemology+and+philosophy+of+science/journal/11229")</f>
        <v>https://www.springer.com/philosophy/epistemology+and+philosophy+of+science/journal/11229</v>
      </c>
      <c r="AH152" t="str">
        <f ca="1">IFERROR(__xludf.DUMMYFUNCTION("""COMPUTED_VALUE"""),"No preprint policy")</f>
        <v>No preprint policy</v>
      </c>
      <c r="AI152" t="str">
        <f ca="1">IFERROR(__xludf.DUMMYFUNCTION("""COMPUTED_VALUE"""),"Submission of a manuscript implies: that the work described has not been published before; that it is not under consideration for publication anywhere else; that its publication has been approved by all co-authors, if any, as well as by the responsible au"&amp;"thorities – tacitly or explicitly – at the institute where the work has been carried out. The publisher will not be held legally responsible should there be any claims for compensation.")</f>
        <v>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v>
      </c>
      <c r="AJ152" t="str">
        <f ca="1">IFERROR(__xludf.DUMMYFUNCTION("""COMPUTED_VALUE"""),"Not specified")</f>
        <v>Not specified</v>
      </c>
      <c r="AK152" t="str">
        <f ca="1">IFERROR(__xludf.DUMMYFUNCTION("""COMPUTED_VALUE"""),"Unsure")</f>
        <v>Unsure</v>
      </c>
      <c r="AL152" t="str">
        <f ca="1">IFERROR(__xludf.DUMMYFUNCTION("""COMPUTED_VALUE"""),"")</f>
        <v/>
      </c>
      <c r="AM152" t="str">
        <f ca="1">IFERROR(__xludf.DUMMYFUNCTION("""COMPUTED_VALUE"""),"")</f>
        <v/>
      </c>
      <c r="AN152" t="str">
        <f ca="1">IFERROR(__xludf.DUMMYFUNCTION("""COMPUTED_VALUE"""),"")</f>
        <v/>
      </c>
      <c r="AO152" t="str">
        <f ca="1">IFERROR(__xludf.DUMMYFUNCTION("""COMPUTED_VALUE"""),"")</f>
        <v/>
      </c>
      <c r="AP152" t="str">
        <f ca="1">IFERROR(__xludf.DUMMYFUNCTION("""COMPUTED_VALUE"""),"")</f>
        <v/>
      </c>
      <c r="AQ152" s="442" t="str">
        <f ca="1">IFERROR(__xludf.DUMMYFUNCTION("""COMPUTED_VALUE"""),"")</f>
        <v/>
      </c>
      <c r="AR152" t="str">
        <f ca="1">IFERROR(__xludf.DUMMYFUNCTION("""COMPUTED_VALUE"""),"")</f>
        <v/>
      </c>
    </row>
    <row r="153" spans="1:44" ht="13">
      <c r="A153" t="str">
        <f ca="1">IFERROR(__xludf.DUMMYFUNCTION("""COMPUTED_VALUE"""),"JKP")</f>
        <v>JKP</v>
      </c>
      <c r="B153" s="41">
        <f ca="1">IFERROR(__xludf.DUMMYFUNCTION("""COMPUTED_VALUE"""),43472)</f>
        <v>43472</v>
      </c>
      <c r="C153" t="str">
        <f ca="1">IFERROR(__xludf.DUMMYFUNCTION("""COMPUTED_VALUE"""),"GMD")</f>
        <v>GMD</v>
      </c>
      <c r="D153" s="28">
        <f ca="1">IFERROR(__xludf.DUMMYFUNCTION("""COMPUTED_VALUE"""),43579)</f>
        <v>43579</v>
      </c>
      <c r="E153" t="str">
        <f ca="1">IFERROR(__xludf.DUMMYFUNCTION("""COMPUTED_VALUE"""),"JP")</f>
        <v>JP</v>
      </c>
      <c r="F153" s="28">
        <f ca="1">IFERROR(__xludf.DUMMYFUNCTION("""COMPUTED_VALUE"""),43583)</f>
        <v>43583</v>
      </c>
      <c r="G153" t="str">
        <f ca="1">IFERROR(__xludf.DUMMYFUNCTION("""COMPUTED_VALUE"""),"")</f>
        <v/>
      </c>
      <c r="H153" t="str">
        <f ca="1">IFERROR(__xludf.DUMMYFUNCTION("""COMPUTED_VALUE"""),"0346-251X")</f>
        <v>0346-251X</v>
      </c>
      <c r="I153" t="str">
        <f ca="1">IFERROR(__xludf.DUMMYFUNCTION("""COMPUTED_VALUE"""),"System")</f>
        <v>System</v>
      </c>
      <c r="J153" t="str">
        <f ca="1">IFERROR(__xludf.DUMMYFUNCTION("""COMPUTED_VALUE"""),"Humanities, Literature &amp; Arts")</f>
        <v>Humanities, Literature &amp; Arts</v>
      </c>
      <c r="K153" t="str">
        <f ca="1">IFERROR(__xludf.DUMMYFUNCTION("""COMPUTED_VALUE"""),"Elsevier")</f>
        <v>Elsevier</v>
      </c>
      <c r="L153" t="str">
        <f ca="1">IFERROR(__xludf.DUMMYFUNCTION("""COMPUTED_VALUE"""),"Double blind")</f>
        <v>Double blind</v>
      </c>
      <c r="M153" s="93" t="str">
        <f ca="1">IFERROR(__xludf.DUMMYFUNCTION("""COMPUTED_VALUE"""),"https://www.journals.elsevier.com/system")</f>
        <v>https://www.journals.elsevier.com/system</v>
      </c>
      <c r="N153" t="str">
        <f ca="1">IFERROR(__xludf.DUMMYFUNCTION("""COMPUTED_VALUE"""),"")</f>
        <v/>
      </c>
      <c r="O153" s="93" t="str">
        <f ca="1">IFERROR(__xludf.DUMMYFUNCTION("""COMPUTED_VALUE"""),"https://www.elsevier.com/reviewers/role#recognizing ")</f>
        <v xml:space="preserve">https://www.elsevier.com/reviewers/role#recognizing </v>
      </c>
      <c r="P153" t="str">
        <f ca="1">IFERROR(__xludf.DUMMYFUNCTION("""COMPUTED_VALUE"""),"Unsure: Peer Reviewer activity IS deposited into a database by Elsevier, but it is NOT open. This applies across the Elsevier platform. ")</f>
        <v xml:space="preserve">Unsure: Peer Reviewer activity IS deposited into a database by Elsevier, but it is NOT open. This applies across the Elsevier platform. </v>
      </c>
      <c r="Q153" t="str">
        <f ca="1">IFERROR(__xludf.DUMMYFUNCTION("""COMPUTED_VALUE"""),"Heliyon Partner Journal
 This journal has partnered with Heliyon, an open access journal from Elsevier publishing quality peer reviewed research across all disciplines. Heliyon’s team of experts provides editorial excellence, fast publication, and high vi"&amp;"sibility for your paper. Authors can quickly and easily transfer their research from a Partner Journal to Heliyon without the need to edit, reformat or resubmit. Article transfer service 
 This journal is part of our Article Transfer Service. This means t"&amp;"hat if the Editor feels your article is more suitable in one of our other participating journals, then you may be asked to consider transferring the article to one of those. If you agree, your article will be transferred automatically on your behalf with "&amp;"no need to reformat. Please note that your article will be reviewed again by the new journal. More information.")</f>
        <v>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53" t="str">
        <f ca="1">IFERROR(__xludf.DUMMYFUNCTION("""COMPUTED_VALUE"""),"")</f>
        <v/>
      </c>
      <c r="S153" t="str">
        <f ca="1">IFERROR(__xludf.DUMMYFUNCTION("""COMPUTED_VALUE"""),"Not specified")</f>
        <v>Not specified</v>
      </c>
      <c r="T153" t="str">
        <f ca="1">IFERROR(__xludf.DUMMYFUNCTION("""COMPUTED_VALUE"""),"Not specified")</f>
        <v>Not specified</v>
      </c>
      <c r="U153" t="str">
        <f ca="1">IFERROR(__xludf.DUMMYFUNCTION("""COMPUTED_VALUE"""),"Not specified")</f>
        <v>Not specified</v>
      </c>
      <c r="V153" t="str">
        <f ca="1">IFERROR(__xludf.DUMMYFUNCTION("""COMPUTED_VALUE"""),"Not specified")</f>
        <v>Not specified</v>
      </c>
      <c r="W153" t="str">
        <f ca="1">IFERROR(__xludf.DUMMYFUNCTION("""COMPUTED_VALUE"""),"Not specified")</f>
        <v>Not specified</v>
      </c>
      <c r="X153" t="str">
        <f ca="1">IFERROR(__xludf.DUMMYFUNCTION("""COMPUTED_VALUE"""),"Not specified")</f>
        <v>Not specified</v>
      </c>
      <c r="Y153" t="str">
        <f ca="1">IFERROR(__xludf.DUMMYFUNCTION("""COMPUTED_VALUE"""),"Not specified")</f>
        <v>Not specified</v>
      </c>
      <c r="Z153" t="str">
        <f ca="1">IFERROR(__xludf.DUMMYFUNCTION("""COMPUTED_VALUE"""),"Not specified")</f>
        <v>Not specified</v>
      </c>
      <c r="AA153" t="str">
        <f ca="1">IFERROR(__xludf.DUMMYFUNCTION("""COMPUTED_VALUE"""),"Not specified")</f>
        <v>Not specified</v>
      </c>
      <c r="AB153" t="str">
        <f ca="1">IFERROR(__xludf.DUMMYFUNCTION("""COMPUTED_VALUE"""),"")</f>
        <v/>
      </c>
      <c r="AC153" t="str">
        <f ca="1">IFERROR(__xludf.DUMMYFUNCTION("""COMPUTED_VALUE"""),"")</f>
        <v/>
      </c>
      <c r="AD153" t="str">
        <f ca="1">IFERROR(__xludf.DUMMYFUNCTION("""COMPUTED_VALUE"""),"Unsure")</f>
        <v>Unsure</v>
      </c>
      <c r="AE153" t="str">
        <f ca="1">IFERROR(__xludf.DUMMYFUNCTION("""COMPUTED_VALUE"""),"Unsure")</f>
        <v>Unsure</v>
      </c>
      <c r="AF153" t="str">
        <f ca="1">IFERROR(__xludf.DUMMYFUNCTION("""COMPUTED_VALUE"""),"Unsure")</f>
        <v>Unsure</v>
      </c>
      <c r="AG153" t="str">
        <f ca="1">IFERROR(__xludf.DUMMYFUNCTION("""COMPUTED_VALUE"""),"")</f>
        <v/>
      </c>
      <c r="AH153" t="str">
        <f ca="1">IFERROR(__xludf.DUMMYFUNCTION("""COMPUTED_VALUE"""),"No preprint policy")</f>
        <v>No preprint policy</v>
      </c>
      <c r="AI153" t="str">
        <f ca="1">IFERROR(__xludf.DUMMYFUNCTION("""COMPUTED_VALUE"""),"")</f>
        <v/>
      </c>
      <c r="AJ153" t="str">
        <f ca="1">IFERROR(__xludf.DUMMYFUNCTION("""COMPUTED_VALUE"""),"Not specified")</f>
        <v>Not specified</v>
      </c>
      <c r="AK153" t="str">
        <f ca="1">IFERROR(__xludf.DUMMYFUNCTION("""COMPUTED_VALUE"""),"Unsure")</f>
        <v>Unsure</v>
      </c>
      <c r="AL153" t="str">
        <f ca="1">IFERROR(__xludf.DUMMYFUNCTION("""COMPUTED_VALUE"""),"")</f>
        <v/>
      </c>
      <c r="AM153" t="str">
        <f ca="1">IFERROR(__xludf.DUMMYFUNCTION("""COMPUTED_VALUE"""),"")</f>
        <v/>
      </c>
      <c r="AN153" t="str">
        <f ca="1">IFERROR(__xludf.DUMMYFUNCTION("""COMPUTED_VALUE"""),"")</f>
        <v/>
      </c>
      <c r="AO153" t="str">
        <f ca="1">IFERROR(__xludf.DUMMYFUNCTION("""COMPUTED_VALUE"""),"")</f>
        <v/>
      </c>
      <c r="AP153" t="str">
        <f ca="1">IFERROR(__xludf.DUMMYFUNCTION("""COMPUTED_VALUE"""),"")</f>
        <v/>
      </c>
      <c r="AQ153" s="442" t="str">
        <f ca="1">IFERROR(__xludf.DUMMYFUNCTION("""COMPUTED_VALUE"""),"")</f>
        <v/>
      </c>
      <c r="AR153" t="str">
        <f ca="1">IFERROR(__xludf.DUMMYFUNCTION("""COMPUTED_VALUE"""),"")</f>
        <v/>
      </c>
    </row>
    <row r="154" spans="1:44" ht="13">
      <c r="A154" t="str">
        <f ca="1">IFERROR(__xludf.DUMMYFUNCTION("""COMPUTED_VALUE"""),"JKP")</f>
        <v>JKP</v>
      </c>
      <c r="B154" s="41">
        <f ca="1">IFERROR(__xludf.DUMMYFUNCTION("""COMPUTED_VALUE"""),43472)</f>
        <v>43472</v>
      </c>
      <c r="C154" t="str">
        <f ca="1">IFERROR(__xludf.DUMMYFUNCTION("""COMPUTED_VALUE"""),"TRH")</f>
        <v>TRH</v>
      </c>
      <c r="D154" s="28">
        <f ca="1">IFERROR(__xludf.DUMMYFUNCTION("""COMPUTED_VALUE"""),43575)</f>
        <v>43575</v>
      </c>
      <c r="E154" t="str">
        <f ca="1">IFERROR(__xludf.DUMMYFUNCTION("""COMPUTED_VALUE"""),"JP")</f>
        <v>JP</v>
      </c>
      <c r="F154" s="28">
        <f ca="1">IFERROR(__xludf.DUMMYFUNCTION("""COMPUTED_VALUE"""),43581)</f>
        <v>43581</v>
      </c>
      <c r="G154" t="str">
        <f ca="1">IFERROR(__xludf.DUMMYFUNCTION("""COMPUTED_VALUE"""),"")</f>
        <v/>
      </c>
      <c r="H154" t="str">
        <f ca="1">IFERROR(__xludf.DUMMYFUNCTION("""COMPUTED_VALUE"""),"0742-051X")</f>
        <v>0742-051X</v>
      </c>
      <c r="I154" t="str">
        <f ca="1">IFERROR(__xludf.DUMMYFUNCTION("""COMPUTED_VALUE"""),"Teaching and Teacher Education")</f>
        <v>Teaching and Teacher Education</v>
      </c>
      <c r="J154" t="str">
        <f ca="1">IFERROR(__xludf.DUMMYFUNCTION("""COMPUTED_VALUE"""),"Social Sciences")</f>
        <v>Social Sciences</v>
      </c>
      <c r="K154" t="str">
        <f ca="1">IFERROR(__xludf.DUMMYFUNCTION("""COMPUTED_VALUE"""),"Elsevier")</f>
        <v>Elsevier</v>
      </c>
      <c r="L154" t="str">
        <f ca="1">IFERROR(__xludf.DUMMYFUNCTION("""COMPUTED_VALUE"""),"Double blind")</f>
        <v>Double blind</v>
      </c>
      <c r="M154" s="93" t="str">
        <f ca="1">IFERROR(__xludf.DUMMYFUNCTION("""COMPUTED_VALUE"""),"https://www.elsevier.com/journals/teaching-and-teacher-education/0742-051x/guide-for-authors")</f>
        <v>https://www.elsevier.com/journals/teaching-and-teacher-education/0742-051x/guide-for-authors</v>
      </c>
      <c r="N154" t="str">
        <f ca="1">IFERROR(__xludf.DUMMYFUNCTION("""COMPUTED_VALUE"""),"")</f>
        <v/>
      </c>
      <c r="O154" t="str">
        <f ca="1">IFERROR(__xludf.DUMMYFUNCTION("""COMPUTED_VALUE"""),"")</f>
        <v/>
      </c>
      <c r="P154" t="str">
        <f ca="1">IFERROR(__xludf.DUMMYFUNCTION("""COMPUTED_VALUE"""),"Unsure")</f>
        <v>Unsure</v>
      </c>
      <c r="Q154" t="str">
        <f ca="1">IFERROR(__xludf.DUMMYFUNCTION("""COMPUTED_VALUE"""),"Internal transfer: ""Article transfer service This journal is part of our Article Transfer Service. This means that if the Editor feels your article is more suitable in one of our other participating journals, then you may be asked to consider transferrin"&amp;"g the article to one of those. If you agree, your article will be transferred automatically on your behalf with no need to reformat. Please note that your article will be reviewed again by the new journal. More information""")</f>
        <v>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R154" s="93" t="str">
        <f ca="1">IFERROR(__xludf.DUMMYFUNCTION("""COMPUTED_VALUE"""),"https://www.elsevier.com/journals/teaching-and-teacher-education/0742-051x/guide-for-authors")</f>
        <v>https://www.elsevier.com/journals/teaching-and-teacher-education/0742-051x/guide-for-authors</v>
      </c>
      <c r="S154" t="str">
        <f ca="1">IFERROR(__xludf.DUMMYFUNCTION("""COMPUTED_VALUE"""),"Not specified")</f>
        <v>Not specified</v>
      </c>
      <c r="T154" t="str">
        <f ca="1">IFERROR(__xludf.DUMMYFUNCTION("""COMPUTED_VALUE"""),"Not specified")</f>
        <v>Not specified</v>
      </c>
      <c r="U154" t="str">
        <f ca="1">IFERROR(__xludf.DUMMYFUNCTION("""COMPUTED_VALUE"""),"Not specified")</f>
        <v>Not specified</v>
      </c>
      <c r="V154" t="str">
        <f ca="1">IFERROR(__xludf.DUMMYFUNCTION("""COMPUTED_VALUE"""),"Not specified")</f>
        <v>Not specified</v>
      </c>
      <c r="W154" t="str">
        <f ca="1">IFERROR(__xludf.DUMMYFUNCTION("""COMPUTED_VALUE"""),"No")</f>
        <v>No</v>
      </c>
      <c r="X154" t="str">
        <f ca="1">IFERROR(__xludf.DUMMYFUNCTION("""COMPUTED_VALUE"""),"No")</f>
        <v>No</v>
      </c>
      <c r="Y154" t="str">
        <f ca="1">IFERROR(__xludf.DUMMYFUNCTION("""COMPUTED_VALUE"""),"Not specified")</f>
        <v>Not specified</v>
      </c>
      <c r="Z154" t="str">
        <f ca="1">IFERROR(__xludf.DUMMYFUNCTION("""COMPUTED_VALUE"""),"Not specified")</f>
        <v>Not specified</v>
      </c>
      <c r="AA154" t="str">
        <f ca="1">IFERROR(__xludf.DUMMYFUNCTION("""COMPUTED_VALUE"""),"")</f>
        <v/>
      </c>
      <c r="AB154" t="str">
        <f ca="1">IFERROR(__xludf.DUMMYFUNCTION("""COMPUTED_VALUE"""),"")</f>
        <v/>
      </c>
      <c r="AC154" t="str">
        <f ca="1">IFERROR(__xludf.DUMMYFUNCTION("""COMPUTED_VALUE"""),"")</f>
        <v/>
      </c>
      <c r="AD154" t="str">
        <f ca="1">IFERROR(__xludf.DUMMYFUNCTION("""COMPUTED_VALUE"""),"Unsure")</f>
        <v>Unsure</v>
      </c>
      <c r="AE154" t="str">
        <f ca="1">IFERROR(__xludf.DUMMYFUNCTION("""COMPUTED_VALUE"""),"Unsure")</f>
        <v>Unsure</v>
      </c>
      <c r="AF154" t="str">
        <f ca="1">IFERROR(__xludf.DUMMYFUNCTION("""COMPUTED_VALUE"""),"Unsure")</f>
        <v>Unsure</v>
      </c>
      <c r="AG154" t="str">
        <f ca="1">IFERROR(__xludf.DUMMYFUNCTION("""COMPUTED_VALUE"""),"https://www.elsevier.com/journals/teaching-and-teacher-education/0742-051x/guide-for-authors, https://www.elsevier.com/about/policies/sharing/preprint")</f>
        <v>https://www.elsevier.com/journals/teaching-and-teacher-education/0742-051x/guide-for-authors, https://www.elsevier.com/about/policies/sharing/preprint</v>
      </c>
      <c r="AH154" t="str">
        <f ca="1">IFERROR(__xludf.DUMMYFUNCTION("""COMPUTED_VALUE"""),"First submission only")</f>
        <v>First submission only</v>
      </c>
      <c r="AI154" t="str">
        <f ca="1">IFERROR(__xludf.DUMMYFUNCTION("""COMPUTED_VALUE"""),"Please note that preprints can be shared anywhere at any time, in line with Elsevier's sharing policy. Sharing your preprints e.g. on a preprint server will not count as prior publication (see 'Multiple, redundant or concurrent publication' for more infor"&amp;"mation).")</f>
        <v>Please note that preprints can be shared anywhere at any time, in line with Elsevier's sharing policy. Sharing your preprints e.g. on a preprint server will not count as prior publication (see 'Multiple, redundant or concurrent publication' for more information).</v>
      </c>
      <c r="AJ154" t="str">
        <f ca="1">IFERROR(__xludf.DUMMYFUNCTION("""COMPUTED_VALUE"""),"Not specified")</f>
        <v>Not specified</v>
      </c>
      <c r="AK154" t="str">
        <f ca="1">IFERROR(__xludf.DUMMYFUNCTION("""COMPUTED_VALUE"""),"Unsure")</f>
        <v>Unsure</v>
      </c>
      <c r="AL154" t="str">
        <f ca="1">IFERROR(__xludf.DUMMYFUNCTION("""COMPUTED_VALUE"""),"")</f>
        <v/>
      </c>
      <c r="AM154" t="str">
        <f ca="1">IFERROR(__xludf.DUMMYFUNCTION("""COMPUTED_VALUE"""),"")</f>
        <v/>
      </c>
      <c r="AN154" t="str">
        <f ca="1">IFERROR(__xludf.DUMMYFUNCTION("""COMPUTED_VALUE"""),"")</f>
        <v/>
      </c>
      <c r="AO154" t="str">
        <f ca="1">IFERROR(__xludf.DUMMYFUNCTION("""COMPUTED_VALUE"""),"")</f>
        <v/>
      </c>
      <c r="AP154" t="str">
        <f ca="1">IFERROR(__xludf.DUMMYFUNCTION("""COMPUTED_VALUE"""),"")</f>
        <v/>
      </c>
      <c r="AQ154" s="442" t="str">
        <f ca="1">IFERROR(__xludf.DUMMYFUNCTION("""COMPUTED_VALUE"""),"")</f>
        <v/>
      </c>
      <c r="AR154" t="str">
        <f ca="1">IFERROR(__xludf.DUMMYFUNCTION("""COMPUTED_VALUE"""),"")</f>
        <v/>
      </c>
    </row>
    <row r="155" spans="1:44" ht="13">
      <c r="A155" t="str">
        <f ca="1">IFERROR(__xludf.DUMMYFUNCTION("""COMPUTED_VALUE"""),"JKP")</f>
        <v>JKP</v>
      </c>
      <c r="B155" s="41">
        <f ca="1">IFERROR(__xludf.DUMMYFUNCTION("""COMPUTED_VALUE"""),43472)</f>
        <v>43472</v>
      </c>
      <c r="C155" t="str">
        <f ca="1">IFERROR(__xludf.DUMMYFUNCTION("""COMPUTED_VALUE"""),"TRH")</f>
        <v>TRH</v>
      </c>
      <c r="D155" s="28">
        <f ca="1">IFERROR(__xludf.DUMMYFUNCTION("""COMPUTED_VALUE"""),43575)</f>
        <v>43575</v>
      </c>
      <c r="E155" t="str">
        <f ca="1">IFERROR(__xludf.DUMMYFUNCTION("""COMPUTED_VALUE"""),"JP")</f>
        <v>JP</v>
      </c>
      <c r="F155" s="28">
        <f ca="1">IFERROR(__xludf.DUMMYFUNCTION("""COMPUTED_VALUE"""),43581)</f>
        <v>43581</v>
      </c>
      <c r="G155" t="str">
        <f ca="1">IFERROR(__xludf.DUMMYFUNCTION("""COMPUTED_VALUE"""),"")</f>
        <v/>
      </c>
      <c r="H155" t="str">
        <f ca="1">IFERROR(__xludf.DUMMYFUNCTION("""COMPUTED_VALUE"""),"1545-7249")</f>
        <v>1545-7249</v>
      </c>
      <c r="I155" t="str">
        <f ca="1">IFERROR(__xludf.DUMMYFUNCTION("""COMPUTED_VALUE"""),"TESOL Quarterly")</f>
        <v>TESOL Quarterly</v>
      </c>
      <c r="J155" t="str">
        <f ca="1">IFERROR(__xludf.DUMMYFUNCTION("""COMPUTED_VALUE"""),"Humanities, Literature &amp; Arts")</f>
        <v>Humanities, Literature &amp; Arts</v>
      </c>
      <c r="K155" t="str">
        <f ca="1">IFERROR(__xludf.DUMMYFUNCTION("""COMPUTED_VALUE"""),"Wiley, TESOL International Association")</f>
        <v>Wiley, TESOL International Association</v>
      </c>
      <c r="L155" t="str">
        <f ca="1">IFERROR(__xludf.DUMMYFUNCTION("""COMPUTED_VALUE"""),"Unsure - but possibly double blinded as instructions to authors say ""If you cite your own work in your paper, please do not blind that citation so that the reviewers can better assess what literature you are reviewing.""")</f>
        <v>Unsure - but possibly double blinded as instructions to authors say "If you cite your own work in your paper, please do not blind that citation so that the reviewers can better assess what literature you are reviewing."</v>
      </c>
      <c r="M155" s="93" t="str">
        <f ca="1">IFERROR(__xludf.DUMMYFUNCTION("""COMPUTED_VALUE"""),"https://www.tesol.org/read-and-publish/journals/tesol-journal")</f>
        <v>https://www.tesol.org/read-and-publish/journals/tesol-journal</v>
      </c>
      <c r="N155" t="str">
        <f ca="1">IFERROR(__xludf.DUMMYFUNCTION("""COMPUTED_VALUE"""),"")</f>
        <v/>
      </c>
      <c r="O155" s="93" t="str">
        <f ca="1">IFERROR(__xludf.DUMMYFUNCTION("""COMPUTED_VALUE"""),"https://authorservices.wiley.com/Reviewers/journal-reviewers/recognition-for-reviewers/index.html")</f>
        <v>https://authorservices.wiley.com/Reviewers/journal-reviewers/recognition-for-reviewers/index.html</v>
      </c>
      <c r="P155" t="str">
        <f ca="1">IFERROR(__xludf.DUMMYFUNCTION("""COMPUTED_VALUE"""),"Yes")</f>
        <v>Yes</v>
      </c>
      <c r="Q155" t="str">
        <f ca="1">IFERROR(__xludf.DUMMYFUNCTION("""COMPUTED_VALUE"""),"")</f>
        <v/>
      </c>
      <c r="R155" t="str">
        <f ca="1">IFERROR(__xludf.DUMMYFUNCTION("""COMPUTED_VALUE"""),"")</f>
        <v/>
      </c>
      <c r="S155" t="str">
        <f ca="1">IFERROR(__xludf.DUMMYFUNCTION("""COMPUTED_VALUE"""),"Not specified")</f>
        <v>Not specified</v>
      </c>
      <c r="T155" t="str">
        <f ca="1">IFERROR(__xludf.DUMMYFUNCTION("""COMPUTED_VALUE"""),"Not specified")</f>
        <v>Not specified</v>
      </c>
      <c r="U155" t="str">
        <f ca="1">IFERROR(__xludf.DUMMYFUNCTION("""COMPUTED_VALUE"""),"Not specified")</f>
        <v>Not specified</v>
      </c>
      <c r="V155" t="str">
        <f ca="1">IFERROR(__xludf.DUMMYFUNCTION("""COMPUTED_VALUE"""),"Not specified")</f>
        <v>Not specified</v>
      </c>
      <c r="W155" t="str">
        <f ca="1">IFERROR(__xludf.DUMMYFUNCTION("""COMPUTED_VALUE"""),"Not specified")</f>
        <v>Not specified</v>
      </c>
      <c r="X155" t="str">
        <f ca="1">IFERROR(__xludf.DUMMYFUNCTION("""COMPUTED_VALUE"""),"Not specified")</f>
        <v>Not specified</v>
      </c>
      <c r="Y155" t="str">
        <f ca="1">IFERROR(__xludf.DUMMYFUNCTION("""COMPUTED_VALUE"""),"Not specified")</f>
        <v>Not specified</v>
      </c>
      <c r="Z155" t="str">
        <f ca="1">IFERROR(__xludf.DUMMYFUNCTION("""COMPUTED_VALUE"""),"Not specified")</f>
        <v>Not specified</v>
      </c>
      <c r="AA155" t="str">
        <f ca="1">IFERROR(__xludf.DUMMYFUNCTION("""COMPUTED_VALUE"""),"")</f>
        <v/>
      </c>
      <c r="AB155" t="str">
        <f ca="1">IFERROR(__xludf.DUMMYFUNCTION("""COMPUTED_VALUE"""),"")</f>
        <v/>
      </c>
      <c r="AC155" t="str">
        <f ca="1">IFERROR(__xludf.DUMMYFUNCTION("""COMPUTED_VALUE"""),"")</f>
        <v/>
      </c>
      <c r="AD155" t="str">
        <f ca="1">IFERROR(__xludf.DUMMYFUNCTION("""COMPUTED_VALUE"""),"Unsure")</f>
        <v>Unsure</v>
      </c>
      <c r="AE155" t="str">
        <f ca="1">IFERROR(__xludf.DUMMYFUNCTION("""COMPUTED_VALUE"""),"Unsure")</f>
        <v>Unsure</v>
      </c>
      <c r="AF155" t="str">
        <f ca="1">IFERROR(__xludf.DUMMYFUNCTION("""COMPUTED_VALUE"""),"Unsure")</f>
        <v>Unsure</v>
      </c>
      <c r="AG155" s="93" t="str">
        <f ca="1">IFERROR(__xludf.DUMMYFUNCTION("""COMPUTED_VALUE"""),"https://onlinelibrary.wiley.com/page/journal/15457249/homepage/forauthors.html")</f>
        <v>https://onlinelibrary.wiley.com/page/journal/15457249/homepage/forauthors.html</v>
      </c>
      <c r="AH155" t="str">
        <f ca="1">IFERROR(__xludf.DUMMYFUNCTION("""COMPUTED_VALUE"""),"No preprint policy")</f>
        <v>No preprint policy</v>
      </c>
      <c r="AI155" t="str">
        <f ca="1">IFERROR(__xludf.DUMMYFUNCTION("""COMPUTED_VALUE"""),"It is understood that work submitted to TQ has not been previously published or is not under consideration for publication elsewhere.")</f>
        <v>It is understood that work submitted to TQ has not been previously published or is not under consideration for publication elsewhere.</v>
      </c>
      <c r="AJ155" t="str">
        <f ca="1">IFERROR(__xludf.DUMMYFUNCTION("""COMPUTED_VALUE"""),"Unsure")</f>
        <v>Unsure</v>
      </c>
      <c r="AK155" t="str">
        <f ca="1">IFERROR(__xludf.DUMMYFUNCTION("""COMPUTED_VALUE"""),"Unsure")</f>
        <v>Unsure</v>
      </c>
      <c r="AL155" t="str">
        <f ca="1">IFERROR(__xludf.DUMMYFUNCTION("""COMPUTED_VALUE"""),"")</f>
        <v/>
      </c>
      <c r="AM155" t="str">
        <f ca="1">IFERROR(__xludf.DUMMYFUNCTION("""COMPUTED_VALUE"""),"")</f>
        <v/>
      </c>
      <c r="AN155" t="str">
        <f ca="1">IFERROR(__xludf.DUMMYFUNCTION("""COMPUTED_VALUE"""),"")</f>
        <v/>
      </c>
      <c r="AO155" t="str">
        <f ca="1">IFERROR(__xludf.DUMMYFUNCTION("""COMPUTED_VALUE"""),"")</f>
        <v/>
      </c>
      <c r="AP155" t="str">
        <f ca="1">IFERROR(__xludf.DUMMYFUNCTION("""COMPUTED_VALUE"""),"")</f>
        <v/>
      </c>
      <c r="AQ155" s="442" t="str">
        <f ca="1">IFERROR(__xludf.DUMMYFUNCTION("""COMPUTED_VALUE"""),"")</f>
        <v/>
      </c>
      <c r="AR155" t="str">
        <f ca="1">IFERROR(__xludf.DUMMYFUNCTION("""COMPUTED_VALUE"""),"")</f>
        <v/>
      </c>
    </row>
    <row r="156" spans="1:44" ht="13">
      <c r="A156" t="str">
        <f ca="1">IFERROR(__xludf.DUMMYFUNCTION("""COMPUTED_VALUE"""),"JKP")</f>
        <v>JKP</v>
      </c>
      <c r="B156" s="41">
        <f ca="1">IFERROR(__xludf.DUMMYFUNCTION("""COMPUTED_VALUE"""),43472)</f>
        <v>43472</v>
      </c>
      <c r="C156" t="str">
        <f ca="1">IFERROR(__xludf.DUMMYFUNCTION("""COMPUTED_VALUE"""),"TRH")</f>
        <v>TRH</v>
      </c>
      <c r="D156" s="28">
        <f ca="1">IFERROR(__xludf.DUMMYFUNCTION("""COMPUTED_VALUE"""),43575)</f>
        <v>43575</v>
      </c>
      <c r="E156" t="str">
        <f ca="1">IFERROR(__xludf.DUMMYFUNCTION("""COMPUTED_VALUE"""),"JP")</f>
        <v>JP</v>
      </c>
      <c r="F156" s="28">
        <f ca="1">IFERROR(__xludf.DUMMYFUNCTION("""COMPUTED_VALUE"""),43581)</f>
        <v>43581</v>
      </c>
      <c r="G156" t="str">
        <f ca="1">IFERROR(__xludf.DUMMYFUNCTION("""COMPUTED_VALUE"""),"")</f>
        <v/>
      </c>
      <c r="H156" t="str">
        <f ca="1">IFERROR(__xludf.DUMMYFUNCTION("""COMPUTED_VALUE"""),"1538-4357")</f>
        <v>1538-4357</v>
      </c>
      <c r="I156" t="str">
        <f ca="1">IFERROR(__xludf.DUMMYFUNCTION("""COMPUTED_VALUE"""),"The Astrophysical Journal")</f>
        <v>The Astrophysical Journal</v>
      </c>
      <c r="J156" t="str">
        <f ca="1">IFERROR(__xludf.DUMMYFUNCTION("""COMPUTED_VALUE"""),"Physics &amp; Mathematics")</f>
        <v>Physics &amp; Mathematics</v>
      </c>
      <c r="K156" t="str">
        <f ca="1">IFERROR(__xludf.DUMMYFUNCTION("""COMPUTED_VALUE"""),"IOP, American Astronomical Society")</f>
        <v>IOP, American Astronomical Society</v>
      </c>
      <c r="L156" t="str">
        <f ca="1">IFERROR(__xludf.DUMMYFUNCTION("""COMPUTED_VALUE"""),"Unsure")</f>
        <v>Unsure</v>
      </c>
      <c r="M156" t="str">
        <f ca="1">IFERROR(__xludf.DUMMYFUNCTION("""COMPUTED_VALUE"""),"")</f>
        <v/>
      </c>
      <c r="N156" t="str">
        <f ca="1">IFERROR(__xludf.DUMMYFUNCTION("""COMPUTED_VALUE"""),"")</f>
        <v/>
      </c>
      <c r="O156" t="str">
        <f ca="1">IFERROR(__xludf.DUMMYFUNCTION("""COMPUTED_VALUE"""),"")</f>
        <v/>
      </c>
      <c r="P156" t="str">
        <f ca="1">IFERROR(__xludf.DUMMYFUNCTION("""COMPUTED_VALUE"""),"Unsure")</f>
        <v>Unsure</v>
      </c>
      <c r="Q156" t="str">
        <f ca="1">IFERROR(__xludf.DUMMYFUNCTION("""COMPUTED_VALUE"""),"")</f>
        <v/>
      </c>
      <c r="R156" t="str">
        <f ca="1">IFERROR(__xludf.DUMMYFUNCTION("""COMPUTED_VALUE"""),"")</f>
        <v/>
      </c>
      <c r="S156" t="str">
        <f ca="1">IFERROR(__xludf.DUMMYFUNCTION("""COMPUTED_VALUE"""),"Not specified")</f>
        <v>Not specified</v>
      </c>
      <c r="T156" t="str">
        <f ca="1">IFERROR(__xludf.DUMMYFUNCTION("""COMPUTED_VALUE"""),"Not specified")</f>
        <v>Not specified</v>
      </c>
      <c r="U156" t="str">
        <f ca="1">IFERROR(__xludf.DUMMYFUNCTION("""COMPUTED_VALUE"""),"Not specified")</f>
        <v>Not specified</v>
      </c>
      <c r="V156" t="str">
        <f ca="1">IFERROR(__xludf.DUMMYFUNCTION("""COMPUTED_VALUE"""),"Not specified")</f>
        <v>Not specified</v>
      </c>
      <c r="W156" t="str">
        <f ca="1">IFERROR(__xludf.DUMMYFUNCTION("""COMPUTED_VALUE"""),"Not specified")</f>
        <v>Not specified</v>
      </c>
      <c r="X156" t="str">
        <f ca="1">IFERROR(__xludf.DUMMYFUNCTION("""COMPUTED_VALUE"""),"Not specified")</f>
        <v>Not specified</v>
      </c>
      <c r="Y156" t="str">
        <f ca="1">IFERROR(__xludf.DUMMYFUNCTION("""COMPUTED_VALUE"""),"Not specified")</f>
        <v>Not specified</v>
      </c>
      <c r="Z156" t="str">
        <f ca="1">IFERROR(__xludf.DUMMYFUNCTION("""COMPUTED_VALUE"""),"Not specified")</f>
        <v>Not specified</v>
      </c>
      <c r="AA156" t="str">
        <f ca="1">IFERROR(__xludf.DUMMYFUNCTION("""COMPUTED_VALUE"""),"")</f>
        <v/>
      </c>
      <c r="AB156" t="str">
        <f ca="1">IFERROR(__xludf.DUMMYFUNCTION("""COMPUTED_VALUE"""),"")</f>
        <v/>
      </c>
      <c r="AC156" t="str">
        <f ca="1">IFERROR(__xludf.DUMMYFUNCTION("""COMPUTED_VALUE"""),"")</f>
        <v/>
      </c>
      <c r="AD156" t="str">
        <f ca="1">IFERROR(__xludf.DUMMYFUNCTION("""COMPUTED_VALUE"""),"Unsure")</f>
        <v>Unsure</v>
      </c>
      <c r="AE156" t="str">
        <f ca="1">IFERROR(__xludf.DUMMYFUNCTION("""COMPUTED_VALUE"""),"Unsure")</f>
        <v>Unsure</v>
      </c>
      <c r="AF156" t="str">
        <f ca="1">IFERROR(__xludf.DUMMYFUNCTION("""COMPUTED_VALUE"""),"Unsure")</f>
        <v>Unsure</v>
      </c>
      <c r="AG156" t="str">
        <f ca="1">IFERROR(__xludf.DUMMYFUNCTION("""COMPUTED_VALUE"""),"")</f>
        <v/>
      </c>
      <c r="AH156" t="str">
        <f ca="1">IFERROR(__xludf.DUMMYFUNCTION("""COMPUTED_VALUE"""),"No preprint policy")</f>
        <v>No preprint policy</v>
      </c>
      <c r="AI156" t="str">
        <f ca="1">IFERROR(__xludf.DUMMYFUNCTION("""COMPUTED_VALUE"""),"")</f>
        <v/>
      </c>
      <c r="AJ156" t="str">
        <f ca="1">IFERROR(__xludf.DUMMYFUNCTION("""COMPUTED_VALUE"""),"Unsure")</f>
        <v>Unsure</v>
      </c>
      <c r="AK156" t="str">
        <f ca="1">IFERROR(__xludf.DUMMYFUNCTION("""COMPUTED_VALUE"""),"Unsure")</f>
        <v>Unsure</v>
      </c>
      <c r="AL156" t="str">
        <f ca="1">IFERROR(__xludf.DUMMYFUNCTION("""COMPUTED_VALUE"""),"")</f>
        <v/>
      </c>
      <c r="AM156" t="str">
        <f ca="1">IFERROR(__xludf.DUMMYFUNCTION("""COMPUTED_VALUE"""),"")</f>
        <v/>
      </c>
      <c r="AN156" t="str">
        <f ca="1">IFERROR(__xludf.DUMMYFUNCTION("""COMPUTED_VALUE"""),"")</f>
        <v/>
      </c>
      <c r="AO156" t="str">
        <f ca="1">IFERROR(__xludf.DUMMYFUNCTION("""COMPUTED_VALUE"""),"")</f>
        <v/>
      </c>
      <c r="AP156" t="str">
        <f ca="1">IFERROR(__xludf.DUMMYFUNCTION("""COMPUTED_VALUE"""),"")</f>
        <v/>
      </c>
      <c r="AQ156" s="442" t="str">
        <f ca="1">IFERROR(__xludf.DUMMYFUNCTION("""COMPUTED_VALUE"""),"")</f>
        <v/>
      </c>
      <c r="AR156" t="str">
        <f ca="1">IFERROR(__xludf.DUMMYFUNCTION("""COMPUTED_VALUE"""),"")</f>
        <v/>
      </c>
    </row>
    <row r="157" spans="1:44" ht="13">
      <c r="A157" t="str">
        <f ca="1">IFERROR(__xludf.DUMMYFUNCTION("""COMPUTED_VALUE"""),"JKP")</f>
        <v>JKP</v>
      </c>
      <c r="B157" s="41">
        <f ca="1">IFERROR(__xludf.DUMMYFUNCTION("""COMPUTED_VALUE"""),43473)</f>
        <v>43473</v>
      </c>
      <c r="C157" t="str">
        <f ca="1">IFERROR(__xludf.DUMMYFUNCTION("""COMPUTED_VALUE"""),"TRH")</f>
        <v>TRH</v>
      </c>
      <c r="D157" s="28">
        <f ca="1">IFERROR(__xludf.DUMMYFUNCTION("""COMPUTED_VALUE"""),43575)</f>
        <v>43575</v>
      </c>
      <c r="E157" t="str">
        <f ca="1">IFERROR(__xludf.DUMMYFUNCTION("""COMPUTED_VALUE"""),"JP")</f>
        <v>JP</v>
      </c>
      <c r="F157" s="28">
        <f ca="1">IFERROR(__xludf.DUMMYFUNCTION("""COMPUTED_VALUE"""),43581)</f>
        <v>43581</v>
      </c>
      <c r="G157" t="str">
        <f ca="1">IFERROR(__xludf.DUMMYFUNCTION("""COMPUTED_VALUE"""),"")</f>
        <v/>
      </c>
      <c r="H157" t="str">
        <f ca="1">IFERROR(__xludf.DUMMYFUNCTION("""COMPUTED_VALUE"""),"1468-2648")</f>
        <v>1468-2648</v>
      </c>
      <c r="I157" t="str">
        <f ca="1">IFERROR(__xludf.DUMMYFUNCTION("""COMPUTED_VALUE"""),"The China Quarterly")</f>
        <v>The China Quarterly</v>
      </c>
      <c r="J157" t="str">
        <f ca="1">IFERROR(__xludf.DUMMYFUNCTION("""COMPUTED_VALUE"""),"Humanities, Literature &amp; Arts")</f>
        <v>Humanities, Literature &amp; Arts</v>
      </c>
      <c r="K157" t="str">
        <f ca="1">IFERROR(__xludf.DUMMYFUNCTION("""COMPUTED_VALUE"""),"")</f>
        <v/>
      </c>
      <c r="L157" t="str">
        <f ca="1">IFERROR(__xludf.DUMMYFUNCTION("""COMPUTED_VALUE"""),"Double blind ")</f>
        <v xml:space="preserve">Double blind </v>
      </c>
      <c r="M157" t="str">
        <f ca="1">IFERROR(__xludf.DUMMYFUNCTION("""COMPUTED_VALUE"""),"No PR policy online - however PR model is mentioned in this release  https://www.cambridge.org/core/services/aop-file-manager/file/599b0ec93cc74f7313d1a5fc/Updated-CQ-statement.pdf")</f>
        <v>No PR policy online - however PR model is mentioned in this release  https://www.cambridge.org/core/services/aop-file-manager/file/599b0ec93cc74f7313d1a5fc/Updated-CQ-statement.pdf</v>
      </c>
      <c r="N157" t="str">
        <f ca="1">IFERROR(__xludf.DUMMYFUNCTION("""COMPUTED_VALUE"""),"")</f>
        <v/>
      </c>
      <c r="O157" t="str">
        <f ca="1">IFERROR(__xludf.DUMMYFUNCTION("""COMPUTED_VALUE"""),"")</f>
        <v/>
      </c>
      <c r="P157" t="str">
        <f ca="1">IFERROR(__xludf.DUMMYFUNCTION("""COMPUTED_VALUE"""),"Unsure")</f>
        <v>Unsure</v>
      </c>
      <c r="Q157" t="str">
        <f ca="1">IFERROR(__xludf.DUMMYFUNCTION("""COMPUTED_VALUE"""),"")</f>
        <v/>
      </c>
      <c r="R157" t="str">
        <f ca="1">IFERROR(__xludf.DUMMYFUNCTION("""COMPUTED_VALUE"""),"")</f>
        <v/>
      </c>
      <c r="S157" t="str">
        <f ca="1">IFERROR(__xludf.DUMMYFUNCTION("""COMPUTED_VALUE"""),"Not specified")</f>
        <v>Not specified</v>
      </c>
      <c r="T157" t="str">
        <f ca="1">IFERROR(__xludf.DUMMYFUNCTION("""COMPUTED_VALUE"""),"Not specified")</f>
        <v>Not specified</v>
      </c>
      <c r="U157" t="str">
        <f ca="1">IFERROR(__xludf.DUMMYFUNCTION("""COMPUTED_VALUE"""),"Not specified")</f>
        <v>Not specified</v>
      </c>
      <c r="V157" t="str">
        <f ca="1">IFERROR(__xludf.DUMMYFUNCTION("""COMPUTED_VALUE"""),"Not specified")</f>
        <v>Not specified</v>
      </c>
      <c r="W157" t="str">
        <f ca="1">IFERROR(__xludf.DUMMYFUNCTION("""COMPUTED_VALUE"""),"Not specified")</f>
        <v>Not specified</v>
      </c>
      <c r="X157" t="str">
        <f ca="1">IFERROR(__xludf.DUMMYFUNCTION("""COMPUTED_VALUE"""),"Not specified")</f>
        <v>Not specified</v>
      </c>
      <c r="Y157" t="str">
        <f ca="1">IFERROR(__xludf.DUMMYFUNCTION("""COMPUTED_VALUE"""),"Not specified")</f>
        <v>Not specified</v>
      </c>
      <c r="Z157" t="str">
        <f ca="1">IFERROR(__xludf.DUMMYFUNCTION("""COMPUTED_VALUE"""),"Not specified")</f>
        <v>Not specified</v>
      </c>
      <c r="AA157" t="str">
        <f ca="1">IFERROR(__xludf.DUMMYFUNCTION("""COMPUTED_VALUE"""),"")</f>
        <v/>
      </c>
      <c r="AB157" t="str">
        <f ca="1">IFERROR(__xludf.DUMMYFUNCTION("""COMPUTED_VALUE"""),"")</f>
        <v/>
      </c>
      <c r="AC157" t="str">
        <f ca="1">IFERROR(__xludf.DUMMYFUNCTION("""COMPUTED_VALUE"""),"")</f>
        <v/>
      </c>
      <c r="AD157" t="str">
        <f ca="1">IFERROR(__xludf.DUMMYFUNCTION("""COMPUTED_VALUE"""),"Unsure")</f>
        <v>Unsure</v>
      </c>
      <c r="AE157" t="str">
        <f ca="1">IFERROR(__xludf.DUMMYFUNCTION("""COMPUTED_VALUE"""),"Unsure")</f>
        <v>Unsure</v>
      </c>
      <c r="AF157" t="str">
        <f ca="1">IFERROR(__xludf.DUMMYFUNCTION("""COMPUTED_VALUE"""),"Unsure")</f>
        <v>Unsure</v>
      </c>
      <c r="AG157" t="str">
        <f ca="1">IFERROR(__xludf.DUMMYFUNCTION("""COMPUTED_VALUE"""),"")</f>
        <v/>
      </c>
      <c r="AH157" t="str">
        <f ca="1">IFERROR(__xludf.DUMMYFUNCTION("""COMPUTED_VALUE"""),"No preprint policy")</f>
        <v>No preprint policy</v>
      </c>
      <c r="AI157" t="str">
        <f ca="1">IFERROR(__xludf.DUMMYFUNCTION("""COMPUTED_VALUE"""),"")</f>
        <v/>
      </c>
      <c r="AJ157" t="str">
        <f ca="1">IFERROR(__xludf.DUMMYFUNCTION("""COMPUTED_VALUE"""),"Unsure")</f>
        <v>Unsure</v>
      </c>
      <c r="AK157" t="str">
        <f ca="1">IFERROR(__xludf.DUMMYFUNCTION("""COMPUTED_VALUE"""),"Unsure")</f>
        <v>Unsure</v>
      </c>
      <c r="AL157" t="str">
        <f ca="1">IFERROR(__xludf.DUMMYFUNCTION("""COMPUTED_VALUE"""),"")</f>
        <v/>
      </c>
      <c r="AM157" t="str">
        <f ca="1">IFERROR(__xludf.DUMMYFUNCTION("""COMPUTED_VALUE"""),"")</f>
        <v/>
      </c>
      <c r="AN157" t="str">
        <f ca="1">IFERROR(__xludf.DUMMYFUNCTION("""COMPUTED_VALUE"""),"")</f>
        <v/>
      </c>
      <c r="AO157" t="str">
        <f ca="1">IFERROR(__xludf.DUMMYFUNCTION("""COMPUTED_VALUE"""),"")</f>
        <v/>
      </c>
      <c r="AP157" t="str">
        <f ca="1">IFERROR(__xludf.DUMMYFUNCTION("""COMPUTED_VALUE"""),"")</f>
        <v/>
      </c>
      <c r="AQ157" s="442" t="str">
        <f ca="1">IFERROR(__xludf.DUMMYFUNCTION("""COMPUTED_VALUE"""),"")</f>
        <v/>
      </c>
      <c r="AR157" t="str">
        <f ca="1">IFERROR(__xludf.DUMMYFUNCTION("""COMPUTED_VALUE"""),"")</f>
        <v/>
      </c>
    </row>
    <row r="158" spans="1:44" ht="13">
      <c r="A158" t="str">
        <f ca="1">IFERROR(__xludf.DUMMYFUNCTION("""COMPUTED_VALUE"""),"JKP")</f>
        <v>JKP</v>
      </c>
      <c r="B158" s="41">
        <f ca="1">IFERROR(__xludf.DUMMYFUNCTION("""COMPUTED_VALUE"""),43473)</f>
        <v>43473</v>
      </c>
      <c r="C158" t="str">
        <f ca="1">IFERROR(__xludf.DUMMYFUNCTION("""COMPUTED_VALUE"""),"TRH")</f>
        <v>TRH</v>
      </c>
      <c r="D158" s="28">
        <f ca="1">IFERROR(__xludf.DUMMYFUNCTION("""COMPUTED_VALUE"""),43576)</f>
        <v>43576</v>
      </c>
      <c r="E158" t="str">
        <f ca="1">IFERROR(__xludf.DUMMYFUNCTION("""COMPUTED_VALUE"""),"JP")</f>
        <v>JP</v>
      </c>
      <c r="F158" s="28">
        <f ca="1">IFERROR(__xludf.DUMMYFUNCTION("""COMPUTED_VALUE"""),43581)</f>
        <v>43581</v>
      </c>
      <c r="G158" t="str">
        <f ca="1">IFERROR(__xludf.DUMMYFUNCTION("""COMPUTED_VALUE"""),"")</f>
        <v/>
      </c>
      <c r="H158" t="str">
        <f ca="1">IFERROR(__xludf.DUMMYFUNCTION("""COMPUTED_VALUE"""),"1469-493X")</f>
        <v>1469-493X</v>
      </c>
      <c r="I158" t="str">
        <f ca="1">IFERROR(__xludf.DUMMYFUNCTION("""COMPUTED_VALUE"""),"The Cochrane Database of Systematic Reviews")</f>
        <v>The Cochrane Database of Systematic Reviews</v>
      </c>
      <c r="J158" t="str">
        <f ca="1">IFERROR(__xludf.DUMMYFUNCTION("""COMPUTED_VALUE"""),"Health &amp; Medical Sciences")</f>
        <v>Health &amp; Medical Sciences</v>
      </c>
      <c r="K158" t="str">
        <f ca="1">IFERROR(__xludf.DUMMYFUNCTION("""COMPUTED_VALUE"""),"Cochrane Library")</f>
        <v>Cochrane Library</v>
      </c>
      <c r="L158" t="str">
        <f ca="1">IFERROR(__xludf.DUMMYFUNCTION("""COMPUTED_VALUE"""),"Not blinded")</f>
        <v>Not blinded</v>
      </c>
      <c r="M158" s="93" t="str">
        <f ca="1">IFERROR(__xludf.DUMMYFUNCTION("""COMPUTED_VALUE"""),"https://community.cochrane.org/editorial-and-publishing-policy-resource/cochrane-review-management/cochrane-peer-review-policy")</f>
        <v>https://community.cochrane.org/editorial-and-publishing-policy-resource/cochrane-review-management/cochrane-peer-review-policy</v>
      </c>
      <c r="N158" t="str">
        <f ca="1">IFERROR(__xludf.DUMMYFUNCTION("""COMPUTED_VALUE"""),"")</f>
        <v/>
      </c>
      <c r="O158" t="str">
        <f ca="1">IFERROR(__xludf.DUMMYFUNCTION("""COMPUTED_VALUE"""),"Reviewers are listed online, eg: https://ari.cochrane.org/our-reviews/peer-reviewers/previous-peer-reviewers")</f>
        <v>Reviewers are listed online, eg: https://ari.cochrane.org/our-reviews/peer-reviewers/previous-peer-reviewers</v>
      </c>
      <c r="P158" t="str">
        <f ca="1">IFERROR(__xludf.DUMMYFUNCTION("""COMPUTED_VALUE"""),"Unsure")</f>
        <v>Unsure</v>
      </c>
      <c r="Q158" t="str">
        <f ca="1">IFERROR(__xludf.DUMMYFUNCTION("""COMPUTED_VALUE"""),"")</f>
        <v/>
      </c>
      <c r="R158" t="str">
        <f ca="1">IFERROR(__xludf.DUMMYFUNCTION("""COMPUTED_VALUE"""),"")</f>
        <v/>
      </c>
      <c r="S158" t="str">
        <f ca="1">IFERROR(__xludf.DUMMYFUNCTION("""COMPUTED_VALUE"""),"No")</f>
        <v>No</v>
      </c>
      <c r="T158" t="str">
        <f ca="1">IFERROR(__xludf.DUMMYFUNCTION("""COMPUTED_VALUE"""),"No")</f>
        <v>No</v>
      </c>
      <c r="U158" t="str">
        <f ca="1">IFERROR(__xludf.DUMMYFUNCTION("""COMPUTED_VALUE"""),"No")</f>
        <v>No</v>
      </c>
      <c r="V158" t="str">
        <f ca="1">IFERROR(__xludf.DUMMYFUNCTION("""COMPUTED_VALUE"""),"No")</f>
        <v>No</v>
      </c>
      <c r="W158" t="str">
        <f ca="1">IFERROR(__xludf.DUMMYFUNCTION("""COMPUTED_VALUE"""),"No")</f>
        <v>No</v>
      </c>
      <c r="X158" t="str">
        <f ca="1">IFERROR(__xludf.DUMMYFUNCTION("""COMPUTED_VALUE"""),"Mandatory")</f>
        <v>Mandatory</v>
      </c>
      <c r="Y158" t="str">
        <f ca="1">IFERROR(__xludf.DUMMYFUNCTION("""COMPUTED_VALUE"""),"No")</f>
        <v>No</v>
      </c>
      <c r="Z158" t="str">
        <f ca="1">IFERROR(__xludf.DUMMYFUNCTION("""COMPUTED_VALUE"""),"No")</f>
        <v>No</v>
      </c>
      <c r="AA158" t="str">
        <f ca="1">IFERROR(__xludf.DUMMYFUNCTION("""COMPUTED_VALUE"""),"All reviewers active in a single year are are listed online: https://community.cochrane.org/editorial-and-publishing-policy-resource/cochrane-review-management/cochrane-peer-review-policy")</f>
        <v>All reviewers active in a single year are are listed online: https://community.cochrane.org/editorial-and-publishing-policy-resource/cochrane-review-management/cochrane-peer-review-policy</v>
      </c>
      <c r="AB158" t="str">
        <f ca="1">IFERROR(__xludf.DUMMYFUNCTION("""COMPUTED_VALUE"""),"")</f>
        <v/>
      </c>
      <c r="AC158" t="str">
        <f ca="1">IFERROR(__xludf.DUMMYFUNCTION("""COMPUTED_VALUE"""),"")</f>
        <v/>
      </c>
      <c r="AD158" t="str">
        <f ca="1">IFERROR(__xludf.DUMMYFUNCTION("""COMPUTED_VALUE"""),"Unsure")</f>
        <v>Unsure</v>
      </c>
      <c r="AE158" t="str">
        <f ca="1">IFERROR(__xludf.DUMMYFUNCTION("""COMPUTED_VALUE"""),"Unsure")</f>
        <v>Unsure</v>
      </c>
      <c r="AF158" t="str">
        <f ca="1">IFERROR(__xludf.DUMMYFUNCTION("""COMPUTED_VALUE"""),"Unsure")</f>
        <v>Unsure</v>
      </c>
      <c r="AG158" s="93" t="str">
        <f ca="1">IFERROR(__xludf.DUMMYFUNCTION("""COMPUTED_VALUE"""),"http://ideas.cochrane.org/forums/326856-cochrane-style-manual/suggestions/18762079-referencing-preprints")</f>
        <v>http://ideas.cochrane.org/forums/326856-cochrane-style-manual/suggestions/18762079-referencing-preprints</v>
      </c>
      <c r="AH158" t="str">
        <f ca="1">IFERROR(__xludf.DUMMYFUNCTION("""COMPUTED_VALUE"""),"No preprint policy")</f>
        <v>No preprint policy</v>
      </c>
      <c r="AI158" t="str">
        <f ca="1">IFERROR(__xludf.DUMMYFUNCTION("""COMPUTED_VALUE"""),"")</f>
        <v/>
      </c>
      <c r="AJ158" t="str">
        <f ca="1">IFERROR(__xludf.DUMMYFUNCTION("""COMPUTED_VALUE"""),"Unsure - http://ideas.cochrane.org/forums/326856-cochrane-style-manual/suggestions/18762079-referencing-preprints")</f>
        <v>Unsure - http://ideas.cochrane.org/forums/326856-cochrane-style-manual/suggestions/18762079-referencing-preprints</v>
      </c>
      <c r="AK158" t="str">
        <f ca="1">IFERROR(__xludf.DUMMYFUNCTION("""COMPUTED_VALUE"""),"Unsure")</f>
        <v>Unsure</v>
      </c>
      <c r="AL158" t="str">
        <f ca="1">IFERROR(__xludf.DUMMYFUNCTION("""COMPUTED_VALUE"""),"")</f>
        <v/>
      </c>
      <c r="AM158" t="str">
        <f ca="1">IFERROR(__xludf.DUMMYFUNCTION("""COMPUTED_VALUE"""),"")</f>
        <v/>
      </c>
      <c r="AN158" t="str">
        <f ca="1">IFERROR(__xludf.DUMMYFUNCTION("""COMPUTED_VALUE"""),"")</f>
        <v/>
      </c>
      <c r="AO158" t="str">
        <f ca="1">IFERROR(__xludf.DUMMYFUNCTION("""COMPUTED_VALUE"""),"")</f>
        <v/>
      </c>
      <c r="AP158" t="str">
        <f ca="1">IFERROR(__xludf.DUMMYFUNCTION("""COMPUTED_VALUE"""),"")</f>
        <v/>
      </c>
      <c r="AQ158" s="442" t="str">
        <f ca="1">IFERROR(__xludf.DUMMYFUNCTION("""COMPUTED_VALUE"""),"")</f>
        <v/>
      </c>
      <c r="AR158" t="str">
        <f ca="1">IFERROR(__xludf.DUMMYFUNCTION("""COMPUTED_VALUE"""),"")</f>
        <v/>
      </c>
    </row>
    <row r="159" spans="1:44" ht="13">
      <c r="A159" t="str">
        <f ca="1">IFERROR(__xludf.DUMMYFUNCTION("""COMPUTED_VALUE"""),"JKP")</f>
        <v>JKP</v>
      </c>
      <c r="B159" s="41">
        <f ca="1">IFERROR(__xludf.DUMMYFUNCTION("""COMPUTED_VALUE"""),43473)</f>
        <v>43473</v>
      </c>
      <c r="C159" t="str">
        <f ca="1">IFERROR(__xludf.DUMMYFUNCTION("""COMPUTED_VALUE"""),"TRH")</f>
        <v>TRH</v>
      </c>
      <c r="D159" s="28">
        <f ca="1">IFERROR(__xludf.DUMMYFUNCTION("""COMPUTED_VALUE"""),43576)</f>
        <v>43576</v>
      </c>
      <c r="E159" t="str">
        <f ca="1">IFERROR(__xludf.DUMMYFUNCTION("""COMPUTED_VALUE"""),"JP")</f>
        <v>JP</v>
      </c>
      <c r="F159" s="28">
        <f ca="1">IFERROR(__xludf.DUMMYFUNCTION("""COMPUTED_VALUE"""),43581)</f>
        <v>43581</v>
      </c>
      <c r="G159" t="str">
        <f ca="1">IFERROR(__xludf.DUMMYFUNCTION("""COMPUTED_VALUE"""),"")</f>
        <v/>
      </c>
      <c r="H159" t="str">
        <f ca="1">IFERROR(__xludf.DUMMYFUNCTION("""COMPUTED_VALUE"""),"1434-6052")</f>
        <v>1434-6052</v>
      </c>
      <c r="I159" t="str">
        <f ca="1">IFERROR(__xludf.DUMMYFUNCTION("""COMPUTED_VALUE"""),"The European Physical Journal C")</f>
        <v>The European Physical Journal C</v>
      </c>
      <c r="J159" t="str">
        <f ca="1">IFERROR(__xludf.DUMMYFUNCTION("""COMPUTED_VALUE"""),"Physics &amp; Mathematics")</f>
        <v>Physics &amp; Mathematics</v>
      </c>
      <c r="K159" t="str">
        <f ca="1">IFERROR(__xludf.DUMMYFUNCTION("""COMPUTED_VALUE"""),"Springer")</f>
        <v>Springer</v>
      </c>
      <c r="L159" t="str">
        <f ca="1">IFERROR(__xludf.DUMMYFUNCTION("""COMPUTED_VALUE"""),"Single blind")</f>
        <v>Single blind</v>
      </c>
      <c r="M159" s="93" t="str">
        <f ca="1">IFERROR(__xludf.DUMMYFUNCTION("""COMPUTED_VALUE"""),"https://www.springer.com/physics/particle+and+nuclear+physics/journal/10052")</f>
        <v>https://www.springer.com/physics/particle+and+nuclear+physics/journal/10052</v>
      </c>
      <c r="N159" t="str">
        <f ca="1">IFERROR(__xludf.DUMMYFUNCTION("""COMPUTED_VALUE"""),"")</f>
        <v/>
      </c>
      <c r="O159" t="str">
        <f ca="1">IFERROR(__xludf.DUMMYFUNCTION("""COMPUTED_VALUE"""),"")</f>
        <v/>
      </c>
      <c r="P159" t="str">
        <f ca="1">IFERROR(__xludf.DUMMYFUNCTION("""COMPUTED_VALUE"""),"Unsure")</f>
        <v>Unsure</v>
      </c>
      <c r="Q159" t="str">
        <f ca="1">IFERROR(__xludf.DUMMYFUNCTION("""COMPUTED_VALUE"""),"")</f>
        <v/>
      </c>
      <c r="R159" t="str">
        <f ca="1">IFERROR(__xludf.DUMMYFUNCTION("""COMPUTED_VALUE"""),"")</f>
        <v/>
      </c>
      <c r="S159" t="str">
        <f ca="1">IFERROR(__xludf.DUMMYFUNCTION("""COMPUTED_VALUE"""),"Not specified")</f>
        <v>Not specified</v>
      </c>
      <c r="T159" t="str">
        <f ca="1">IFERROR(__xludf.DUMMYFUNCTION("""COMPUTED_VALUE"""),"Not specified")</f>
        <v>Not specified</v>
      </c>
      <c r="U159" t="str">
        <f ca="1">IFERROR(__xludf.DUMMYFUNCTION("""COMPUTED_VALUE"""),"Not specified")</f>
        <v>Not specified</v>
      </c>
      <c r="V159" t="str">
        <f ca="1">IFERROR(__xludf.DUMMYFUNCTION("""COMPUTED_VALUE"""),"Not specified")</f>
        <v>Not specified</v>
      </c>
      <c r="W159" t="str">
        <f ca="1">IFERROR(__xludf.DUMMYFUNCTION("""COMPUTED_VALUE"""),"Not specified")</f>
        <v>Not specified</v>
      </c>
      <c r="X159" t="str">
        <f ca="1">IFERROR(__xludf.DUMMYFUNCTION("""COMPUTED_VALUE"""),"Not specified")</f>
        <v>Not specified</v>
      </c>
      <c r="Y159" t="str">
        <f ca="1">IFERROR(__xludf.DUMMYFUNCTION("""COMPUTED_VALUE"""),"Not specified")</f>
        <v>Not specified</v>
      </c>
      <c r="Z159" t="str">
        <f ca="1">IFERROR(__xludf.DUMMYFUNCTION("""COMPUTED_VALUE"""),"Not specified")</f>
        <v>Not specified</v>
      </c>
      <c r="AA159" t="str">
        <f ca="1">IFERROR(__xludf.DUMMYFUNCTION("""COMPUTED_VALUE"""),"")</f>
        <v/>
      </c>
      <c r="AB159" t="str">
        <f ca="1">IFERROR(__xludf.DUMMYFUNCTION("""COMPUTED_VALUE"""),"")</f>
        <v/>
      </c>
      <c r="AC159" t="str">
        <f ca="1">IFERROR(__xludf.DUMMYFUNCTION("""COMPUTED_VALUE"""),"")</f>
        <v/>
      </c>
      <c r="AD159" t="str">
        <f ca="1">IFERROR(__xludf.DUMMYFUNCTION("""COMPUTED_VALUE"""),"Unsure")</f>
        <v>Unsure</v>
      </c>
      <c r="AE159" t="str">
        <f ca="1">IFERROR(__xludf.DUMMYFUNCTION("""COMPUTED_VALUE"""),"Unsure")</f>
        <v>Unsure</v>
      </c>
      <c r="AF159" t="str">
        <f ca="1">IFERROR(__xludf.DUMMYFUNCTION("""COMPUTED_VALUE"""),"Unsure")</f>
        <v>Unsure</v>
      </c>
      <c r="AG159" s="93" t="str">
        <f ca="1">IFERROR(__xludf.DUMMYFUNCTION("""COMPUTED_VALUE"""),"https://epjc.epj.org/epjc-faq#preprintservers")</f>
        <v>https://epjc.epj.org/epjc-faq#preprintservers</v>
      </c>
      <c r="AH159" t="str">
        <f ca="1">IFERROR(__xludf.DUMMYFUNCTION("""COMPUTED_VALUE"""),"Any (OA) or After peer review (non-OA)")</f>
        <v>Any (OA) or After peer review (non-OA)</v>
      </c>
      <c r="AI159" t="str">
        <f ca="1">IFERROR(__xludf.DUMMYFUNCTION("""COMPUTED_VALUE"""),"For articles to be published in EPJ this explicitly includes the relevant preprint servers, in particular ArXiv (arxiv.org).")</f>
        <v>For articles to be published in EPJ this explicitly includes the relevant preprint servers, in particular ArXiv (arxiv.org).</v>
      </c>
      <c r="AJ159" t="str">
        <f ca="1">IFERROR(__xludf.DUMMYFUNCTION("""COMPUTED_VALUE"""),"Unsure")</f>
        <v>Unsure</v>
      </c>
      <c r="AK159" t="str">
        <f ca="1">IFERROR(__xludf.DUMMYFUNCTION("""COMPUTED_VALUE"""),"Unsure")</f>
        <v>Unsure</v>
      </c>
      <c r="AL159" t="str">
        <f ca="1">IFERROR(__xludf.DUMMYFUNCTION("""COMPUTED_VALUE"""),"")</f>
        <v/>
      </c>
      <c r="AM159" t="str">
        <f ca="1">IFERROR(__xludf.DUMMYFUNCTION("""COMPUTED_VALUE"""),"")</f>
        <v/>
      </c>
      <c r="AN159" t="str">
        <f ca="1">IFERROR(__xludf.DUMMYFUNCTION("""COMPUTED_VALUE"""),"")</f>
        <v/>
      </c>
      <c r="AO159" t="str">
        <f ca="1">IFERROR(__xludf.DUMMYFUNCTION("""COMPUTED_VALUE"""),"")</f>
        <v/>
      </c>
      <c r="AP159" t="str">
        <f ca="1">IFERROR(__xludf.DUMMYFUNCTION("""COMPUTED_VALUE"""),"")</f>
        <v/>
      </c>
      <c r="AQ159" s="442" t="str">
        <f ca="1">IFERROR(__xludf.DUMMYFUNCTION("""COMPUTED_VALUE"""),"")</f>
        <v/>
      </c>
      <c r="AR159" t="str">
        <f ca="1">IFERROR(__xludf.DUMMYFUNCTION("""COMPUTED_VALUE"""),"")</f>
        <v/>
      </c>
    </row>
    <row r="160" spans="1:44" ht="13">
      <c r="A160" t="str">
        <f ca="1">IFERROR(__xludf.DUMMYFUNCTION("""COMPUTED_VALUE"""),"JKP")</f>
        <v>JKP</v>
      </c>
      <c r="B160" s="41">
        <f ca="1">IFERROR(__xludf.DUMMYFUNCTION("""COMPUTED_VALUE"""),43473)</f>
        <v>43473</v>
      </c>
      <c r="C160" t="str">
        <f ca="1">IFERROR(__xludf.DUMMYFUNCTION("""COMPUTED_VALUE"""),"TRH")</f>
        <v>TRH</v>
      </c>
      <c r="D160" s="28">
        <f ca="1">IFERROR(__xludf.DUMMYFUNCTION("""COMPUTED_VALUE"""),43576)</f>
        <v>43576</v>
      </c>
      <c r="E160" t="str">
        <f ca="1">IFERROR(__xludf.DUMMYFUNCTION("""COMPUTED_VALUE"""),"JP")</f>
        <v>JP</v>
      </c>
      <c r="F160" s="28">
        <f ca="1">IFERROR(__xludf.DUMMYFUNCTION("""COMPUTED_VALUE"""),43581)</f>
        <v>43581</v>
      </c>
      <c r="G160" t="str">
        <f ca="1">IFERROR(__xludf.DUMMYFUNCTION("""COMPUTED_VALUE"""),"")</f>
        <v/>
      </c>
      <c r="H160" t="str">
        <f ca="1">IFERROR(__xludf.DUMMYFUNCTION("""COMPUTED_VALUE"""),"1558-8238")</f>
        <v>1558-8238</v>
      </c>
      <c r="I160" t="str">
        <f ca="1">IFERROR(__xludf.DUMMYFUNCTION("""COMPUTED_VALUE"""),"The Journal of Clinical Investigation")</f>
        <v>The Journal of Clinical Investigation</v>
      </c>
      <c r="J160" t="str">
        <f ca="1">IFERROR(__xludf.DUMMYFUNCTION("""COMPUTED_VALUE"""),"")</f>
        <v/>
      </c>
      <c r="K160" t="str">
        <f ca="1">IFERROR(__xludf.DUMMYFUNCTION("""COMPUTED_VALUE"""),"American Society for Clinical Investigation")</f>
        <v>American Society for Clinical Investigation</v>
      </c>
      <c r="L160" t="str">
        <f ca="1">IFERROR(__xludf.DUMMYFUNCTION("""COMPUTED_VALUE"""),"Unsure")</f>
        <v>Unsure</v>
      </c>
      <c r="M160" s="93" t="str">
        <f ca="1">IFERROR(__xludf.DUMMYFUNCTION("""COMPUTED_VALUE"""),"https://www.jci.org/kiosks/authors#Editorial_Policies")</f>
        <v>https://www.jci.org/kiosks/authors#Editorial_Policies</v>
      </c>
      <c r="N160" t="str">
        <f ca="1">IFERROR(__xludf.DUMMYFUNCTION("""COMPUTED_VALUE"""),"")</f>
        <v/>
      </c>
      <c r="O160" t="str">
        <f ca="1">IFERROR(__xludf.DUMMYFUNCTION("""COMPUTED_VALUE"""),"")</f>
        <v/>
      </c>
      <c r="P160" t="str">
        <f ca="1">IFERROR(__xludf.DUMMYFUNCTION("""COMPUTED_VALUE"""),"Unsure")</f>
        <v>Unsure</v>
      </c>
      <c r="Q160" t="str">
        <f ca="1">IFERROR(__xludf.DUMMYFUNCTION("""COMPUTED_VALUE"""),"")</f>
        <v/>
      </c>
      <c r="R160" t="str">
        <f ca="1">IFERROR(__xludf.DUMMYFUNCTION("""COMPUTED_VALUE"""),"")</f>
        <v/>
      </c>
      <c r="S160" t="str">
        <f ca="1">IFERROR(__xludf.DUMMYFUNCTION("""COMPUTED_VALUE"""),"Not specified")</f>
        <v>Not specified</v>
      </c>
      <c r="T160" t="str">
        <f ca="1">IFERROR(__xludf.DUMMYFUNCTION("""COMPUTED_VALUE"""),"Not specified")</f>
        <v>Not specified</v>
      </c>
      <c r="U160" t="str">
        <f ca="1">IFERROR(__xludf.DUMMYFUNCTION("""COMPUTED_VALUE"""),"Not specified")</f>
        <v>Not specified</v>
      </c>
      <c r="V160" t="str">
        <f ca="1">IFERROR(__xludf.DUMMYFUNCTION("""COMPUTED_VALUE"""),"Not specified")</f>
        <v>Not specified</v>
      </c>
      <c r="W160" t="str">
        <f ca="1">IFERROR(__xludf.DUMMYFUNCTION("""COMPUTED_VALUE"""),"Not specified")</f>
        <v>Not specified</v>
      </c>
      <c r="X160" t="str">
        <f ca="1">IFERROR(__xludf.DUMMYFUNCTION("""COMPUTED_VALUE"""),"Not specified")</f>
        <v>Not specified</v>
      </c>
      <c r="Y160" t="str">
        <f ca="1">IFERROR(__xludf.DUMMYFUNCTION("""COMPUTED_VALUE"""),"Not specified")</f>
        <v>Not specified</v>
      </c>
      <c r="Z160" t="str">
        <f ca="1">IFERROR(__xludf.DUMMYFUNCTION("""COMPUTED_VALUE"""),"Not specified")</f>
        <v>Not specified</v>
      </c>
      <c r="AA160" t="str">
        <f ca="1">IFERROR(__xludf.DUMMYFUNCTION("""COMPUTED_VALUE"""),"")</f>
        <v/>
      </c>
      <c r="AB160" t="str">
        <f ca="1">IFERROR(__xludf.DUMMYFUNCTION("""COMPUTED_VALUE"""),"The peer-review process rests on the assumption that an assigned reviewer will treat all manuscripts as privileged information. A reviewer may request advice from another party, subject to the general principle of confidentiality and notification of the J"&amp;"CI.")</f>
        <v>The peer-review process rests on the assumption that an assigned reviewer will treat all manuscripts as privileged information. A reviewer may request advice from another party, subject to the general principle of confidentiality and notification of the JCI.</v>
      </c>
      <c r="AC160" s="93" t="str">
        <f ca="1">IFERROR(__xludf.DUMMYFUNCTION("""COMPUTED_VALUE"""),"https://www.jci.org/kiosks/authors#Editorial_Policies")</f>
        <v>https://www.jci.org/kiosks/authors#Editorial_Policies</v>
      </c>
      <c r="AD160" t="str">
        <f ca="1">IFERROR(__xludf.DUMMYFUNCTION("""COMPUTED_VALUE"""),"Unsure")</f>
        <v>Unsure</v>
      </c>
      <c r="AE160" t="str">
        <f ca="1">IFERROR(__xludf.DUMMYFUNCTION("""COMPUTED_VALUE"""),"Unsure")</f>
        <v>Unsure</v>
      </c>
      <c r="AF160" t="str">
        <f ca="1">IFERROR(__xludf.DUMMYFUNCTION("""COMPUTED_VALUE"""),"Unsure")</f>
        <v>Unsure</v>
      </c>
      <c r="AG160" s="93" t="str">
        <f ca="1">IFERROR(__xludf.DUMMYFUNCTION("""COMPUTED_VALUE"""),"https://www.jci.org/kiosks/authors#Editorial_Policies")</f>
        <v>https://www.jci.org/kiosks/authors#Editorial_Policies</v>
      </c>
      <c r="AH160" t="str">
        <f ca="1">IFERROR(__xludf.DUMMYFUNCTION("""COMPUTED_VALUE"""),"Unsure")</f>
        <v>Unsure</v>
      </c>
      <c r="AI160" t="str">
        <f ca="1">IFERROR(__xludf.DUMMYFUNCTION("""COMPUTED_VALUE"""),"The JCI will consider manuscripts that have been posted to a community preprint server; authors must disclose the preprint server and the accession number or DOI in their cover letter. At the time of publication, authors should ensure that the preprint se"&amp;"rver updates the preprint with a link to the published article, including the DOI link.")</f>
        <v>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v>
      </c>
      <c r="AJ160" t="str">
        <f ca="1">IFERROR(__xludf.DUMMYFUNCTION("""COMPUTED_VALUE"""),"Unsure")</f>
        <v>Unsure</v>
      </c>
      <c r="AK160" t="str">
        <f ca="1">IFERROR(__xludf.DUMMYFUNCTION("""COMPUTED_VALUE"""),"Unsure")</f>
        <v>Unsure</v>
      </c>
      <c r="AL160" t="str">
        <f ca="1">IFERROR(__xludf.DUMMYFUNCTION("""COMPUTED_VALUE"""),"The JCI considers the following to be prior publication and therefore unacceptable:
 any printed or online material describing the findings, methods, or results of a submitted/in-press manuscript in excess of 400 words
 any published tables or illustrat"&amp;"ions that in any way duplicate the content of another manuscript
 videotapes of professional meetings distributed to the public or the press describing data included in a manuscript submitted for publication or in press
 any interview given to members of "&amp;"the scientific or lay press describing data included in a manuscript submitted for publication or in press
 The JCI does not consider doctoral theses or dissertations to be prior publications.")</f>
        <v>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v>
      </c>
      <c r="AM160" t="str">
        <f ca="1">IFERROR(__xludf.DUMMYFUNCTION("""COMPUTED_VALUE"""),"")</f>
        <v/>
      </c>
      <c r="AN160" t="str">
        <f ca="1">IFERROR(__xludf.DUMMYFUNCTION("""COMPUTED_VALUE"""),"")</f>
        <v/>
      </c>
      <c r="AO160" t="str">
        <f ca="1">IFERROR(__xludf.DUMMYFUNCTION("""COMPUTED_VALUE"""),"")</f>
        <v/>
      </c>
      <c r="AP160" t="str">
        <f ca="1">IFERROR(__xludf.DUMMYFUNCTION("""COMPUTED_VALUE"""),"")</f>
        <v/>
      </c>
      <c r="AQ160" s="442" t="str">
        <f ca="1">IFERROR(__xludf.DUMMYFUNCTION("""COMPUTED_VALUE"""),"")</f>
        <v/>
      </c>
      <c r="AR160" t="str">
        <f ca="1">IFERROR(__xludf.DUMMYFUNCTION("""COMPUTED_VALUE"""),"")</f>
        <v/>
      </c>
    </row>
    <row r="161" spans="1:44" ht="13">
      <c r="A161" t="str">
        <f ca="1">IFERROR(__xludf.DUMMYFUNCTION("""COMPUTED_VALUE"""),"JKP")</f>
        <v>JKP</v>
      </c>
      <c r="B161" s="41">
        <f ca="1">IFERROR(__xludf.DUMMYFUNCTION("""COMPUTED_VALUE"""),43473)</f>
        <v>43473</v>
      </c>
      <c r="C161" t="str">
        <f ca="1">IFERROR(__xludf.DUMMYFUNCTION("""COMPUTED_VALUE"""),"TRH")</f>
        <v>TRH</v>
      </c>
      <c r="D161" s="28">
        <f ca="1">IFERROR(__xludf.DUMMYFUNCTION("""COMPUTED_VALUE"""),43576)</f>
        <v>43576</v>
      </c>
      <c r="E161" t="str">
        <f ca="1">IFERROR(__xludf.DUMMYFUNCTION("""COMPUTED_VALUE"""),"JP")</f>
        <v>JP</v>
      </c>
      <c r="F161" s="28">
        <f ca="1">IFERROR(__xludf.DUMMYFUNCTION("""COMPUTED_VALUE"""),43581)</f>
        <v>43581</v>
      </c>
      <c r="G161" t="str">
        <f ca="1">IFERROR(__xludf.DUMMYFUNCTION("""COMPUTED_VALUE"""),"")</f>
        <v/>
      </c>
      <c r="H161" t="str">
        <f ca="1">IFERROR(__xludf.DUMMYFUNCTION("""COMPUTED_VALUE"""),"1540-6261")</f>
        <v>1540-6261</v>
      </c>
      <c r="I161" t="str">
        <f ca="1">IFERROR(__xludf.DUMMYFUNCTION("""COMPUTED_VALUE"""),"The Journal of Finance")</f>
        <v>The Journal of Finance</v>
      </c>
      <c r="J161" t="str">
        <f ca="1">IFERROR(__xludf.DUMMYFUNCTION("""COMPUTED_VALUE"""),"Business, Economics &amp; Management")</f>
        <v>Business, Economics &amp; Management</v>
      </c>
      <c r="K161" t="str">
        <f ca="1">IFERROR(__xludf.DUMMYFUNCTION("""COMPUTED_VALUE"""),"Wiley &amp; American Finance Association (AFA)")</f>
        <v>Wiley &amp; American Finance Association (AFA)</v>
      </c>
      <c r="L161" t="str">
        <f ca="1">IFERROR(__xludf.DUMMYFUNCTION("""COMPUTED_VALUE"""),"Unsure")</f>
        <v>Unsure</v>
      </c>
      <c r="M161" t="str">
        <f ca="1">IFERROR(__xludf.DUMMYFUNCTION("""COMPUTED_VALUE"""),"")</f>
        <v/>
      </c>
      <c r="N161" t="str">
        <f ca="1">IFERROR(__xludf.DUMMYFUNCTION("""COMPUTED_VALUE"""),"")</f>
        <v/>
      </c>
      <c r="O161" s="93" t="str">
        <f ca="1">IFERROR(__xludf.DUMMYFUNCTION("""COMPUTED_VALUE"""),"https://authorservices.wiley.com/Reviewers/journal-reviewers/recognition-for-reviewers/index.html")</f>
        <v>https://authorservices.wiley.com/Reviewers/journal-reviewers/recognition-for-reviewers/index.html</v>
      </c>
      <c r="P161" t="str">
        <f ca="1">IFERROR(__xludf.DUMMYFUNCTION("""COMPUTED_VALUE"""),"Yes")</f>
        <v>Yes</v>
      </c>
      <c r="Q161" t="str">
        <f ca="1">IFERROR(__xludf.DUMMYFUNCTION("""COMPUTED_VALUE"""),"")</f>
        <v/>
      </c>
      <c r="R161" t="str">
        <f ca="1">IFERROR(__xludf.DUMMYFUNCTION("""COMPUTED_VALUE"""),"")</f>
        <v/>
      </c>
      <c r="S161" t="str">
        <f ca="1">IFERROR(__xludf.DUMMYFUNCTION("""COMPUTED_VALUE"""),"Not specified")</f>
        <v>Not specified</v>
      </c>
      <c r="T161" t="str">
        <f ca="1">IFERROR(__xludf.DUMMYFUNCTION("""COMPUTED_VALUE"""),"Not specified")</f>
        <v>Not specified</v>
      </c>
      <c r="U161" t="str">
        <f ca="1">IFERROR(__xludf.DUMMYFUNCTION("""COMPUTED_VALUE"""),"Not specified")</f>
        <v>Not specified</v>
      </c>
      <c r="V161" t="str">
        <f ca="1">IFERROR(__xludf.DUMMYFUNCTION("""COMPUTED_VALUE"""),"Not specified")</f>
        <v>Not specified</v>
      </c>
      <c r="W161" t="str">
        <f ca="1">IFERROR(__xludf.DUMMYFUNCTION("""COMPUTED_VALUE"""),"Not specified")</f>
        <v>Not specified</v>
      </c>
      <c r="X161" t="str">
        <f ca="1">IFERROR(__xludf.DUMMYFUNCTION("""COMPUTED_VALUE"""),"Not specified")</f>
        <v>Not specified</v>
      </c>
      <c r="Y161" t="str">
        <f ca="1">IFERROR(__xludf.DUMMYFUNCTION("""COMPUTED_VALUE"""),"Not specified")</f>
        <v>Not specified</v>
      </c>
      <c r="Z161" t="str">
        <f ca="1">IFERROR(__xludf.DUMMYFUNCTION("""COMPUTED_VALUE"""),"Not specified")</f>
        <v>Not specified</v>
      </c>
      <c r="AA161" t="str">
        <f ca="1">IFERROR(__xludf.DUMMYFUNCTION("""COMPUTED_VALUE"""),"")</f>
        <v/>
      </c>
      <c r="AB161" t="str">
        <f ca="1">IFERROR(__xludf.DUMMYFUNCTION("""COMPUTED_VALUE"""),"Supervisors who wish to involve their students or junior researchers in peer review must request permission from the editor and abide by the editor’s decision. In cases where a student performs the review under the guidance of the supervisor, that should "&amp;"be noted and the student should be acknowledged as the reviewer of record. ")</f>
        <v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v>
      </c>
      <c r="AC161" s="93" t="str">
        <f ca="1">IFERROR(__xludf.DUMMYFUNCTION("""COMPUTED_VALUE"""),"https://authorservices.wiley.com/Reviewers/journal-reviewers/how-to-perform-a-peer-review/general-and-ethical-guidelines.html")</f>
        <v>https://authorservices.wiley.com/Reviewers/journal-reviewers/how-to-perform-a-peer-review/general-and-ethical-guidelines.html</v>
      </c>
      <c r="AD161" t="str">
        <f ca="1">IFERROR(__xludf.DUMMYFUNCTION("""COMPUTED_VALUE"""),"Unsure")</f>
        <v>Unsure</v>
      </c>
      <c r="AE161" t="str">
        <f ca="1">IFERROR(__xludf.DUMMYFUNCTION("""COMPUTED_VALUE"""),"Unsure")</f>
        <v>Unsure</v>
      </c>
      <c r="AF161" t="str">
        <f ca="1">IFERROR(__xludf.DUMMYFUNCTION("""COMPUTED_VALUE"""),"Unsure")</f>
        <v>Unsure</v>
      </c>
      <c r="AG161" s="93" t="str">
        <f ca="1">IFERROR(__xludf.DUMMYFUNCTION("""COMPUTED_VALUE"""),"https://cdn.ymaws.com/www.afajof.org/resource/resmgr/files/Submission_docs/JF_Submission_Guidelines-Feb.pdf")</f>
        <v>https://cdn.ymaws.com/www.afajof.org/resource/resmgr/files/Submission_docs/JF_Submission_Guidelines-Feb.pdf</v>
      </c>
      <c r="AH161" t="str">
        <f ca="1">IFERROR(__xludf.DUMMYFUNCTION("""COMPUTED_VALUE"""),"None ""All submitted manuscripts must be; (i) original, (ii) unpublished (including any
 online publication), """)</f>
        <v>None "All submitted manuscripts must be; (i) original, (ii) unpublished (including any
 online publication), "</v>
      </c>
      <c r="AI161" t="str">
        <f ca="1">IFERROR(__xludf.DUMMYFUNCTION("""COMPUTED_VALUE"""),"")</f>
        <v/>
      </c>
      <c r="AJ161" t="str">
        <f ca="1">IFERROR(__xludf.DUMMYFUNCTION("""COMPUTED_VALUE"""),"Unsure")</f>
        <v>Unsure</v>
      </c>
      <c r="AK161" t="str">
        <f ca="1">IFERROR(__xludf.DUMMYFUNCTION("""COMPUTED_VALUE"""),"Unsure")</f>
        <v>Unsure</v>
      </c>
      <c r="AL161" t="str">
        <f ca="1">IFERROR(__xludf.DUMMYFUNCTION("""COMPUTED_VALUE"""),"")</f>
        <v/>
      </c>
      <c r="AM161" t="str">
        <f ca="1">IFERROR(__xludf.DUMMYFUNCTION("""COMPUTED_VALUE"""),"")</f>
        <v/>
      </c>
      <c r="AN161" t="str">
        <f ca="1">IFERROR(__xludf.DUMMYFUNCTION("""COMPUTED_VALUE"""),"")</f>
        <v/>
      </c>
      <c r="AO161" t="str">
        <f ca="1">IFERROR(__xludf.DUMMYFUNCTION("""COMPUTED_VALUE"""),"")</f>
        <v/>
      </c>
      <c r="AP161" t="str">
        <f ca="1">IFERROR(__xludf.DUMMYFUNCTION("""COMPUTED_VALUE"""),"")</f>
        <v/>
      </c>
      <c r="AQ161" s="442" t="str">
        <f ca="1">IFERROR(__xludf.DUMMYFUNCTION("""COMPUTED_VALUE"""),"")</f>
        <v/>
      </c>
      <c r="AR161" t="str">
        <f ca="1">IFERROR(__xludf.DUMMYFUNCTION("""COMPUTED_VALUE"""),"")</f>
        <v/>
      </c>
    </row>
    <row r="162" spans="1:44" ht="13">
      <c r="A162" t="str">
        <f ca="1">IFERROR(__xludf.DUMMYFUNCTION("""COMPUTED_VALUE"""),"JKP")</f>
        <v>JKP</v>
      </c>
      <c r="B162" s="41">
        <f ca="1">IFERROR(__xludf.DUMMYFUNCTION("""COMPUTED_VALUE"""),43473)</f>
        <v>43473</v>
      </c>
      <c r="C162" t="str">
        <f ca="1">IFERROR(__xludf.DUMMYFUNCTION("""COMPUTED_VALUE"""),"TRH")</f>
        <v>TRH</v>
      </c>
      <c r="D162" s="28">
        <f ca="1">IFERROR(__xludf.DUMMYFUNCTION("""COMPUTED_VALUE"""),43576)</f>
        <v>43576</v>
      </c>
      <c r="E162" t="str">
        <f ca="1">IFERROR(__xludf.DUMMYFUNCTION("""COMPUTED_VALUE"""),"JP")</f>
        <v>JP</v>
      </c>
      <c r="F162" s="28">
        <f ca="1">IFERROR(__xludf.DUMMYFUNCTION("""COMPUTED_VALUE"""),43581)</f>
        <v>43581</v>
      </c>
      <c r="G162" t="str">
        <f ca="1">IFERROR(__xludf.DUMMYFUNCTION("""COMPUTED_VALUE"""),"Re review identities revealed - if the editor has control over whether this is possible, I would mark this as conditional [ok - trh]")</f>
        <v>Re review identities revealed - if the editor has control over whether this is possible, I would mark this as conditional [ok - trh]</v>
      </c>
      <c r="H162" t="str">
        <f ca="1">IFERROR(__xludf.DUMMYFUNCTION("""COMPUTED_VALUE"""),"1948-7185")</f>
        <v>1948-7185</v>
      </c>
      <c r="I162" t="str">
        <f ca="1">IFERROR(__xludf.DUMMYFUNCTION("""COMPUTED_VALUE"""),"The Journal of Physical Chemistry Letters")</f>
        <v>The Journal of Physical Chemistry Letters</v>
      </c>
      <c r="J162" t="str">
        <f ca="1">IFERROR(__xludf.DUMMYFUNCTION("""COMPUTED_VALUE"""),"Physics &amp; Mathematics, Chemical &amp; Materials Sciences")</f>
        <v>Physics &amp; Mathematics, Chemical &amp; Materials Sciences</v>
      </c>
      <c r="K162" t="str">
        <f ca="1">IFERROR(__xludf.DUMMYFUNCTION("""COMPUTED_VALUE"""),"American Chemical Society")</f>
        <v>American Chemical Society</v>
      </c>
      <c r="L162" t="str">
        <f ca="1">IFERROR(__xludf.DUMMYFUNCTION("""COMPUTED_VALUE"""),"Single blind")</f>
        <v>Single blind</v>
      </c>
      <c r="M162" t="str">
        <f ca="1">IFERROR(__xludf.DUMMYFUNCTION("""COMPUTED_VALUE"""),"https://pubs.acs.org/publish/peer_reviews, https://pubs.acs.org/userimages/ContentEditor/1218054468605/ethics.pdf")</f>
        <v>https://pubs.acs.org/publish/peer_reviews, https://pubs.acs.org/userimages/ContentEditor/1218054468605/ethics.pdf</v>
      </c>
      <c r="N162" t="str">
        <f ca="1">IFERROR(__xludf.DUMMYFUNCTION("""COMPUTED_VALUE"""),"")</f>
        <v/>
      </c>
      <c r="O162" t="str">
        <f ca="1">IFERROR(__xludf.DUMMYFUNCTION("""COMPUTED_VALUE"""),"")</f>
        <v/>
      </c>
      <c r="P162" t="str">
        <f ca="1">IFERROR(__xludf.DUMMYFUNCTION("""COMPUTED_VALUE"""),"")</f>
        <v/>
      </c>
      <c r="Q162" t="str">
        <f ca="1">IFERROR(__xludf.DUMMYFUNCTION("""COMPUTED_VALUE"""),"Manuscript Transfer
 If your submission is declined for publication by this journal, the editors might deem your work to be
 better suited for another ACS Publications journal and suggest that the authors consider transferring the
 submission. Manuscript "&amp;"Transfer simplifies and shortens the process of submitting to another ACS
 journal, as all the coauthors, suggested reviewers, manuscript files, and responses to submission
 questions are copied by ACS Paragon Plus to the new draft submission. Authors are"&amp;" free to accept or
 decline the transfer offer.
 Note that each journal is editorially independent. Transferring a manuscript is not a guarantee that the
 manuscript will be accepted, as the final publication decision will belong to the editor of the next"&amp;"
 journal")</f>
        <v>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R162" s="93" t="str">
        <f ca="1">IFERROR(__xludf.DUMMYFUNCTION("""COMPUTED_VALUE"""),"http://pubs.acs.org/paragonplus/submission/jpclcd/jpclcd_authguide.pdf")</f>
        <v>http://pubs.acs.org/paragonplus/submission/jpclcd/jpclcd_authguide.pdf</v>
      </c>
      <c r="S162" t="str">
        <f ca="1">IFERROR(__xludf.DUMMYFUNCTION("""COMPUTED_VALUE"""),"Not specified")</f>
        <v>Not specified</v>
      </c>
      <c r="T162" t="str">
        <f ca="1">IFERROR(__xludf.DUMMYFUNCTION("""COMPUTED_VALUE"""),"Not specified")</f>
        <v>Not specified</v>
      </c>
      <c r="U162" t="str">
        <f ca="1">IFERROR(__xludf.DUMMYFUNCTION("""COMPUTED_VALUE"""),"Not specified")</f>
        <v>Not specified</v>
      </c>
      <c r="V162" t="str">
        <f ca="1">IFERROR(__xludf.DUMMYFUNCTION("""COMPUTED_VALUE"""),"Not specified")</f>
        <v>Not specified</v>
      </c>
      <c r="W162" t="str">
        <f ca="1">IFERROR(__xludf.DUMMYFUNCTION("""COMPUTED_VALUE"""),"Not specified")</f>
        <v>Not specified</v>
      </c>
      <c r="X162" t="str">
        <f ca="1">IFERROR(__xludf.DUMMYFUNCTION("""COMPUTED_VALUE"""),"Conditional")</f>
        <v>Conditional</v>
      </c>
      <c r="Y162" t="str">
        <f ca="1">IFERROR(__xludf.DUMMYFUNCTION("""COMPUTED_VALUE"""),"Not specified")</f>
        <v>Not specified</v>
      </c>
      <c r="Z162" t="str">
        <f ca="1">IFERROR(__xludf.DUMMYFUNCTION("""COMPUTED_VALUE"""),"Not specified")</f>
        <v>Not specified</v>
      </c>
      <c r="AA162" t="str">
        <f ca="1">IFERROR(__xludf.DUMMYFUNCTION("""COMPUTED_VALUE"""),"""If the reviewer wishes to disclose his/her identity to
 the manuscript authors, the editor should be consulted, and the decision to disclose such
 information to authors is the sole discretion of the editor.""")</f>
        <v>"If the reviewer wishes to disclose his/her identity to
 the manuscript authors, the editor should be consulted, and the decision to disclose such
 information to authors is the sole discretion of the editor."</v>
      </c>
      <c r="AB162" t="str">
        <f ca="1">IFERROR(__xludf.DUMMYFUNCTION("""COMPUTED_VALUE"""),"")</f>
        <v/>
      </c>
      <c r="AC162" t="str">
        <f ca="1">IFERROR(__xludf.DUMMYFUNCTION("""COMPUTED_VALUE"""),"")</f>
        <v/>
      </c>
      <c r="AD162" t="str">
        <f ca="1">IFERROR(__xludf.DUMMYFUNCTION("""COMPUTED_VALUE"""),"Unsure")</f>
        <v>Unsure</v>
      </c>
      <c r="AE162" t="str">
        <f ca="1">IFERROR(__xludf.DUMMYFUNCTION("""COMPUTED_VALUE"""),"Unsure")</f>
        <v>Unsure</v>
      </c>
      <c r="AF162" t="str">
        <f ca="1">IFERROR(__xludf.DUMMYFUNCTION("""COMPUTED_VALUE"""),"Unsure")</f>
        <v>Unsure</v>
      </c>
      <c r="AG162" s="93" t="str">
        <f ca="1">IFERROR(__xludf.DUMMYFUNCTION("""COMPUTED_VALUE"""),"http://pubs.acs.org/paragonplus/submission/jpclcd/jpclcd_authguide.pdf")</f>
        <v>http://pubs.acs.org/paragonplus/submission/jpclcd/jpclcd_authguide.pdf</v>
      </c>
      <c r="AH162" t="str">
        <f ca="1">IFERROR(__xludf.DUMMYFUNCTION("""COMPUTED_VALUE"""),"First submission only")</f>
        <v>First submission only</v>
      </c>
      <c r="AI162" t="str">
        <f ca="1">IFERROR(__xludf.DUMMYFUNCTION("""COMPUTED_VALUE"""),"JPC Letters authors are allowed to deposit an initial draft of their manuscript in a preprint service such as ChemRxiv, arXiv, bioRxiv, or the applicable repository for their discipline prior to submission. Please note any use of a preprint server in the "&amp;"Cover Letter and, as appropriate, state how the manuscript has been adjusted/updated between deposition and submission. The use of a preprint service will not bias reviewing/acceptance of the paper in JPC Letters. Upon publication, authors are advised to "&amp;"add a link from the preprint to the published paper via the Digital Object Identifier (DOI). Redundant publication, such as the use of a repository for published versions of papers, is subject to the Journal Publication Agreement and generally requires co"&amp;"pyright permission.")</f>
        <v>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v>
      </c>
      <c r="AJ162" t="str">
        <f ca="1">IFERROR(__xludf.DUMMYFUNCTION("""COMPUTED_VALUE"""),"Unsure")</f>
        <v>Unsure</v>
      </c>
      <c r="AK162" t="str">
        <f ca="1">IFERROR(__xludf.DUMMYFUNCTION("""COMPUTED_VALUE"""),"Unsure")</f>
        <v>Unsure</v>
      </c>
      <c r="AL162" t="str">
        <f ca="1">IFERROR(__xludf.DUMMYFUNCTION("""COMPUTED_VALUE"""),"")</f>
        <v/>
      </c>
      <c r="AM162" t="str">
        <f ca="1">IFERROR(__xludf.DUMMYFUNCTION("""COMPUTED_VALUE"""),"")</f>
        <v/>
      </c>
      <c r="AN162" t="str">
        <f ca="1">IFERROR(__xludf.DUMMYFUNCTION("""COMPUTED_VALUE"""),"")</f>
        <v/>
      </c>
      <c r="AO162" t="str">
        <f ca="1">IFERROR(__xludf.DUMMYFUNCTION("""COMPUTED_VALUE"""),"")</f>
        <v/>
      </c>
      <c r="AP162" t="str">
        <f ca="1">IFERROR(__xludf.DUMMYFUNCTION("""COMPUTED_VALUE"""),"")</f>
        <v/>
      </c>
      <c r="AQ162" s="442" t="str">
        <f ca="1">IFERROR(__xludf.DUMMYFUNCTION("""COMPUTED_VALUE"""),"")</f>
        <v/>
      </c>
      <c r="AR162" t="str">
        <f ca="1">IFERROR(__xludf.DUMMYFUNCTION("""COMPUTED_VALUE"""),"")</f>
        <v/>
      </c>
    </row>
    <row r="163" spans="1:44" ht="13">
      <c r="A163" t="str">
        <f ca="1">IFERROR(__xludf.DUMMYFUNCTION("""COMPUTED_VALUE"""),"JKP")</f>
        <v>JKP</v>
      </c>
      <c r="B163" s="41">
        <f ca="1">IFERROR(__xludf.DUMMYFUNCTION("""COMPUTED_VALUE"""),43473)</f>
        <v>43473</v>
      </c>
      <c r="C163" t="str">
        <f ca="1">IFERROR(__xludf.DUMMYFUNCTION("""COMPUTED_VALUE"""),"TRH")</f>
        <v>TRH</v>
      </c>
      <c r="D163" s="28">
        <f ca="1">IFERROR(__xludf.DUMMYFUNCTION("""COMPUTED_VALUE"""),43576)</f>
        <v>43576</v>
      </c>
      <c r="E163" t="str">
        <f ca="1">IFERROR(__xludf.DUMMYFUNCTION("""COMPUTED_VALUE"""),"JP")</f>
        <v>JP</v>
      </c>
      <c r="F163" s="28">
        <f ca="1">IFERROR(__xludf.DUMMYFUNCTION("""COMPUTED_VALUE"""),43581)</f>
        <v>43581</v>
      </c>
      <c r="G163" t="str">
        <f ca="1">IFERROR(__xludf.DUMMYFUNCTION("""COMPUTED_VALUE"""),"")</f>
        <v/>
      </c>
      <c r="H163" t="str">
        <f ca="1">IFERROR(__xludf.DUMMYFUNCTION("""COMPUTED_VALUE"""),"1474-547X")</f>
        <v>1474-547X</v>
      </c>
      <c r="I163" t="str">
        <f ca="1">IFERROR(__xludf.DUMMYFUNCTION("""COMPUTED_VALUE"""),"The Lancet")</f>
        <v>The Lancet</v>
      </c>
      <c r="J163" t="str">
        <f ca="1">IFERROR(__xludf.DUMMYFUNCTION("""COMPUTED_VALUE"""),"Health &amp; Medical Sciences")</f>
        <v>Health &amp; Medical Sciences</v>
      </c>
      <c r="K163" t="str">
        <f ca="1">IFERROR(__xludf.DUMMYFUNCTION("""COMPUTED_VALUE"""),"Elsevier")</f>
        <v>Elsevier</v>
      </c>
      <c r="L163" t="str">
        <f ca="1">IFERROR(__xludf.DUMMYFUNCTION("""COMPUTED_VALUE"""),"Unsure")</f>
        <v>Unsure</v>
      </c>
      <c r="M163" s="93" t="str">
        <f ca="1">IFERROR(__xludf.DUMMYFUNCTION("""COMPUTED_VALUE"""),"https://www.thelancet.com/pb/assets/raw/Lancet/authors/lancet-information-for-authors.pdf")</f>
        <v>https://www.thelancet.com/pb/assets/raw/Lancet/authors/lancet-information-for-authors.pdf</v>
      </c>
      <c r="N163" t="str">
        <f ca="1">IFERROR(__xludf.DUMMYFUNCTION("""COMPUTED_VALUE"""),"")</f>
        <v/>
      </c>
      <c r="O163" t="str">
        <f ca="1">IFERROR(__xludf.DUMMYFUNCTION("""COMPUTED_VALUE"""),"")</f>
        <v/>
      </c>
      <c r="P163" t="str">
        <f ca="1">IFERROR(__xludf.DUMMYFUNCTION("""COMPUTED_VALUE"""),"Unsure")</f>
        <v>Unsure</v>
      </c>
      <c r="Q163" t="str">
        <f ca="1">IFERROR(__xludf.DUMMYFUNCTION("""COMPUTED_VALUE"""),"Internal: ""If your paper is rejected by The Lancet, we might judge it suitable to pass to other editors in the Lancet-group for consideration or to editors of other relevant journals within Elsevier’s portfolio""")</f>
        <v>Internal: "If your paper is rejected by The Lancet, we might judge it suitable to pass to other editors in the Lancet-group for consideration or to editors of other relevant journals within Elsevier’s portfolio"</v>
      </c>
      <c r="R163" s="93" t="str">
        <f ca="1">IFERROR(__xludf.DUMMYFUNCTION("""COMPUTED_VALUE"""),"https://www.thelancet.com/pb/assets/raw/Lancet/authors/lancet-information-for-authors.pdf")</f>
        <v>https://www.thelancet.com/pb/assets/raw/Lancet/authors/lancet-information-for-authors.pdf</v>
      </c>
      <c r="S163" t="str">
        <f ca="1">IFERROR(__xludf.DUMMYFUNCTION("""COMPUTED_VALUE"""),"Not specified")</f>
        <v>Not specified</v>
      </c>
      <c r="T163" t="str">
        <f ca="1">IFERROR(__xludf.DUMMYFUNCTION("""COMPUTED_VALUE"""),"Not specified")</f>
        <v>Not specified</v>
      </c>
      <c r="U163" t="str">
        <f ca="1">IFERROR(__xludf.DUMMYFUNCTION("""COMPUTED_VALUE"""),"Not specified")</f>
        <v>Not specified</v>
      </c>
      <c r="V163" t="str">
        <f ca="1">IFERROR(__xludf.DUMMYFUNCTION("""COMPUTED_VALUE"""),"Not specified")</f>
        <v>Not specified</v>
      </c>
      <c r="W163" t="str">
        <f ca="1">IFERROR(__xludf.DUMMYFUNCTION("""COMPUTED_VALUE"""),"Not specified")</f>
        <v>Not specified</v>
      </c>
      <c r="X163" t="str">
        <f ca="1">IFERROR(__xludf.DUMMYFUNCTION("""COMPUTED_VALUE"""),"Not specified")</f>
        <v>Not specified</v>
      </c>
      <c r="Y163" t="str">
        <f ca="1">IFERROR(__xludf.DUMMYFUNCTION("""COMPUTED_VALUE"""),"Not specified")</f>
        <v>Not specified</v>
      </c>
      <c r="Z163" t="str">
        <f ca="1">IFERROR(__xludf.DUMMYFUNCTION("""COMPUTED_VALUE"""),"Not specified")</f>
        <v>Not specified</v>
      </c>
      <c r="AA163" t="str">
        <f ca="1">IFERROR(__xludf.DUMMYFUNCTION("""COMPUTED_VALUE"""),"")</f>
        <v/>
      </c>
      <c r="AB163" t="str">
        <f ca="1">IFERROR(__xludf.DUMMYFUNCTION("""COMPUTED_VALUE"""),"")</f>
        <v/>
      </c>
      <c r="AC163" t="str">
        <f ca="1">IFERROR(__xludf.DUMMYFUNCTION("""COMPUTED_VALUE"""),"")</f>
        <v/>
      </c>
      <c r="AD163" t="str">
        <f ca="1">IFERROR(__xludf.DUMMYFUNCTION("""COMPUTED_VALUE"""),"Unsure")</f>
        <v>Unsure</v>
      </c>
      <c r="AE163" t="str">
        <f ca="1">IFERROR(__xludf.DUMMYFUNCTION("""COMPUTED_VALUE"""),"Unsure")</f>
        <v>Unsure</v>
      </c>
      <c r="AF163" t="str">
        <f ca="1">IFERROR(__xludf.DUMMYFUNCTION("""COMPUTED_VALUE"""),"Unsure")</f>
        <v>Unsure</v>
      </c>
      <c r="AG163" t="str">
        <f ca="1">IFERROR(__xludf.DUMMYFUNCTION("""COMPUTED_VALUE"""),"https://els-jbs-prod-cdn.literatumonline.com/pb/assets/raw/Lancet/authors/tl-info-for-authors-1541596038107.pdf, https://www.thelancet.com/preprints")</f>
        <v>https://els-jbs-prod-cdn.literatumonline.com/pb/assets/raw/Lancet/authors/tl-info-for-authors-1541596038107.pdf, https://www.thelancet.com/preprints</v>
      </c>
      <c r="AH163" t="str">
        <f ca="1">IFERROR(__xludf.DUMMYFUNCTION("""COMPUTED_VALUE"""),"Unsure")</f>
        <v>Unsure</v>
      </c>
      <c r="AI163" t="str">
        <f ca="1">IFERROR(__xludf.DUMMYFUNCTION("""COMPUTED_VALUE"""),"Presentation of data at a scientific meeting, as a poster, abstract, orally, on a CD, or as an abstract on the web, or on a preprint server does not conflict with submission to the Lancet journals.")</f>
        <v>Presentation of data at a scientific meeting, as a poster, abstract, orally, on a CD, or as an abstract on the web, or on a preprint server does not conflict with submission to the Lancet journals.</v>
      </c>
      <c r="AJ163" t="str">
        <f ca="1">IFERROR(__xludf.DUMMYFUNCTION("""COMPUTED_VALUE"""),"Not specified")</f>
        <v>Not specified</v>
      </c>
      <c r="AK163" t="str">
        <f ca="1">IFERROR(__xludf.DUMMYFUNCTION("""COMPUTED_VALUE"""),"Unsure")</f>
        <v>Unsure</v>
      </c>
      <c r="AL163" t="str">
        <f ca="1">IFERROR(__xludf.DUMMYFUNCTION("""COMPUTED_VALUE"""),"The Lancet journals operate an embargo system, whereby journalists are given access to papers and press releases ahead of publication, allowing them a protected window to develop their stories. We believe that this window can help encourage balanced and a"&amp;"ccurate coverage of peer-reviewed scientific and medical research to inform public debate. Coverage that results from pre-publication communication can impact media interest at the time of publication and our ability to support responsible journalism. Ple"&amp;"ase contact The Lancet press office (pressoffice@lancet.com) if you have any questions.                ")</f>
        <v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v>
      </c>
      <c r="AM163" t="str">
        <f ca="1">IFERROR(__xludf.DUMMYFUNCTION("""COMPUTED_VALUE"""),"")</f>
        <v/>
      </c>
      <c r="AN163" t="str">
        <f ca="1">IFERROR(__xludf.DUMMYFUNCTION("""COMPUTED_VALUE"""),"")</f>
        <v/>
      </c>
      <c r="AO163" t="str">
        <f ca="1">IFERROR(__xludf.DUMMYFUNCTION("""COMPUTED_VALUE"""),"")</f>
        <v/>
      </c>
      <c r="AP163" t="str">
        <f ca="1">IFERROR(__xludf.DUMMYFUNCTION("""COMPUTED_VALUE"""),"")</f>
        <v/>
      </c>
      <c r="AQ163" s="442" t="str">
        <f ca="1">IFERROR(__xludf.DUMMYFUNCTION("""COMPUTED_VALUE"""),"")</f>
        <v/>
      </c>
      <c r="AR163" t="str">
        <f ca="1">IFERROR(__xludf.DUMMYFUNCTION("""COMPUTED_VALUE"""),"")</f>
        <v/>
      </c>
    </row>
    <row r="164" spans="1:44" ht="13">
      <c r="A164" t="str">
        <f ca="1">IFERROR(__xludf.DUMMYFUNCTION("""COMPUTED_VALUE"""),"SR")</f>
        <v>SR</v>
      </c>
      <c r="B164" s="41">
        <f ca="1">IFERROR(__xludf.DUMMYFUNCTION("""COMPUTED_VALUE"""),43444)</f>
        <v>43444</v>
      </c>
      <c r="C164" t="str">
        <f ca="1">IFERROR(__xludf.DUMMYFUNCTION("""COMPUTED_VALUE"""),"TRH")</f>
        <v>TRH</v>
      </c>
      <c r="D164" s="28">
        <f ca="1">IFERROR(__xludf.DUMMYFUNCTION("""COMPUTED_VALUE"""),43575)</f>
        <v>43575</v>
      </c>
      <c r="E164" t="str">
        <f ca="1">IFERROR(__xludf.DUMMYFUNCTION("""COMPUTED_VALUE"""),"JP")</f>
        <v>JP</v>
      </c>
      <c r="F164" s="28">
        <f ca="1">IFERROR(__xludf.DUMMYFUNCTION("""COMPUTED_VALUE"""),43581)</f>
        <v>43581</v>
      </c>
      <c r="G164" t="str">
        <f ca="1">IFERROR(__xludf.DUMMYFUNCTION("""COMPUTED_VALUE"""),"Copied pr policy link into transfer link")</f>
        <v>Copied pr policy link into transfer link</v>
      </c>
      <c r="H164" t="str">
        <f ca="1">IFERROR(__xludf.DUMMYFUNCTION("""COMPUTED_VALUE"""),"1474-4422")</f>
        <v>1474-4422</v>
      </c>
      <c r="I164" t="str">
        <f ca="1">IFERROR(__xludf.DUMMYFUNCTION("""COMPUTED_VALUE"""),"The Lancet Neurology")</f>
        <v>The Lancet Neurology</v>
      </c>
      <c r="J164" t="str">
        <f ca="1">IFERROR(__xludf.DUMMYFUNCTION("""COMPUTED_VALUE"""),"")</f>
        <v/>
      </c>
      <c r="K164" t="str">
        <f ca="1">IFERROR(__xludf.DUMMYFUNCTION("""COMPUTED_VALUE"""),"Elsevier")</f>
        <v>Elsevier</v>
      </c>
      <c r="L164" t="str">
        <f ca="1">IFERROR(__xludf.DUMMYFUNCTION("""COMPUTED_VALUE"""),"Unsure")</f>
        <v>Unsure</v>
      </c>
      <c r="M164" s="93" t="str">
        <f ca="1">IFERROR(__xludf.DUMMYFUNCTION("""COMPUTED_VALUE"""),"https://els-jbs-prod-cdn.literatumonline.com/pb/assets/raw/Lancet/authors/tln-info-for-authors-1541596047120.pdf")</f>
        <v>https://els-jbs-prod-cdn.literatumonline.com/pb/assets/raw/Lancet/authors/tln-info-for-authors-1541596047120.pdf</v>
      </c>
      <c r="N164" t="str">
        <f ca="1">IFERROR(__xludf.DUMMYFUNCTION("""COMPUTED_VALUE"""),"")</f>
        <v/>
      </c>
      <c r="O164" t="str">
        <f ca="1">IFERROR(__xludf.DUMMYFUNCTION("""COMPUTED_VALUE"""),"")</f>
        <v/>
      </c>
      <c r="P164" t="str">
        <f ca="1">IFERROR(__xludf.DUMMYFUNCTION("""COMPUTED_VALUE"""),"Unsure")</f>
        <v>Unsure</v>
      </c>
      <c r="Q164" t="str">
        <f ca="1">IFERROR(__xludf.DUMMYFUNCTION("""COMPUTED_VALUE"""),"If your paper is rejected by The Lancet Neurology, we might judge it suitable to pass to other editors in the Lancet-group for consideration or to editors of other relevant journals within Elsevier’s portfolio")</f>
        <v>If your paper is rejected by The Lancet Neurology, we might judge it suitable to pass to other editors in the Lancet-group for consideration or to editors of other relevant journals within Elsevier’s portfolio</v>
      </c>
      <c r="R164" s="93" t="str">
        <f ca="1">IFERROR(__xludf.DUMMYFUNCTION("""COMPUTED_VALUE"""),"https://els-jbs-prod-cdn.literatumonline.com/pb/assets/raw/Lancet/authors/tln-info-for-authors-1541596047120.pdf")</f>
        <v>https://els-jbs-prod-cdn.literatumonline.com/pb/assets/raw/Lancet/authors/tln-info-for-authors-1541596047120.pdf</v>
      </c>
      <c r="S164" t="str">
        <f ca="1">IFERROR(__xludf.DUMMYFUNCTION("""COMPUTED_VALUE"""),"Not specified")</f>
        <v>Not specified</v>
      </c>
      <c r="T164" t="str">
        <f ca="1">IFERROR(__xludf.DUMMYFUNCTION("""COMPUTED_VALUE"""),"Not specified")</f>
        <v>Not specified</v>
      </c>
      <c r="U164" t="str">
        <f ca="1">IFERROR(__xludf.DUMMYFUNCTION("""COMPUTED_VALUE"""),"Not specified")</f>
        <v>Not specified</v>
      </c>
      <c r="V164" t="str">
        <f ca="1">IFERROR(__xludf.DUMMYFUNCTION("""COMPUTED_VALUE"""),"Not specified")</f>
        <v>Not specified</v>
      </c>
      <c r="W164" t="str">
        <f ca="1">IFERROR(__xludf.DUMMYFUNCTION("""COMPUTED_VALUE"""),"Not specified")</f>
        <v>Not specified</v>
      </c>
      <c r="X164" t="str">
        <f ca="1">IFERROR(__xludf.DUMMYFUNCTION("""COMPUTED_VALUE"""),"Not specified")</f>
        <v>Not specified</v>
      </c>
      <c r="Y164" t="str">
        <f ca="1">IFERROR(__xludf.DUMMYFUNCTION("""COMPUTED_VALUE"""),"Not specified")</f>
        <v>Not specified</v>
      </c>
      <c r="Z164" t="str">
        <f ca="1">IFERROR(__xludf.DUMMYFUNCTION("""COMPUTED_VALUE"""),"Not specified")</f>
        <v>Not specified</v>
      </c>
      <c r="AA164" t="str">
        <f ca="1">IFERROR(__xludf.DUMMYFUNCTION("""COMPUTED_VALUE"""),"")</f>
        <v/>
      </c>
      <c r="AB164" t="str">
        <f ca="1">IFERROR(__xludf.DUMMYFUNCTION("""COMPUTED_VALUE"""),"")</f>
        <v/>
      </c>
      <c r="AC164" t="str">
        <f ca="1">IFERROR(__xludf.DUMMYFUNCTION("""COMPUTED_VALUE"""),"")</f>
        <v/>
      </c>
      <c r="AD164" t="str">
        <f ca="1">IFERROR(__xludf.DUMMYFUNCTION("""COMPUTED_VALUE"""),"Unsure")</f>
        <v>Unsure</v>
      </c>
      <c r="AE164" t="str">
        <f ca="1">IFERROR(__xludf.DUMMYFUNCTION("""COMPUTED_VALUE"""),"Unsure")</f>
        <v>Unsure</v>
      </c>
      <c r="AF164" t="str">
        <f ca="1">IFERROR(__xludf.DUMMYFUNCTION("""COMPUTED_VALUE"""),"Unsure")</f>
        <v>Unsure</v>
      </c>
      <c r="AG164" s="93" t="str">
        <f ca="1">IFERROR(__xludf.DUMMYFUNCTION("""COMPUTED_VALUE"""),"https://els-jbs-prod-cdn.literatumonline.com/pb/assets/raw/Lancet/authors/tln-info-for-authors-1541596047120.pdf")</f>
        <v>https://els-jbs-prod-cdn.literatumonline.com/pb/assets/raw/Lancet/authors/tln-info-for-authors-1541596047120.pdf</v>
      </c>
      <c r="AH164" t="str">
        <f ca="1">IFERROR(__xludf.DUMMYFUNCTION("""COMPUTED_VALUE"""),"Unsure")</f>
        <v>Unsure</v>
      </c>
      <c r="AI164" t="str">
        <f ca="1">IFERROR(__xludf.DUMMYFUNCTION("""COMPUTED_VALUE"""),"Presentation of data at a scientific meeting, as a poster, abstract, orally, on a CD, or as an abstract on the web, or on a preprint server does not conflict with submission to the Lancet journals. https://els-jbs-prod-cdn.literatumonline.com/pb/assets/ra"&amp;"w/Lancet/authors/tln-info-for-authors-1541596047120.pdf")</f>
        <v>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v>
      </c>
      <c r="AJ164" t="str">
        <f ca="1">IFERROR(__xludf.DUMMYFUNCTION("""COMPUTED_VALUE"""),"Not specified")</f>
        <v>Not specified</v>
      </c>
      <c r="AK164" t="str">
        <f ca="1">IFERROR(__xludf.DUMMYFUNCTION("""COMPUTED_VALUE"""),"Unsure")</f>
        <v>Unsure</v>
      </c>
      <c r="AL164" t="str">
        <f ca="1">IFERROR(__xludf.DUMMYFUNCTION("""COMPUTED_VALUE"""),"The Lancet journals operate an embargo system, whereby journalists are given access to papers and press releases ahead of publication, allowing them a protected window to develop their stories. We believe that this window  an help encourage balanced and a"&amp;"ccurate coverage of peer-reviewed scientific and medical research to inform public debate. As such, we ask that authors and their institutions refrain from actively seeking media attention for articles that have been submitted to The Lancet Neurology or t"&amp;"hat are available as a preprint. The important steps of thorough peer review and experienced editorial scrutiny and guidance, together with putting research findings into a wider context and highlighting implications for clinical practice, will make the f"&amp;"inal published paper in The Lancet Neurology very different to the submitted or preprint version. Coverage that results from pre-publication communication can impact media interest at the time of publication and our ability to support responsible journali"&amp;"sm ")</f>
        <v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v>
      </c>
      <c r="AM164" t="str">
        <f ca="1">IFERROR(__xludf.DUMMYFUNCTION("""COMPUTED_VALUE"""),"")</f>
        <v/>
      </c>
      <c r="AN164" t="str">
        <f ca="1">IFERROR(__xludf.DUMMYFUNCTION("""COMPUTED_VALUE"""),"")</f>
        <v/>
      </c>
      <c r="AO164" t="str">
        <f ca="1">IFERROR(__xludf.DUMMYFUNCTION("""COMPUTED_VALUE"""),"")</f>
        <v/>
      </c>
      <c r="AP164" t="str">
        <f ca="1">IFERROR(__xludf.DUMMYFUNCTION("""COMPUTED_VALUE"""),"")</f>
        <v/>
      </c>
      <c r="AQ164" t="str">
        <f ca="1">IFERROR(__xludf.DUMMYFUNCTION("""COMPUTED_VALUE"""),"")</f>
        <v/>
      </c>
      <c r="AR164" t="str">
        <f ca="1">IFERROR(__xludf.DUMMYFUNCTION("""COMPUTED_VALUE"""),"")</f>
        <v/>
      </c>
    </row>
    <row r="165" spans="1:44" ht="13">
      <c r="A165" t="str">
        <f ca="1">IFERROR(__xludf.DUMMYFUNCTION("""COMPUTED_VALUE"""),"SR")</f>
        <v>SR</v>
      </c>
      <c r="B165" s="41">
        <f ca="1">IFERROR(__xludf.DUMMYFUNCTION("""COMPUTED_VALUE"""),43444)</f>
        <v>43444</v>
      </c>
      <c r="C165" t="str">
        <f ca="1">IFERROR(__xludf.DUMMYFUNCTION("""COMPUTED_VALUE"""),"JP")</f>
        <v>JP</v>
      </c>
      <c r="D165" s="28">
        <f ca="1">IFERROR(__xludf.DUMMYFUNCTION("""COMPUTED_VALUE"""),43572)</f>
        <v>43572</v>
      </c>
      <c r="E165" t="str">
        <f ca="1">IFERROR(__xludf.DUMMYFUNCTION("""COMPUTED_VALUE"""),"TRH")</f>
        <v>TRH</v>
      </c>
      <c r="F165" s="28">
        <f ca="1">IFERROR(__xludf.DUMMYFUNCTION("""COMPUTED_VALUE"""),43581)</f>
        <v>43581</v>
      </c>
      <c r="G165" t="str">
        <f ca="1">IFERROR(__xludf.DUMMYFUNCTION("""COMPUTED_VALUE"""),"")</f>
        <v/>
      </c>
      <c r="H165" t="str">
        <f ca="1">IFERROR(__xludf.DUMMYFUNCTION("""COMPUTED_VALUE"""),"1470-2045")</f>
        <v>1470-2045</v>
      </c>
      <c r="I165" t="str">
        <f ca="1">IFERROR(__xludf.DUMMYFUNCTION("""COMPUTED_VALUE"""),"The Lancet Oncology")</f>
        <v>The Lancet Oncology</v>
      </c>
      <c r="J165" t="str">
        <f ca="1">IFERROR(__xludf.DUMMYFUNCTION("""COMPUTED_VALUE"""),"Health &amp; Medical Sciences")</f>
        <v>Health &amp; Medical Sciences</v>
      </c>
      <c r="K165" t="str">
        <f ca="1">IFERROR(__xludf.DUMMYFUNCTION("""COMPUTED_VALUE"""),"Elsevier")</f>
        <v>Elsevier</v>
      </c>
      <c r="L165" t="str">
        <f ca="1">IFERROR(__xludf.DUMMYFUNCTION("""COMPUTED_VALUE"""),"Unsure")</f>
        <v>Unsure</v>
      </c>
      <c r="M165" s="93" t="str">
        <f ca="1">IFERROR(__xludf.DUMMYFUNCTION("""COMPUTED_VALUE"""),"https://els-jbs-prod-cdn.literatumonline.com/pb/assets/raw/Lancet/authors/tlo-info-for-authors-1541596062097.pdf")</f>
        <v>https://els-jbs-prod-cdn.literatumonline.com/pb/assets/raw/Lancet/authors/tlo-info-for-authors-1541596062097.pdf</v>
      </c>
      <c r="N165" t="str">
        <f ca="1">IFERROR(__xludf.DUMMYFUNCTION("""COMPUTED_VALUE"""),"")</f>
        <v/>
      </c>
      <c r="O165" t="str">
        <f ca="1">IFERROR(__xludf.DUMMYFUNCTION("""COMPUTED_VALUE"""),"")</f>
        <v/>
      </c>
      <c r="P165" t="str">
        <f ca="1">IFERROR(__xludf.DUMMYFUNCTION("""COMPUTED_VALUE"""),"Unsure")</f>
        <v>Unsure</v>
      </c>
      <c r="Q165" t="str">
        <f ca="1">IFERROR(__xludf.DUMMYFUNCTION("""COMPUTED_VALUE"""),"If your paper is rejected by The Lancet Oncology, we might judge it suitable to pass it on to other editors in the Lancet-group for consideration, or to editors of other relevant journals within Elsevier's portfolio")</f>
        <v>If your paper is rejected by The Lancet Oncology, we might judge it suitable to pass it on to other editors in the Lancet-group for consideration, or to editors of other relevant journals within Elsevier's portfolio</v>
      </c>
      <c r="R165" s="93" t="str">
        <f ca="1">IFERROR(__xludf.DUMMYFUNCTION("""COMPUTED_VALUE"""),"https://els-jbs-prod-cdn.literatumonline.com/pb/assets/raw/Lancet/authors/tlo-info-for-authors-1541596062097.pdf")</f>
        <v>https://els-jbs-prod-cdn.literatumonline.com/pb/assets/raw/Lancet/authors/tlo-info-for-authors-1541596062097.pdf</v>
      </c>
      <c r="S165" t="str">
        <f ca="1">IFERROR(__xludf.DUMMYFUNCTION("""COMPUTED_VALUE"""),"Not specified")</f>
        <v>Not specified</v>
      </c>
      <c r="T165" t="str">
        <f ca="1">IFERROR(__xludf.DUMMYFUNCTION("""COMPUTED_VALUE"""),"Not specified")</f>
        <v>Not specified</v>
      </c>
      <c r="U165" t="str">
        <f ca="1">IFERROR(__xludf.DUMMYFUNCTION("""COMPUTED_VALUE"""),"Not specified")</f>
        <v>Not specified</v>
      </c>
      <c r="V165" t="str">
        <f ca="1">IFERROR(__xludf.DUMMYFUNCTION("""COMPUTED_VALUE"""),"Not specified")</f>
        <v>Not specified</v>
      </c>
      <c r="W165" t="str">
        <f ca="1">IFERROR(__xludf.DUMMYFUNCTION("""COMPUTED_VALUE"""),"Not specified")</f>
        <v>Not specified</v>
      </c>
      <c r="X165" t="str">
        <f ca="1">IFERROR(__xludf.DUMMYFUNCTION("""COMPUTED_VALUE"""),"Not specified")</f>
        <v>Not specified</v>
      </c>
      <c r="Y165" t="str">
        <f ca="1">IFERROR(__xludf.DUMMYFUNCTION("""COMPUTED_VALUE"""),"Not specified")</f>
        <v>Not specified</v>
      </c>
      <c r="Z165" t="str">
        <f ca="1">IFERROR(__xludf.DUMMYFUNCTION("""COMPUTED_VALUE"""),"Not specified")</f>
        <v>Not specified</v>
      </c>
      <c r="AA165" t="str">
        <f ca="1">IFERROR(__xludf.DUMMYFUNCTION("""COMPUTED_VALUE"""),"")</f>
        <v/>
      </c>
      <c r="AB165" t="str">
        <f ca="1">IFERROR(__xludf.DUMMYFUNCTION("""COMPUTED_VALUE"""),"")</f>
        <v/>
      </c>
      <c r="AC165" t="str">
        <f ca="1">IFERROR(__xludf.DUMMYFUNCTION("""COMPUTED_VALUE"""),"")</f>
        <v/>
      </c>
      <c r="AD165" t="str">
        <f ca="1">IFERROR(__xludf.DUMMYFUNCTION("""COMPUTED_VALUE"""),"Unsure")</f>
        <v>Unsure</v>
      </c>
      <c r="AE165" t="str">
        <f ca="1">IFERROR(__xludf.DUMMYFUNCTION("""COMPUTED_VALUE"""),"Unsure")</f>
        <v>Unsure</v>
      </c>
      <c r="AF165" t="str">
        <f ca="1">IFERROR(__xludf.DUMMYFUNCTION("""COMPUTED_VALUE"""),"Unsure")</f>
        <v>Unsure</v>
      </c>
      <c r="AG165" t="str">
        <f ca="1">IFERROR(__xludf.DUMMYFUNCTION("""COMPUTED_VALUE"""),"https://els-jbs-prod-cdn.literatumonline.com/pb/assets/raw/Lancet/authors/tlo-info-for-authors-1553790033677.pdf, https://www.thelancet.com/preprints")</f>
        <v>https://els-jbs-prod-cdn.literatumonline.com/pb/assets/raw/Lancet/authors/tlo-info-for-authors-1553790033677.pdf, https://www.thelancet.com/preprints</v>
      </c>
      <c r="AH165" t="str">
        <f ca="1">IFERROR(__xludf.DUMMYFUNCTION("""COMPUTED_VALUE"""),"First submission only")</f>
        <v>First submission only</v>
      </c>
      <c r="AI165" t="str">
        <f ca="1">IFERROR(__xludf.DUMMYFUNCTION("""COMPUTED_VALUE"""),"Presentation of data at a scientific meeting, as a poster, abstract, orally, on a CD, or as an abstract on the web, or on a preprint server does not conflict with submission to the Lancet journals. ")</f>
        <v xml:space="preserve">Presentation of data at a scientific meeting, as a poster, abstract, orally, on a CD, or as an abstract on the web, or on a preprint server does not conflict with submission to the Lancet journals. </v>
      </c>
      <c r="AJ165" t="str">
        <f ca="1">IFERROR(__xludf.DUMMYFUNCTION("""COMPUTED_VALUE"""),"Not specified")</f>
        <v>Not specified</v>
      </c>
      <c r="AK165" t="str">
        <f ca="1">IFERROR(__xludf.DUMMYFUNCTION("""COMPUTED_VALUE"""),"Unsure")</f>
        <v>Unsure</v>
      </c>
      <c r="AL165" t="str">
        <f ca="1">IFERROR(__xludf.DUMMYFUNCTION("""COMPUTED_VALUE"""),"As such, we ask that authors and their institutions refrain from actively seeking media attention for articles that have been submitted to The Lancet Oncology or that are available as a preprint. ")</f>
        <v xml:space="preserve">As such, we ask that authors and their institutions refrain from actively seeking media attention for articles that have been submitted to The Lancet Oncology or that are available as a preprint. </v>
      </c>
      <c r="AM165" t="str">
        <f ca="1">IFERROR(__xludf.DUMMYFUNCTION("""COMPUTED_VALUE"""),"")</f>
        <v/>
      </c>
      <c r="AN165" t="str">
        <f ca="1">IFERROR(__xludf.DUMMYFUNCTION("""COMPUTED_VALUE"""),"The Lancet journals operate an embargo system, whereby journalists are given access to papers and press releases ahead of publication, allowing them a protected window to develop their stories. We believe that this window can help encourage balanced and a"&amp;"ccurate coverage of peer-reviewed scientific and medical research to inform public debate. Coverage that results from pre-publication communication can impact media interest at the time of publication and our ability to support responsible journalism.")</f>
        <v>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v>
      </c>
      <c r="AO165" t="str">
        <f ca="1">IFERROR(__xludf.DUMMYFUNCTION("""COMPUTED_VALUE"""),"")</f>
        <v/>
      </c>
      <c r="AP165" t="str">
        <f ca="1">IFERROR(__xludf.DUMMYFUNCTION("""COMPUTED_VALUE"""),"The Lancet's website is not specific as to the kind of peer review system employed. However, it does offer rich information on preprints.")</f>
        <v>The Lancet's website is not specific as to the kind of peer review system employed. However, it does offer rich information on preprints.</v>
      </c>
      <c r="AQ165" t="str">
        <f ca="1">IFERROR(__xludf.DUMMYFUNCTION("""COMPUTED_VALUE"""),"20 mins")</f>
        <v>20 mins</v>
      </c>
      <c r="AR165" t="str">
        <f ca="1">IFERROR(__xludf.DUMMYFUNCTION("""COMPUTED_VALUE"""),"")</f>
        <v/>
      </c>
    </row>
    <row r="166" spans="1:44" ht="13">
      <c r="A166" t="str">
        <f ca="1">IFERROR(__xludf.DUMMYFUNCTION("""COMPUTED_VALUE"""),"SR")</f>
        <v>SR</v>
      </c>
      <c r="B166" s="41">
        <f ca="1">IFERROR(__xludf.DUMMYFUNCTION("""COMPUTED_VALUE"""),43444)</f>
        <v>43444</v>
      </c>
      <c r="C166" t="str">
        <f ca="1">IFERROR(__xludf.DUMMYFUNCTION("""COMPUTED_VALUE"""),"NP")</f>
        <v>NP</v>
      </c>
      <c r="D166" s="28">
        <f ca="1">IFERROR(__xludf.DUMMYFUNCTION("""COMPUTED_VALUE"""),43576)</f>
        <v>43576</v>
      </c>
      <c r="E166" t="str">
        <f ca="1">IFERROR(__xludf.DUMMYFUNCTION("""COMPUTED_VALUE"""),"JP")</f>
        <v>JP</v>
      </c>
      <c r="F166" s="28">
        <f ca="1">IFERROR(__xludf.DUMMYFUNCTION("""COMPUTED_VALUE"""),43581)</f>
        <v>43581</v>
      </c>
      <c r="G166" t="str">
        <f ca="1">IFERROR(__xludf.DUMMYFUNCTION("""COMPUTED_VALUE"""),"Removed form link as it goes to a general guide")</f>
        <v>Removed form link as it goes to a general guide</v>
      </c>
      <c r="H166" t="str">
        <f ca="1">IFERROR(__xludf.DUMMYFUNCTION("""COMPUTED_VALUE"""),"1540-4781")</f>
        <v>1540-4781</v>
      </c>
      <c r="I166" t="str">
        <f ca="1">IFERROR(__xludf.DUMMYFUNCTION("""COMPUTED_VALUE"""),"The Modern Language Journal")</f>
        <v>The Modern Language Journal</v>
      </c>
      <c r="J166" t="str">
        <f ca="1">IFERROR(__xludf.DUMMYFUNCTION("""COMPUTED_VALUE"""),"Humanities, Literature &amp; Arts")</f>
        <v>Humanities, Literature &amp; Arts</v>
      </c>
      <c r="K166" t="str">
        <f ca="1">IFERROR(__xludf.DUMMYFUNCTION("""COMPUTED_VALUE"""),"Wiley")</f>
        <v>Wiley</v>
      </c>
      <c r="L166" t="str">
        <f ca="1">IFERROR(__xludf.DUMMYFUNCTION("""COMPUTED_VALUE"""),"Double blind")</f>
        <v>Double blind</v>
      </c>
      <c r="M166" s="93" t="str">
        <f ca="1">IFERROR(__xludf.DUMMYFUNCTION("""COMPUTED_VALUE"""),"https://onlinelibrary.wiley.com/page/journal/15404781/homepage/forauthors.html#Manuscript                ")</f>
        <v xml:space="preserve">https://onlinelibrary.wiley.com/page/journal/15404781/homepage/forauthors.html#Manuscript                </v>
      </c>
      <c r="N166" t="str">
        <f ca="1">IFERROR(__xludf.DUMMYFUNCTION("""COMPUTED_VALUE"""),"")</f>
        <v/>
      </c>
      <c r="O166" s="93" t="str">
        <f ca="1">IFERROR(__xludf.DUMMYFUNCTION("""COMPUTED_VALUE"""),"https://authorservices.wiley.com/Reviewers/journal-reviewers/recognition-for-reviewers/index.html")</f>
        <v>https://authorservices.wiley.com/Reviewers/journal-reviewers/recognition-for-reviewers/index.html</v>
      </c>
      <c r="P166" t="str">
        <f ca="1">IFERROR(__xludf.DUMMYFUNCTION("""COMPUTED_VALUE"""),"Yes -- both Publons and ORCID")</f>
        <v>Yes -- both Publons and ORCID</v>
      </c>
      <c r="Q166" t="str">
        <f ca="1">IFERROR(__xludf.DUMMYFUNCTION("""COMPUTED_VALUE"""),"")</f>
        <v/>
      </c>
      <c r="R166" t="str">
        <f ca="1">IFERROR(__xludf.DUMMYFUNCTION("""COMPUTED_VALUE"""),"")</f>
        <v/>
      </c>
      <c r="S166" t="str">
        <f ca="1">IFERROR(__xludf.DUMMYFUNCTION("""COMPUTED_VALUE"""),"Not specified")</f>
        <v>Not specified</v>
      </c>
      <c r="T166" t="str">
        <f ca="1">IFERROR(__xludf.DUMMYFUNCTION("""COMPUTED_VALUE"""),"Not specified")</f>
        <v>Not specified</v>
      </c>
      <c r="U166" t="str">
        <f ca="1">IFERROR(__xludf.DUMMYFUNCTION("""COMPUTED_VALUE"""),"Not specified")</f>
        <v>Not specified</v>
      </c>
      <c r="V166" t="str">
        <f ca="1">IFERROR(__xludf.DUMMYFUNCTION("""COMPUTED_VALUE"""),"Not specified")</f>
        <v>Not specified</v>
      </c>
      <c r="W166" t="str">
        <f ca="1">IFERROR(__xludf.DUMMYFUNCTION("""COMPUTED_VALUE"""),"Not specified")</f>
        <v>Not specified</v>
      </c>
      <c r="X166" t="str">
        <f ca="1">IFERROR(__xludf.DUMMYFUNCTION("""COMPUTED_VALUE"""),"Not specified")</f>
        <v>Not specified</v>
      </c>
      <c r="Y166" t="str">
        <f ca="1">IFERROR(__xludf.DUMMYFUNCTION("""COMPUTED_VALUE"""),"Not specified")</f>
        <v>Not specified</v>
      </c>
      <c r="Z166" t="str">
        <f ca="1">IFERROR(__xludf.DUMMYFUNCTION("""COMPUTED_VALUE"""),"Not specified")</f>
        <v>Not specified</v>
      </c>
      <c r="AA166" t="str">
        <f ca="1">IFERROR(__xludf.DUMMYFUNCTION("""COMPUTED_VALUE"""),"Not included in Wiley's transparent peer review trial (https://authorservices.wiley.com/Reviewers/journal-reviewers/what-is-peer-review/index.html)")</f>
        <v>Not included in Wiley's transparent peer review trial (https://authorservices.wiley.com/Reviewers/journal-reviewers/what-is-peer-review/index.html)</v>
      </c>
      <c r="AB166" t="str">
        <f ca="1">IFERROR(__xludf.DUMMYFUNCTION("""COMPUTED_VALUE"""),"")</f>
        <v/>
      </c>
      <c r="AC166" t="str">
        <f ca="1">IFERROR(__xludf.DUMMYFUNCTION("""COMPUTED_VALUE"""),"")</f>
        <v/>
      </c>
      <c r="AD166" t="str">
        <f ca="1">IFERROR(__xludf.DUMMYFUNCTION("""COMPUTED_VALUE"""),"Unsure")</f>
        <v>Unsure</v>
      </c>
      <c r="AE166" t="str">
        <f ca="1">IFERROR(__xludf.DUMMYFUNCTION("""COMPUTED_VALUE"""),"Unsure")</f>
        <v>Unsure</v>
      </c>
      <c r="AF166" t="str">
        <f ca="1">IFERROR(__xludf.DUMMYFUNCTION("""COMPUTED_VALUE"""),"Unsure")</f>
        <v>Unsure</v>
      </c>
      <c r="AG166" t="str">
        <f ca="1">IFERROR(__xludf.DUMMYFUNCTION("""COMPUTED_VALUE"""),"")</f>
        <v/>
      </c>
      <c r="AH166" t="str">
        <f ca="1">IFERROR(__xludf.DUMMYFUNCTION("""COMPUTED_VALUE"""),"No preprint policy")</f>
        <v>No preprint policy</v>
      </c>
      <c r="AI166" t="str">
        <f ca="1">IFERROR(__xludf.DUMMYFUNCTION("""COMPUTED_VALUE"""),"")</f>
        <v/>
      </c>
      <c r="AJ166" t="str">
        <f ca="1">IFERROR(__xludf.DUMMYFUNCTION("""COMPUTED_VALUE"""),"Not specified")</f>
        <v>Not specified</v>
      </c>
      <c r="AK166" t="str">
        <f ca="1">IFERROR(__xludf.DUMMYFUNCTION("""COMPUTED_VALUE"""),"Unsure")</f>
        <v>Unsure</v>
      </c>
      <c r="AL166" t="str">
        <f ca="1">IFERROR(__xludf.DUMMYFUNCTION("""COMPUTED_VALUE"""),"")</f>
        <v/>
      </c>
      <c r="AM166" t="str">
        <f ca="1">IFERROR(__xludf.DUMMYFUNCTION("""COMPUTED_VALUE"""),"")</f>
        <v/>
      </c>
      <c r="AN166" t="str">
        <f ca="1">IFERROR(__xludf.DUMMYFUNCTION("""COMPUTED_VALUE"""),"")</f>
        <v/>
      </c>
      <c r="AO166" t="str">
        <f ca="1">IFERROR(__xludf.DUMMYFUNCTION("""COMPUTED_VALUE"""),"")</f>
        <v/>
      </c>
      <c r="AP166" t="str">
        <f ca="1">IFERROR(__xludf.DUMMYFUNCTION("""COMPUTED_VALUE"""),"")</f>
        <v/>
      </c>
      <c r="AQ166" t="str">
        <f ca="1">IFERROR(__xludf.DUMMYFUNCTION("""COMPUTED_VALUE"""),"")</f>
        <v/>
      </c>
      <c r="AR166" t="str">
        <f ca="1">IFERROR(__xludf.DUMMYFUNCTION("""COMPUTED_VALUE"""),"")</f>
        <v/>
      </c>
    </row>
    <row r="167" spans="1:44" ht="13">
      <c r="A167" t="str">
        <f ca="1">IFERROR(__xludf.DUMMYFUNCTION("""COMPUTED_VALUE"""),"SR")</f>
        <v>SR</v>
      </c>
      <c r="B167" s="41">
        <f ca="1">IFERROR(__xludf.DUMMYFUNCTION("""COMPUTED_VALUE"""),43444)</f>
        <v>43444</v>
      </c>
      <c r="C167" t="str">
        <f ca="1">IFERROR(__xludf.DUMMYFUNCTION("""COMPUTED_VALUE"""),"NP")</f>
        <v>NP</v>
      </c>
      <c r="D167" s="28">
        <f ca="1">IFERROR(__xludf.DUMMYFUNCTION("""COMPUTED_VALUE"""),43576)</f>
        <v>43576</v>
      </c>
      <c r="E167" t="str">
        <f ca="1">IFERROR(__xludf.DUMMYFUNCTION("""COMPUTED_VALUE"""),"JP")</f>
        <v>JP</v>
      </c>
      <c r="F167" s="28">
        <f ca="1">IFERROR(__xludf.DUMMYFUNCTION("""COMPUTED_VALUE"""),43581)</f>
        <v>43581</v>
      </c>
      <c r="G167" t="str">
        <f ca="1">IFERROR(__xludf.DUMMYFUNCTION("""COMPUTED_VALUE"""),"")</f>
        <v/>
      </c>
      <c r="H167" t="str">
        <f ca="1">IFERROR(__xludf.DUMMYFUNCTION("""COMPUTED_VALUE"""),"1533-4406")</f>
        <v>1533-4406</v>
      </c>
      <c r="I167" t="str">
        <f ca="1">IFERROR(__xludf.DUMMYFUNCTION("""COMPUTED_VALUE"""),"The New England Journal of Medicine")</f>
        <v>The New England Journal of Medicine</v>
      </c>
      <c r="J167" t="str">
        <f ca="1">IFERROR(__xludf.DUMMYFUNCTION("""COMPUTED_VALUE"""),"Health &amp; Medical Sciences")</f>
        <v>Health &amp; Medical Sciences</v>
      </c>
      <c r="K167" t="str">
        <f ca="1">IFERROR(__xludf.DUMMYFUNCTION("""COMPUTED_VALUE"""),"Massachusetts Medical Society")</f>
        <v>Massachusetts Medical Society</v>
      </c>
      <c r="L167" t="str">
        <f ca="1">IFERROR(__xludf.DUMMYFUNCTION("""COMPUTED_VALUE"""),"Single blind (inferred; reviewers see author identity to know COI)")</f>
        <v>Single blind (inferred; reviewers see author identity to know COI)</v>
      </c>
      <c r="M167" t="str">
        <f ca="1">IFERROR(__xludf.DUMMYFUNCTION("""COMPUTED_VALUE"""),"https://www.nejm.org/media-center/publication-process
https://www.nejm.org/about-nejm/editorial-policies")</f>
        <v>https://www.nejm.org/media-center/publication-process
https://www.nejm.org/about-nejm/editorial-policies</v>
      </c>
      <c r="N167" t="str">
        <f ca="1">IFERROR(__xludf.DUMMYFUNCTION("""COMPUTED_VALUE"""),"")</f>
        <v/>
      </c>
      <c r="O167" t="str">
        <f ca="1">IFERROR(__xludf.DUMMYFUNCTION("""COMPUTED_VALUE"""),"")</f>
        <v/>
      </c>
      <c r="P167" t="str">
        <f ca="1">IFERROR(__xludf.DUMMYFUNCTION("""COMPUTED_VALUE"""),"Unsure")</f>
        <v>Unsure</v>
      </c>
      <c r="Q167" t="str">
        <f ca="1">IFERROR(__xludf.DUMMYFUNCTION("""COMPUTED_VALUE"""),"")</f>
        <v/>
      </c>
      <c r="R167" t="str">
        <f ca="1">IFERROR(__xludf.DUMMYFUNCTION("""COMPUTED_VALUE"""),"")</f>
        <v/>
      </c>
      <c r="S167" t="str">
        <f ca="1">IFERROR(__xludf.DUMMYFUNCTION("""COMPUTED_VALUE"""),"Not specified")</f>
        <v>Not specified</v>
      </c>
      <c r="T167" t="str">
        <f ca="1">IFERROR(__xludf.DUMMYFUNCTION("""COMPUTED_VALUE"""),"Not specified")</f>
        <v>Not specified</v>
      </c>
      <c r="U167" t="str">
        <f ca="1">IFERROR(__xludf.DUMMYFUNCTION("""COMPUTED_VALUE"""),"Not specified")</f>
        <v>Not specified</v>
      </c>
      <c r="V167" t="str">
        <f ca="1">IFERROR(__xludf.DUMMYFUNCTION("""COMPUTED_VALUE"""),"Not specified")</f>
        <v>Not specified</v>
      </c>
      <c r="W167" t="str">
        <f ca="1">IFERROR(__xludf.DUMMYFUNCTION("""COMPUTED_VALUE"""),"Not specified")</f>
        <v>Not specified</v>
      </c>
      <c r="X167" t="str">
        <f ca="1">IFERROR(__xludf.DUMMYFUNCTION("""COMPUTED_VALUE"""),"Not specified")</f>
        <v>Not specified</v>
      </c>
      <c r="Y167" t="str">
        <f ca="1">IFERROR(__xludf.DUMMYFUNCTION("""COMPUTED_VALUE"""),"Not specified")</f>
        <v>Not specified</v>
      </c>
      <c r="Z167" t="str">
        <f ca="1">IFERROR(__xludf.DUMMYFUNCTION("""COMPUTED_VALUE"""),"Not specified")</f>
        <v>Not specified</v>
      </c>
      <c r="AA167" t="str">
        <f ca="1">IFERROR(__xludf.DUMMYFUNCTION("""COMPUTED_VALUE"""),"")</f>
        <v/>
      </c>
      <c r="AB167" t="str">
        <f ca="1">IFERROR(__xludf.DUMMYFUNCTION("""COMPUTED_VALUE"""),"")</f>
        <v/>
      </c>
      <c r="AC167" t="str">
        <f ca="1">IFERROR(__xludf.DUMMYFUNCTION("""COMPUTED_VALUE"""),"")</f>
        <v/>
      </c>
      <c r="AD167" t="str">
        <f ca="1">IFERROR(__xludf.DUMMYFUNCTION("""COMPUTED_VALUE"""),"Unsure")</f>
        <v>Unsure</v>
      </c>
      <c r="AE167" t="str">
        <f ca="1">IFERROR(__xludf.DUMMYFUNCTION("""COMPUTED_VALUE"""),"Unsure")</f>
        <v>Unsure</v>
      </c>
      <c r="AF167" t="str">
        <f ca="1">IFERROR(__xludf.DUMMYFUNCTION("""COMPUTED_VALUE"""),"Unsure")</f>
        <v>Unsure</v>
      </c>
      <c r="AG167" s="93" t="str">
        <f ca="1">IFERROR(__xludf.DUMMYFUNCTION("""COMPUTED_VALUE"""),"https://www.nejm.org/about-nejm/editorial-policies")</f>
        <v>https://www.nejm.org/about-nejm/editorial-policies</v>
      </c>
      <c r="AH167" t="str">
        <f ca="1">IFERROR(__xludf.DUMMYFUNCTION("""COMPUTED_VALUE"""),"None (preprints not allowed)")</f>
        <v>None (preprints not allowed)</v>
      </c>
      <c r="AI167" t="str">
        <f ca="1">IFERROR(__xludf.DUMMYFUNCTION("""COMPUTED_VALUE"""),"")</f>
        <v/>
      </c>
      <c r="AJ167" t="str">
        <f ca="1">IFERROR(__xludf.DUMMYFUNCTION("""COMPUTED_VALUE"""),"Not specified")</f>
        <v>Not specified</v>
      </c>
      <c r="AK167" t="str">
        <f ca="1">IFERROR(__xludf.DUMMYFUNCTION("""COMPUTED_VALUE"""),"No")</f>
        <v>No</v>
      </c>
      <c r="AL167" t="str">
        <f ca="1">IFERROR(__xludf.DUMMYFUNCTION("""COMPUTED_VALUE"""),"")</f>
        <v/>
      </c>
      <c r="AM167" t="str">
        <f ca="1">IFERROR(__xludf.DUMMYFUNCTION("""COMPUTED_VALUE"""),"")</f>
        <v/>
      </c>
      <c r="AN167" t="str">
        <f ca="1">IFERROR(__xludf.DUMMYFUNCTION("""COMPUTED_VALUE"""),"")</f>
        <v/>
      </c>
      <c r="AO167" t="str">
        <f ca="1">IFERROR(__xludf.DUMMYFUNCTION("""COMPUTED_VALUE"""),"")</f>
        <v/>
      </c>
      <c r="AP167" t="str">
        <f ca="1">IFERROR(__xludf.DUMMYFUNCTION("""COMPUTED_VALUE"""),"")</f>
        <v/>
      </c>
      <c r="AQ167" t="str">
        <f ca="1">IFERROR(__xludf.DUMMYFUNCTION("""COMPUTED_VALUE"""),"")</f>
        <v/>
      </c>
      <c r="AR167" t="str">
        <f ca="1">IFERROR(__xludf.DUMMYFUNCTION("""COMPUTED_VALUE"""),"")</f>
        <v/>
      </c>
    </row>
    <row r="168" spans="1:44" ht="13">
      <c r="A168" t="str">
        <f ca="1">IFERROR(__xludf.DUMMYFUNCTION("""COMPUTED_VALUE"""),"SR")</f>
        <v>SR</v>
      </c>
      <c r="B168" s="41">
        <f ca="1">IFERROR(__xludf.DUMMYFUNCTION("""COMPUTED_VALUE"""),43444)</f>
        <v>43444</v>
      </c>
      <c r="C168" t="str">
        <f ca="1">IFERROR(__xludf.DUMMYFUNCTION("""COMPUTED_VALUE"""),"NP")</f>
        <v>NP</v>
      </c>
      <c r="D168" s="28">
        <f ca="1">IFERROR(__xludf.DUMMYFUNCTION("""COMPUTED_VALUE"""),43576)</f>
        <v>43576</v>
      </c>
      <c r="E168" t="str">
        <f ca="1">IFERROR(__xludf.DUMMYFUNCTION("""COMPUTED_VALUE"""),"JP")</f>
        <v>JP</v>
      </c>
      <c r="F168" s="28">
        <f ca="1">IFERROR(__xludf.DUMMYFUNCTION("""COMPUTED_VALUE"""),43581)</f>
        <v>43581</v>
      </c>
      <c r="G168" t="str">
        <f ca="1">IFERROR(__xludf.DUMMYFUNCTION("""COMPUTED_VALUE"""),"")</f>
        <v/>
      </c>
      <c r="H168" t="str">
        <f ca="1">IFERROR(__xludf.DUMMYFUNCTION("""COMPUTED_VALUE"""),"1531-4650")</f>
        <v>1531-4650</v>
      </c>
      <c r="I168" t="str">
        <f ca="1">IFERROR(__xludf.DUMMYFUNCTION("""COMPUTED_VALUE"""),"The Quarterly Journal of Economics")</f>
        <v>The Quarterly Journal of Economics</v>
      </c>
      <c r="J168" t="str">
        <f ca="1">IFERROR(__xludf.DUMMYFUNCTION("""COMPUTED_VALUE"""),"Business, Economics &amp; Management")</f>
        <v>Business, Economics &amp; Management</v>
      </c>
      <c r="K168" t="str">
        <f ca="1">IFERROR(__xludf.DUMMYFUNCTION("""COMPUTED_VALUE"""),"Oxford Academic")</f>
        <v>Oxford Academic</v>
      </c>
      <c r="L168" t="str">
        <f ca="1">IFERROR(__xludf.DUMMYFUNCTION("""COMPUTED_VALUE"""),"Unsure")</f>
        <v>Unsure</v>
      </c>
      <c r="M168" s="93" t="str">
        <f ca="1">IFERROR(__xludf.DUMMYFUNCTION("""COMPUTED_VALUE"""),"https://academic.oup.com/qje/pages/Policies")</f>
        <v>https://academic.oup.com/qje/pages/Policies</v>
      </c>
      <c r="N168" t="str">
        <f ca="1">IFERROR(__xludf.DUMMYFUNCTION("""COMPUTED_VALUE"""),"")</f>
        <v/>
      </c>
      <c r="O168" t="str">
        <f ca="1">IFERROR(__xludf.DUMMYFUNCTION("""COMPUTED_VALUE"""),"")</f>
        <v/>
      </c>
      <c r="P168" t="str">
        <f ca="1">IFERROR(__xludf.DUMMYFUNCTION("""COMPUTED_VALUE"""),"Unsure")</f>
        <v>Unsure</v>
      </c>
      <c r="Q168" t="str">
        <f ca="1">IFERROR(__xludf.DUMMYFUNCTION("""COMPUTED_VALUE"""),"")</f>
        <v/>
      </c>
      <c r="R168" t="str">
        <f ca="1">IFERROR(__xludf.DUMMYFUNCTION("""COMPUTED_VALUE"""),"")</f>
        <v/>
      </c>
      <c r="S168" t="str">
        <f ca="1">IFERROR(__xludf.DUMMYFUNCTION("""COMPUTED_VALUE"""),"")</f>
        <v/>
      </c>
      <c r="T168" t="str">
        <f ca="1">IFERROR(__xludf.DUMMYFUNCTION("""COMPUTED_VALUE"""),"Not specified")</f>
        <v>Not specified</v>
      </c>
      <c r="U168" t="str">
        <f ca="1">IFERROR(__xludf.DUMMYFUNCTION("""COMPUTED_VALUE"""),"Not specified")</f>
        <v>Not specified</v>
      </c>
      <c r="V168" t="str">
        <f ca="1">IFERROR(__xludf.DUMMYFUNCTION("""COMPUTED_VALUE"""),"Not specified")</f>
        <v>Not specified</v>
      </c>
      <c r="W168" t="str">
        <f ca="1">IFERROR(__xludf.DUMMYFUNCTION("""COMPUTED_VALUE"""),"Not specified")</f>
        <v>Not specified</v>
      </c>
      <c r="X168" t="str">
        <f ca="1">IFERROR(__xludf.DUMMYFUNCTION("""COMPUTED_VALUE"""),"Not specified")</f>
        <v>Not specified</v>
      </c>
      <c r="Y168" t="str">
        <f ca="1">IFERROR(__xludf.DUMMYFUNCTION("""COMPUTED_VALUE"""),"Not specified")</f>
        <v>Not specified</v>
      </c>
      <c r="Z168" t="str">
        <f ca="1">IFERROR(__xludf.DUMMYFUNCTION("""COMPUTED_VALUE"""),"Not specified")</f>
        <v>Not specified</v>
      </c>
      <c r="AA168" t="str">
        <f ca="1">IFERROR(__xludf.DUMMYFUNCTION("""COMPUTED_VALUE"""),"")</f>
        <v/>
      </c>
      <c r="AB168" t="str">
        <f ca="1">IFERROR(__xludf.DUMMYFUNCTION("""COMPUTED_VALUE"""),"")</f>
        <v/>
      </c>
      <c r="AC168" t="str">
        <f ca="1">IFERROR(__xludf.DUMMYFUNCTION("""COMPUTED_VALUE"""),"")</f>
        <v/>
      </c>
      <c r="AD168" t="str">
        <f ca="1">IFERROR(__xludf.DUMMYFUNCTION("""COMPUTED_VALUE"""),"Unsure")</f>
        <v>Unsure</v>
      </c>
      <c r="AE168" t="str">
        <f ca="1">IFERROR(__xludf.DUMMYFUNCTION("""COMPUTED_VALUE"""),"Unsure")</f>
        <v>Unsure</v>
      </c>
      <c r="AF168" t="str">
        <f ca="1">IFERROR(__xludf.DUMMYFUNCTION("""COMPUTED_VALUE"""),"Unsure")</f>
        <v>Unsure</v>
      </c>
      <c r="AG168" s="93" t="str">
        <f ca="1">IFERROR(__xludf.DUMMYFUNCTION("""COMPUTED_VALUE"""),"https://academic.oup.com/journals/pages/access_purchase/rights_and_permissions/self_archiving_policy_f")</f>
        <v>https://academic.oup.com/journals/pages/access_purchase/rights_and_permissions/self_archiving_policy_f</v>
      </c>
      <c r="AH168" t="str">
        <f ca="1">IFERROR(__xludf.DUMMYFUNCTION("""COMPUTED_VALUE"""),"First submission only (before peer review)")</f>
        <v>First submission only (before peer review)</v>
      </c>
      <c r="AI168" t="str">
        <f ca="1">IFERROR(__xludf.DUMMYFUNCTION("""COMPUTED_VALUE"""),"")</f>
        <v/>
      </c>
      <c r="AJ168" t="str">
        <f ca="1">IFERROR(__xludf.DUMMYFUNCTION("""COMPUTED_VALUE"""),"Not specified")</f>
        <v>Not specified</v>
      </c>
      <c r="AK168" t="str">
        <f ca="1">IFERROR(__xludf.DUMMYFUNCTION("""COMPUTED_VALUE"""),"Unsure")</f>
        <v>Unsure</v>
      </c>
      <c r="AL168" t="str">
        <f ca="1">IFERROR(__xludf.DUMMYFUNCTION("""COMPUTED_VALUE"""),"")</f>
        <v/>
      </c>
      <c r="AM168" t="str">
        <f ca="1">IFERROR(__xludf.DUMMYFUNCTION("""COMPUTED_VALUE"""),"")</f>
        <v/>
      </c>
      <c r="AN168" t="str">
        <f ca="1">IFERROR(__xludf.DUMMYFUNCTION("""COMPUTED_VALUE"""),"")</f>
        <v/>
      </c>
      <c r="AO168" t="str">
        <f ca="1">IFERROR(__xludf.DUMMYFUNCTION("""COMPUTED_VALUE"""),"")</f>
        <v/>
      </c>
      <c r="AP168" t="str">
        <f ca="1">IFERROR(__xludf.DUMMYFUNCTION("""COMPUTED_VALUE"""),"")</f>
        <v/>
      </c>
      <c r="AQ168" t="str">
        <f ca="1">IFERROR(__xludf.DUMMYFUNCTION("""COMPUTED_VALUE"""),"")</f>
        <v/>
      </c>
      <c r="AR168" t="str">
        <f ca="1">IFERROR(__xludf.DUMMYFUNCTION("""COMPUTED_VALUE"""),"")</f>
        <v/>
      </c>
    </row>
    <row r="169" spans="1:44" ht="13">
      <c r="A169" t="str">
        <f ca="1">IFERROR(__xludf.DUMMYFUNCTION("""COMPUTED_VALUE"""),"SR")</f>
        <v>SR</v>
      </c>
      <c r="B169" s="41">
        <f ca="1">IFERROR(__xludf.DUMMYFUNCTION("""COMPUTED_VALUE"""),43440)</f>
        <v>43440</v>
      </c>
      <c r="C169" t="str">
        <f ca="1">IFERROR(__xludf.DUMMYFUNCTION("""COMPUTED_VALUE"""),"NP")</f>
        <v>NP</v>
      </c>
      <c r="D169" s="28">
        <f ca="1">IFERROR(__xludf.DUMMYFUNCTION("""COMPUTED_VALUE"""),43576)</f>
        <v>43576</v>
      </c>
      <c r="E169" t="str">
        <f ca="1">IFERROR(__xludf.DUMMYFUNCTION("""COMPUTED_VALUE"""),"JP")</f>
        <v>JP</v>
      </c>
      <c r="F169" s="28">
        <f ca="1">IFERROR(__xludf.DUMMYFUNCTION("""COMPUTED_VALUE"""),43581)</f>
        <v>43581</v>
      </c>
      <c r="G169" t="str">
        <f ca="1">IFERROR(__xludf.DUMMYFUNCTION("""COMPUTED_VALUE"""),"")</f>
        <v/>
      </c>
      <c r="H169" t="str">
        <f ca="1">IFERROR(__xludf.DUMMYFUNCTION("""COMPUTED_VALUE"""),"1467-937X")</f>
        <v>1467-937X</v>
      </c>
      <c r="I169" t="str">
        <f ca="1">IFERROR(__xludf.DUMMYFUNCTION("""COMPUTED_VALUE"""),"The Review of Economic Studies")</f>
        <v>The Review of Economic Studies</v>
      </c>
      <c r="J169" t="str">
        <f ca="1">IFERROR(__xludf.DUMMYFUNCTION("""COMPUTED_VALUE"""),"Business, Economics &amp; Management")</f>
        <v>Business, Economics &amp; Management</v>
      </c>
      <c r="K169" t="str">
        <f ca="1">IFERROR(__xludf.DUMMYFUNCTION("""COMPUTED_VALUE"""),"Oxford University Press")</f>
        <v>Oxford University Press</v>
      </c>
      <c r="L169" t="str">
        <f ca="1">IFERROR(__xludf.DUMMYFUNCTION("""COMPUTED_VALUE"""),"Unsure")</f>
        <v>Unsure</v>
      </c>
      <c r="M169" t="str">
        <f ca="1">IFERROR(__xludf.DUMMYFUNCTION("""COMPUTED_VALUE"""),"")</f>
        <v/>
      </c>
      <c r="N169" t="str">
        <f ca="1">IFERROR(__xludf.DUMMYFUNCTION("""COMPUTED_VALUE"""),"")</f>
        <v/>
      </c>
      <c r="O169" t="str">
        <f ca="1">IFERROR(__xludf.DUMMYFUNCTION("""COMPUTED_VALUE"""),"")</f>
        <v/>
      </c>
      <c r="P169" t="str">
        <f ca="1">IFERROR(__xludf.DUMMYFUNCTION("""COMPUTED_VALUE"""),"Unsure")</f>
        <v>Unsure</v>
      </c>
      <c r="Q169" t="str">
        <f ca="1">IFERROR(__xludf.DUMMYFUNCTION("""COMPUTED_VALUE"""),"")</f>
        <v/>
      </c>
      <c r="R169" t="str">
        <f ca="1">IFERROR(__xludf.DUMMYFUNCTION("""COMPUTED_VALUE"""),"")</f>
        <v/>
      </c>
      <c r="S169" t="str">
        <f ca="1">IFERROR(__xludf.DUMMYFUNCTION("""COMPUTED_VALUE"""),"Not specified")</f>
        <v>Not specified</v>
      </c>
      <c r="T169" t="str">
        <f ca="1">IFERROR(__xludf.DUMMYFUNCTION("""COMPUTED_VALUE"""),"Not specified")</f>
        <v>Not specified</v>
      </c>
      <c r="U169" t="str">
        <f ca="1">IFERROR(__xludf.DUMMYFUNCTION("""COMPUTED_VALUE"""),"Not specified")</f>
        <v>Not specified</v>
      </c>
      <c r="V169" t="str">
        <f ca="1">IFERROR(__xludf.DUMMYFUNCTION("""COMPUTED_VALUE"""),"Not specified")</f>
        <v>Not specified</v>
      </c>
      <c r="W169" t="str">
        <f ca="1">IFERROR(__xludf.DUMMYFUNCTION("""COMPUTED_VALUE"""),"Not specified")</f>
        <v>Not specified</v>
      </c>
      <c r="X169" t="str">
        <f ca="1">IFERROR(__xludf.DUMMYFUNCTION("""COMPUTED_VALUE"""),"Not specified")</f>
        <v>Not specified</v>
      </c>
      <c r="Y169" t="str">
        <f ca="1">IFERROR(__xludf.DUMMYFUNCTION("""COMPUTED_VALUE"""),"Not specified")</f>
        <v>Not specified</v>
      </c>
      <c r="Z169" t="str">
        <f ca="1">IFERROR(__xludf.DUMMYFUNCTION("""COMPUTED_VALUE"""),"Not specified")</f>
        <v>Not specified</v>
      </c>
      <c r="AA169" t="str">
        <f ca="1">IFERROR(__xludf.DUMMYFUNCTION("""COMPUTED_VALUE"""),"")</f>
        <v/>
      </c>
      <c r="AB169" t="str">
        <f ca="1">IFERROR(__xludf.DUMMYFUNCTION("""COMPUTED_VALUE"""),"")</f>
        <v/>
      </c>
      <c r="AC169" t="str">
        <f ca="1">IFERROR(__xludf.DUMMYFUNCTION("""COMPUTED_VALUE"""),"")</f>
        <v/>
      </c>
      <c r="AD169" t="str">
        <f ca="1">IFERROR(__xludf.DUMMYFUNCTION("""COMPUTED_VALUE"""),"Unsure")</f>
        <v>Unsure</v>
      </c>
      <c r="AE169" t="str">
        <f ca="1">IFERROR(__xludf.DUMMYFUNCTION("""COMPUTED_VALUE"""),"Unsure")</f>
        <v>Unsure</v>
      </c>
      <c r="AF169" t="str">
        <f ca="1">IFERROR(__xludf.DUMMYFUNCTION("""COMPUTED_VALUE"""),"Unsure")</f>
        <v>Unsure</v>
      </c>
      <c r="AG169" s="93" t="str">
        <f ca="1">IFERROR(__xludf.DUMMYFUNCTION("""COMPUTED_VALUE"""),"https://academic.oup.com/journals/pages/access_purchase/rights_and_permissions/self_archiving_policy_f")</f>
        <v>https://academic.oup.com/journals/pages/access_purchase/rights_and_permissions/self_archiving_policy_f</v>
      </c>
      <c r="AH169" t="str">
        <f ca="1">IFERROR(__xludf.DUMMYFUNCTION("""COMPUTED_VALUE"""),"First submission only (before peer review)")</f>
        <v>First submission only (before peer review)</v>
      </c>
      <c r="AI169" t="str">
        <f ca="1">IFERROR(__xludf.DUMMYFUNCTION("""COMPUTED_VALUE"""),"own personal websites, institutional or non-commercial subject based repositories, commercial platforms websites or repositories, or social media")</f>
        <v>own personal websites, institutional or non-commercial subject based repositories, commercial platforms websites or repositories, or social media</v>
      </c>
      <c r="AJ169" t="str">
        <f ca="1">IFERROR(__xludf.DUMMYFUNCTION("""COMPUTED_VALUE"""),"Not specified")</f>
        <v>Not specified</v>
      </c>
      <c r="AK169" t="str">
        <f ca="1">IFERROR(__xludf.DUMMYFUNCTION("""COMPUTED_VALUE"""),"Unsure")</f>
        <v>Unsure</v>
      </c>
      <c r="AL169" t="str">
        <f ca="1">IFERROR(__xludf.DUMMYFUNCTION("""COMPUTED_VALUE"""),"")</f>
        <v/>
      </c>
      <c r="AM169" t="str">
        <f ca="1">IFERROR(__xludf.DUMMYFUNCTION("""COMPUTED_VALUE"""),"")</f>
        <v/>
      </c>
      <c r="AN169" t="str">
        <f ca="1">IFERROR(__xludf.DUMMYFUNCTION("""COMPUTED_VALUE"""),"")</f>
        <v/>
      </c>
      <c r="AO169" t="str">
        <f ca="1">IFERROR(__xludf.DUMMYFUNCTION("""COMPUTED_VALUE"""),"")</f>
        <v/>
      </c>
      <c r="AP169" t="str">
        <f ca="1">IFERROR(__xludf.DUMMYFUNCTION("""COMPUTED_VALUE"""),"")</f>
        <v/>
      </c>
      <c r="AQ169" t="str">
        <f ca="1">IFERROR(__xludf.DUMMYFUNCTION("""COMPUTED_VALUE"""),"")</f>
        <v/>
      </c>
      <c r="AR169" t="str">
        <f ca="1">IFERROR(__xludf.DUMMYFUNCTION("""COMPUTED_VALUE"""),"")</f>
        <v/>
      </c>
    </row>
    <row r="170" spans="1:44" ht="13">
      <c r="A170" t="str">
        <f ca="1">IFERROR(__xludf.DUMMYFUNCTION("""COMPUTED_VALUE"""),"SR")</f>
        <v>SR</v>
      </c>
      <c r="B170" s="41">
        <f ca="1">IFERROR(__xludf.DUMMYFUNCTION("""COMPUTED_VALUE"""),43440)</f>
        <v>43440</v>
      </c>
      <c r="C170" t="str">
        <f ca="1">IFERROR(__xludf.DUMMYFUNCTION("""COMPUTED_VALUE"""),"JP")</f>
        <v>JP</v>
      </c>
      <c r="D170" s="28">
        <f ca="1">IFERROR(__xludf.DUMMYFUNCTION("""COMPUTED_VALUE"""),43566)</f>
        <v>43566</v>
      </c>
      <c r="E170" t="str">
        <f ca="1">IFERROR(__xludf.DUMMYFUNCTION("""COMPUTED_VALUE"""),"TRH")</f>
        <v>TRH</v>
      </c>
      <c r="F170" s="28">
        <f ca="1">IFERROR(__xludf.DUMMYFUNCTION("""COMPUTED_VALUE"""),43581)</f>
        <v>43581</v>
      </c>
      <c r="G170" s="28" t="str">
        <f ca="1">IFERROR(__xludf.DUMMYFUNCTION("""COMPUTED_VALUE"""),"")</f>
        <v/>
      </c>
      <c r="H170" t="str">
        <f ca="1">IFERROR(__xludf.DUMMYFUNCTION("""COMPUTED_VALUE"""),"1465-7368")</f>
        <v>1465-7368</v>
      </c>
      <c r="I170" t="str">
        <f ca="1">IFERROR(__xludf.DUMMYFUNCTION("""COMPUTED_VALUE"""),"The Review of Financial Studies")</f>
        <v>The Review of Financial Studies</v>
      </c>
      <c r="J170" t="str">
        <f ca="1">IFERROR(__xludf.DUMMYFUNCTION("""COMPUTED_VALUE"""),"Business, Economics &amp; Management")</f>
        <v>Business, Economics &amp; Management</v>
      </c>
      <c r="K170" t="str">
        <f ca="1">IFERROR(__xludf.DUMMYFUNCTION("""COMPUTED_VALUE"""),"Society for Financial Studies/Oxford Academic")</f>
        <v>Society for Financial Studies/Oxford Academic</v>
      </c>
      <c r="L170" t="str">
        <f ca="1">IFERROR(__xludf.DUMMYFUNCTION("""COMPUTED_VALUE"""),"Unsure")</f>
        <v>Unsure</v>
      </c>
      <c r="M170" t="str">
        <f ca="1">IFERROR(__xludf.DUMMYFUNCTION("""COMPUTED_VALUE"""),"http://rfssfs.org/advice-for-referees/, https://editorialexpress.com/cgi-bin/e-editor/e-review_v18.cgi?dbase=rfs&amp;stage=0&amp;stage_completed=&amp;user_id=&amp;sub_id=&amp;password=F7ObH75z")</f>
        <v>http://rfssfs.org/advice-for-referees/, https://editorialexpress.com/cgi-bin/e-editor/e-review_v18.cgi?dbase=rfs&amp;stage=0&amp;stage_completed=&amp;user_id=&amp;sub_id=&amp;password=F7ObH75z</v>
      </c>
      <c r="N170" t="str">
        <f ca="1">IFERROR(__xludf.DUMMYFUNCTION("""COMPUTED_VALUE"""),"")</f>
        <v/>
      </c>
      <c r="O170" t="str">
        <f ca="1">IFERROR(__xludf.DUMMYFUNCTION("""COMPUTED_VALUE"""),"")</f>
        <v/>
      </c>
      <c r="P170" t="str">
        <f ca="1">IFERROR(__xludf.DUMMYFUNCTION("""COMPUTED_VALUE"""),"")</f>
        <v/>
      </c>
      <c r="Q170" t="str">
        <f ca="1">IFERROR(__xludf.DUMMYFUNCTION("""COMPUTED_VALUE"""),"")</f>
        <v/>
      </c>
      <c r="R170" t="str">
        <f ca="1">IFERROR(__xludf.DUMMYFUNCTION("""COMPUTED_VALUE"""),"")</f>
        <v/>
      </c>
      <c r="S170" t="str">
        <f ca="1">IFERROR(__xludf.DUMMYFUNCTION("""COMPUTED_VALUE"""),"Not specified")</f>
        <v>Not specified</v>
      </c>
      <c r="T170" t="str">
        <f ca="1">IFERROR(__xludf.DUMMYFUNCTION("""COMPUTED_VALUE"""),"Not specified")</f>
        <v>Not specified</v>
      </c>
      <c r="U170" t="str">
        <f ca="1">IFERROR(__xludf.DUMMYFUNCTION("""COMPUTED_VALUE"""),"Not specified")</f>
        <v>Not specified</v>
      </c>
      <c r="V170" t="str">
        <f ca="1">IFERROR(__xludf.DUMMYFUNCTION("""COMPUTED_VALUE"""),"Not specified")</f>
        <v>Not specified</v>
      </c>
      <c r="W170" t="str">
        <f ca="1">IFERROR(__xludf.DUMMYFUNCTION("""COMPUTED_VALUE"""),"Not specified")</f>
        <v>Not specified</v>
      </c>
      <c r="X170" t="str">
        <f ca="1">IFERROR(__xludf.DUMMYFUNCTION("""COMPUTED_VALUE"""),"Not specified")</f>
        <v>Not specified</v>
      </c>
      <c r="Y170" t="str">
        <f ca="1">IFERROR(__xludf.DUMMYFUNCTION("""COMPUTED_VALUE"""),"Not specified")</f>
        <v>Not specified</v>
      </c>
      <c r="Z170" t="str">
        <f ca="1">IFERROR(__xludf.DUMMYFUNCTION("""COMPUTED_VALUE"""),"Not specified")</f>
        <v>Not specified</v>
      </c>
      <c r="AA170" t="str">
        <f ca="1">IFERROR(__xludf.DUMMYFUNCTION("""COMPUTED_VALUE"""),"")</f>
        <v/>
      </c>
      <c r="AB170" t="str">
        <f ca="1">IFERROR(__xludf.DUMMYFUNCTION("""COMPUTED_VALUE"""),"")</f>
        <v/>
      </c>
      <c r="AC170" t="str">
        <f ca="1">IFERROR(__xludf.DUMMYFUNCTION("""COMPUTED_VALUE"""),"")</f>
        <v/>
      </c>
      <c r="AD170" t="str">
        <f ca="1">IFERROR(__xludf.DUMMYFUNCTION("""COMPUTED_VALUE"""),"Unsure")</f>
        <v>Unsure</v>
      </c>
      <c r="AE170" t="str">
        <f ca="1">IFERROR(__xludf.DUMMYFUNCTION("""COMPUTED_VALUE"""),"Unsure")</f>
        <v>Unsure</v>
      </c>
      <c r="AF170" t="str">
        <f ca="1">IFERROR(__xludf.DUMMYFUNCTION("""COMPUTED_VALUE"""),"Unsure")</f>
        <v>Unsure</v>
      </c>
      <c r="AG170" t="str">
        <f ca="1">IFERROR(__xludf.DUMMYFUNCTION("""COMPUTED_VALUE"""),"https://academic.oup.com/journals/pages/access_purchase/rights_and_permissions/self_archiving_policy_f, https://academic.oup.com/rfs/pages/Instructions_To_Authors")</f>
        <v>https://academic.oup.com/journals/pages/access_purchase/rights_and_permissions/self_archiving_policy_f, https://academic.oup.com/rfs/pages/Instructions_To_Authors</v>
      </c>
      <c r="AH170" t="str">
        <f ca="1">IFERROR(__xludf.DUMMYFUNCTION("""COMPUTED_VALUE"""),"After peer review (but not final, copyedited version)")</f>
        <v>After peer review (but not final, copyedited version)</v>
      </c>
      <c r="AI170" t="str">
        <f ca="1">IFERROR(__xludf.DUMMYFUNCTION("""COMPUTED_VALUE"""),"Not allowed")</f>
        <v>Not allowed</v>
      </c>
      <c r="AJ170" t="str">
        <f ca="1">IFERROR(__xludf.DUMMYFUNCTION("""COMPUTED_VALUE"""),"Not specified")</f>
        <v>Not specified</v>
      </c>
      <c r="AK170" t="str">
        <f ca="1">IFERROR(__xludf.DUMMYFUNCTION("""COMPUTED_VALUE"""),"Unsure")</f>
        <v>Unsure</v>
      </c>
      <c r="AL170" t="str">
        <f ca="1">IFERROR(__xludf.DUMMYFUNCTION("""COMPUTED_VALUE"""),"")</f>
        <v/>
      </c>
      <c r="AM170" t="str">
        <f ca="1">IFERROR(__xludf.DUMMYFUNCTION("""COMPUTED_VALUE"""),"")</f>
        <v/>
      </c>
      <c r="AN170" t="str">
        <f ca="1">IFERROR(__xludf.DUMMYFUNCTION("""COMPUTED_VALUE"""),"")</f>
        <v/>
      </c>
      <c r="AO170" t="str">
        <f ca="1">IFERROR(__xludf.DUMMYFUNCTION("""COMPUTED_VALUE"""),"")</f>
        <v/>
      </c>
      <c r="AP170" t="str">
        <f ca="1">IFERROR(__xludf.DUMMYFUNCTION("""COMPUTED_VALUE"""),"The Review of Financial Studies is published by Oxford University Press. However, it seems exceedingly hard to locate their policies on peer review despite the fact that I previously managed to find them on other OUP journals' websites. /// preprint-versi"&amp;"on: Could be coded as ""After peer review"" since they only disallow posting after acceptance")</f>
        <v>The Review of Financial Studies is published by Oxford University Press. However, it seems exceedingly hard to locate their policies on peer review despite the fact that I previously managed to find them on other OUP journals' websites. /// preprint-version: Could be coded as "After peer review" since they only disallow posting after acceptance</v>
      </c>
      <c r="AQ170" t="str">
        <f ca="1">IFERROR(__xludf.DUMMYFUNCTION("""COMPUTED_VALUE"""),"20 mins")</f>
        <v>20 mins</v>
      </c>
      <c r="AR170" t="str">
        <f ca="1">IFERROR(__xludf.DUMMYFUNCTION("""COMPUTED_VALUE"""),"")</f>
        <v/>
      </c>
    </row>
    <row r="171" spans="1:44" ht="13">
      <c r="A171" t="str">
        <f ca="1">IFERROR(__xludf.DUMMYFUNCTION("""COMPUTED_VALUE"""),"SR")</f>
        <v>SR</v>
      </c>
      <c r="B171" s="41">
        <f ca="1">IFERROR(__xludf.DUMMYFUNCTION("""COMPUTED_VALUE"""),43440)</f>
        <v>43440</v>
      </c>
      <c r="C171" t="str">
        <f ca="1">IFERROR(__xludf.DUMMYFUNCTION("""COMPUTED_VALUE"""),"SH")</f>
        <v>SH</v>
      </c>
      <c r="D171" s="28">
        <f ca="1">IFERROR(__xludf.DUMMYFUNCTION("""COMPUTED_VALUE"""),43575)</f>
        <v>43575</v>
      </c>
      <c r="E171" t="str">
        <f ca="1">IFERROR(__xludf.DUMMYFUNCTION("""COMPUTED_VALUE"""),"TRH")</f>
        <v>TRH</v>
      </c>
      <c r="F171" s="28">
        <f ca="1">IFERROR(__xludf.DUMMYFUNCTION("""COMPUTED_VALUE"""),43581)</f>
        <v>43581</v>
      </c>
      <c r="G171" t="str">
        <f ca="1">IFERROR(__xludf.DUMMYFUNCTION("""COMPUTED_VALUE"""),"")</f>
        <v/>
      </c>
      <c r="H171" t="str">
        <f ca="1">IFERROR(__xludf.DUMMYFUNCTION("""COMPUTED_VALUE"""),"0261-5177")</f>
        <v>0261-5177</v>
      </c>
      <c r="I171" t="str">
        <f ca="1">IFERROR(__xludf.DUMMYFUNCTION("""COMPUTED_VALUE"""),"Tourism Management")</f>
        <v>Tourism Management</v>
      </c>
      <c r="J171" t="str">
        <f ca="1">IFERROR(__xludf.DUMMYFUNCTION("""COMPUTED_VALUE"""),"Business, Economics &amp; Management")</f>
        <v>Business, Economics &amp; Management</v>
      </c>
      <c r="K171" t="str">
        <f ca="1">IFERROR(__xludf.DUMMYFUNCTION("""COMPUTED_VALUE"""),"Elsevier")</f>
        <v>Elsevier</v>
      </c>
      <c r="L171" t="str">
        <f ca="1">IFERROR(__xludf.DUMMYFUNCTION("""COMPUTED_VALUE"""),"Double blind")</f>
        <v>Double blind</v>
      </c>
      <c r="M171" s="93" t="str">
        <f ca="1">IFERROR(__xludf.DUMMYFUNCTION("""COMPUTED_VALUE"""),"https://www.elsevier.com/journals/tourism-management/0261-5177/guide-for-authors")</f>
        <v>https://www.elsevier.com/journals/tourism-management/0261-5177/guide-for-authors</v>
      </c>
      <c r="N171" t="str">
        <f ca="1">IFERROR(__xludf.DUMMYFUNCTION("""COMPUTED_VALUE"""),"")</f>
        <v/>
      </c>
      <c r="O171" s="93" t="str">
        <f ca="1">IFERROR(__xludf.DUMMYFUNCTION("""COMPUTED_VALUE"""),"https://www.elsevier.com/reviewers/role#RRP")</f>
        <v>https://www.elsevier.com/reviewers/role#RRP</v>
      </c>
      <c r="P171" t="str">
        <f ca="1">IFERROR(__xludf.DUMMYFUNCTION("""COMPUTED_VALUE"""),"No")</f>
        <v>No</v>
      </c>
      <c r="Q171"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71" s="93" t="str">
        <f ca="1">IFERROR(__xludf.DUMMYFUNCTION("""COMPUTED_VALUE"""),"https://www.elsevier.com/reviewers/what-is-peer-review")</f>
        <v>https://www.elsevier.com/reviewers/what-is-peer-review</v>
      </c>
      <c r="S171" t="str">
        <f ca="1">IFERROR(__xludf.DUMMYFUNCTION("""COMPUTED_VALUE"""),"Not specified")</f>
        <v>Not specified</v>
      </c>
      <c r="T171" t="str">
        <f ca="1">IFERROR(__xludf.DUMMYFUNCTION("""COMPUTED_VALUE"""),"Not specified")</f>
        <v>Not specified</v>
      </c>
      <c r="U171" t="str">
        <f ca="1">IFERROR(__xludf.DUMMYFUNCTION("""COMPUTED_VALUE"""),"Not specified")</f>
        <v>Not specified</v>
      </c>
      <c r="V171" t="str">
        <f ca="1">IFERROR(__xludf.DUMMYFUNCTION("""COMPUTED_VALUE"""),"Not specified")</f>
        <v>Not specified</v>
      </c>
      <c r="W171" t="str">
        <f ca="1">IFERROR(__xludf.DUMMYFUNCTION("""COMPUTED_VALUE"""),"Not specified")</f>
        <v>Not specified</v>
      </c>
      <c r="X171" t="str">
        <f ca="1">IFERROR(__xludf.DUMMYFUNCTION("""COMPUTED_VALUE"""),"No")</f>
        <v>No</v>
      </c>
      <c r="Y171" t="str">
        <f ca="1">IFERROR(__xludf.DUMMYFUNCTION("""COMPUTED_VALUE"""),"Not specified")</f>
        <v>Not specified</v>
      </c>
      <c r="Z171" t="str">
        <f ca="1">IFERROR(__xludf.DUMMYFUNCTION("""COMPUTED_VALUE"""),"Not specified")</f>
        <v>Not specified</v>
      </c>
      <c r="AA171" t="str">
        <f ca="1">IFERROR(__xludf.DUMMYFUNCTION("""COMPUTED_VALUE"""),"")</f>
        <v/>
      </c>
      <c r="AB171"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71" s="93" t="str">
        <f ca="1">IFERROR(__xludf.DUMMYFUNCTION("""COMPUTED_VALUE"""),"https://www.elsevier.com/reviewers/how-to-review")</f>
        <v>https://www.elsevier.com/reviewers/how-to-review</v>
      </c>
      <c r="AD171" t="str">
        <f ca="1">IFERROR(__xludf.DUMMYFUNCTION("""COMPUTED_VALUE"""),"Unsure")</f>
        <v>Unsure</v>
      </c>
      <c r="AE171" t="str">
        <f ca="1">IFERROR(__xludf.DUMMYFUNCTION("""COMPUTED_VALUE"""),"Unsure")</f>
        <v>Unsure</v>
      </c>
      <c r="AF171" t="str">
        <f ca="1">IFERROR(__xludf.DUMMYFUNCTION("""COMPUTED_VALUE"""),"Unsure")</f>
        <v>Unsure</v>
      </c>
      <c r="AG171" s="93" t="str">
        <f ca="1">IFERROR(__xludf.DUMMYFUNCTION("""COMPUTED_VALUE"""),"https://www.elsevier.com/about/policies/sharing")</f>
        <v>https://www.elsevier.com/about/policies/sharing</v>
      </c>
      <c r="AH171" t="str">
        <f ca="1">IFERROR(__xludf.DUMMYFUNCTION("""COMPUTED_VALUE"""),"First submission only (before peer review)")</f>
        <v>First submission only (before peer review)</v>
      </c>
      <c r="AI171" t="str">
        <f ca="1">IFERROR(__xludf.DUMMYFUNCTION("""COMPUTED_VALUE"""),"")</f>
        <v/>
      </c>
      <c r="AJ171" t="str">
        <f ca="1">IFERROR(__xludf.DUMMYFUNCTION("""COMPUTED_VALUE"""),"Unsure")</f>
        <v>Unsure</v>
      </c>
      <c r="AK171" t="str">
        <f ca="1">IFERROR(__xludf.DUMMYFUNCTION("""COMPUTED_VALUE"""),"Unsure")</f>
        <v>Unsure</v>
      </c>
      <c r="AL171" t="str">
        <f ca="1">IFERROR(__xludf.DUMMYFUNCTION("""COMPUTED_VALUE"""),"")</f>
        <v/>
      </c>
      <c r="AM171" t="str">
        <f ca="1">IFERROR(__xludf.DUMMYFUNCTION("""COMPUTED_VALUE"""),"")</f>
        <v/>
      </c>
      <c r="AN171" t="str">
        <f ca="1">IFERROR(__xludf.DUMMYFUNCTION("""COMPUTED_VALUE"""),"")</f>
        <v/>
      </c>
      <c r="AO171" t="str">
        <f ca="1">IFERROR(__xludf.DUMMYFUNCTION("""COMPUTED_VALUE"""),"")</f>
        <v/>
      </c>
      <c r="AP171" t="str">
        <f ca="1">IFERROR(__xludf.DUMMYFUNCTION("""COMPUTED_VALUE"""),"Tourism Management is published by Elsevier, which means that most of Elsevier's general policies apply. Interestingly, though, it is difficult to locate the policies on the journal websites even if one has done that before. Once you determine the type of"&amp;" peer review the journal in question employs you can then read their what-is-peer-review page to determine the degree of ""openness"" of the peer review process in question. // On preprint citation: Unsure: ""Please ensure that every reference cited in th"&amp;"e text is also present in the reference list (and vice versa). Any references cited in the abstract must be given in full. Unpublished results and personal communications are not recommended in the reference list, but may be mentioned in the text. If thes"&amp;"e references are included in the reference list they should follow the standard reference style of the journal and should include a substitution of the publication date with either 'Unpublished results' or 'Personal communication'.""")</f>
        <v>Tourism Management is published by Elsevier, which means that most of Elsevier's general policies apply. Interestingly, though, it is difficult to locate the policies on the journal websites even if one has done that before. Once you determine the type of peer review the journal in question employs you can then read their what-is-peer-review page to determine the degree of "openness" of the peer review process in question. // On preprint citation: Unsure: "Please ensure that every reference cited in the text is also present in the reference list (and vice versa). Any references cited in the abstract must be given in full. Unpublished results and personal communications are not recommended in the reference list, but may be mentioned in the text. If these references are included in the reference list they should follow the standard reference style of the journal and should include a substitution of the publication date with either 'Unpublished results' or 'Personal communication'."</v>
      </c>
      <c r="AQ171" t="str">
        <f ca="1">IFERROR(__xludf.DUMMYFUNCTION("""COMPUTED_VALUE"""),"20 mins")</f>
        <v>20 mins</v>
      </c>
      <c r="AR171" t="str">
        <f ca="1">IFERROR(__xludf.DUMMYFUNCTION("""COMPUTED_VALUE"""),"")</f>
        <v/>
      </c>
    </row>
    <row r="172" spans="1:44" ht="13">
      <c r="A172" t="str">
        <f ca="1">IFERROR(__xludf.DUMMYFUNCTION("""COMPUTED_VALUE"""),"SR")</f>
        <v>SR</v>
      </c>
      <c r="B172" s="41">
        <f ca="1">IFERROR(__xludf.DUMMYFUNCTION("""COMPUTED_VALUE"""),43440)</f>
        <v>43440</v>
      </c>
      <c r="C172" t="str">
        <f ca="1">IFERROR(__xludf.DUMMYFUNCTION("""COMPUTED_VALUE"""),"GMD")</f>
        <v>GMD</v>
      </c>
      <c r="D172" s="28">
        <f ca="1">IFERROR(__xludf.DUMMYFUNCTION("""COMPUTED_VALUE"""),43579)</f>
        <v>43579</v>
      </c>
      <c r="E172" t="str">
        <f ca="1">IFERROR(__xludf.DUMMYFUNCTION("""COMPUTED_VALUE"""),"JP")</f>
        <v>JP</v>
      </c>
      <c r="F172" s="28">
        <f ca="1">IFERROR(__xludf.DUMMYFUNCTION("""COMPUTED_VALUE"""),43583)</f>
        <v>43583</v>
      </c>
      <c r="G172" t="str">
        <f ca="1">IFERROR(__xludf.DUMMYFUNCTION("""COMPUTED_VALUE"""),"Fixed preprint policy link and related fields")</f>
        <v>Fixed preprint policy link and related fields</v>
      </c>
      <c r="H172" t="str">
        <f ca="1">IFERROR(__xludf.DUMMYFUNCTION("""COMPUTED_VALUE"""),"1873-5991")</f>
        <v>1873-5991</v>
      </c>
      <c r="I172" t="str">
        <f ca="1">IFERROR(__xludf.DUMMYFUNCTION("""COMPUTED_VALUE"""),"World Development")</f>
        <v>World Development</v>
      </c>
      <c r="J172" t="str">
        <f ca="1">IFERROR(__xludf.DUMMYFUNCTION("""COMPUTED_VALUE"""),"Business, Economics &amp; Management")</f>
        <v>Business, Economics &amp; Management</v>
      </c>
      <c r="K172" t="str">
        <f ca="1">IFERROR(__xludf.DUMMYFUNCTION("""COMPUTED_VALUE"""),"Elsevier")</f>
        <v>Elsevier</v>
      </c>
      <c r="L172" t="str">
        <f ca="1">IFERROR(__xludf.DUMMYFUNCTION("""COMPUTED_VALUE"""),"Double blind")</f>
        <v>Double blind</v>
      </c>
      <c r="M172" s="93" t="str">
        <f ca="1">IFERROR(__xludf.DUMMYFUNCTION("""COMPUTED_VALUE"""),"https://www.elsevier.com/journals/world-development/0305-750x/guide-for-authors")</f>
        <v>https://www.elsevier.com/journals/world-development/0305-750x/guide-for-authors</v>
      </c>
      <c r="N172" t="str">
        <f ca="1">IFERROR(__xludf.DUMMYFUNCTION("""COMPUTED_VALUE"""),"")</f>
        <v/>
      </c>
      <c r="O172" s="93" t="str">
        <f ca="1">IFERROR(__xludf.DUMMYFUNCTION("""COMPUTED_VALUE"""),"https://www.elsevier.com/reviewers/role#recognizing ")</f>
        <v xml:space="preserve">https://www.elsevier.com/reviewers/role#recognizing </v>
      </c>
      <c r="P172" t="str">
        <f ca="1">IFERROR(__xludf.DUMMYFUNCTION("""COMPUTED_VALUE"""),"No: Peer Reviewer activity IS deposited into a database by Elsevier, but it is NOT open. This applies across the Elsevier platform.")</f>
        <v>No: Peer Reviewer activity IS deposited into a database by Elsevier, but it is NOT open. This applies across the Elsevier platform.</v>
      </c>
      <c r="Q172" t="str">
        <f ca="1">IFERROR(__xludf.DUMMYFUNCTION("""COMPUTED_VALUE"""),"Elsevier authors can transfer their article submission from one journal to another for free if they are rejected, without the need to reformat, and often without needing further peer review. For this reason, reviewers are informed about the service and ar"&amp;"e asked for their consent for transferring their review report along with the manuscript to the receiver journal. Reviewers are given the option to reveal their identity to the editor of the receiver journal or stay anonymous. The benefits of manuscript r"&amp;"eview cascades are twofold: Reviewers are not asked to review the same manuscript several times for different journals. Authors do not need to spend additional time reformatting their manuscript.")</f>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R172" s="93" t="str">
        <f ca="1">IFERROR(__xludf.DUMMYFUNCTION("""COMPUTED_VALUE"""),"https://www.elsevier.com/reviewers/what-is-peer-review")</f>
        <v>https://www.elsevier.com/reviewers/what-is-peer-review</v>
      </c>
      <c r="S172" t="str">
        <f ca="1">IFERROR(__xludf.DUMMYFUNCTION("""COMPUTED_VALUE"""),"No")</f>
        <v>No</v>
      </c>
      <c r="T172" t="str">
        <f ca="1">IFERROR(__xludf.DUMMYFUNCTION("""COMPUTED_VALUE"""),"No")</f>
        <v>No</v>
      </c>
      <c r="U172" t="str">
        <f ca="1">IFERROR(__xludf.DUMMYFUNCTION("""COMPUTED_VALUE"""),"No")</f>
        <v>No</v>
      </c>
      <c r="V172" t="str">
        <f ca="1">IFERROR(__xludf.DUMMYFUNCTION("""COMPUTED_VALUE"""),"No")</f>
        <v>No</v>
      </c>
      <c r="W172" t="str">
        <f ca="1">IFERROR(__xludf.DUMMYFUNCTION("""COMPUTED_VALUE"""),"No")</f>
        <v>No</v>
      </c>
      <c r="X172" t="str">
        <f ca="1">IFERROR(__xludf.DUMMYFUNCTION("""COMPUTED_VALUE"""),"No")</f>
        <v>No</v>
      </c>
      <c r="Y172" t="str">
        <f ca="1">IFERROR(__xludf.DUMMYFUNCTION("""COMPUTED_VALUE"""),"No")</f>
        <v>No</v>
      </c>
      <c r="Z172" t="str">
        <f ca="1">IFERROR(__xludf.DUMMYFUNCTION("""COMPUTED_VALUE"""),"No")</f>
        <v>No</v>
      </c>
      <c r="AA172" t="str">
        <f ca="1">IFERROR(__xludf.DUMMYFUNCTION("""COMPUTED_VALUE"""),"")</f>
        <v/>
      </c>
      <c r="AB172" t="str">
        <f ca="1">IFERROR(__xludf.DUMMYFUNCTION("""COMPUTED_VALUE"""),"If you accept, you must treat the materials you receive as confidential documents. This means you can’t share them with anyone without prior authorization from the editor. Since peer review is confidential, you also must not share information about the re"&amp;"view with anyone without permission from the editors and authors.")</f>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C172" s="93" t="str">
        <f ca="1">IFERROR(__xludf.DUMMYFUNCTION("""COMPUTED_VALUE"""),"https://www.elsevier.com/reviewers/how-to-review")</f>
        <v>https://www.elsevier.com/reviewers/how-to-review</v>
      </c>
      <c r="AD172" t="str">
        <f ca="1">IFERROR(__xludf.DUMMYFUNCTION("""COMPUTED_VALUE"""),"Unsure")</f>
        <v>Unsure</v>
      </c>
      <c r="AE172" t="str">
        <f ca="1">IFERROR(__xludf.DUMMYFUNCTION("""COMPUTED_VALUE"""),"Unsure")</f>
        <v>Unsure</v>
      </c>
      <c r="AF172" t="str">
        <f ca="1">IFERROR(__xludf.DUMMYFUNCTION("""COMPUTED_VALUE"""),"Unsure")</f>
        <v>Unsure</v>
      </c>
      <c r="AG172" s="93" t="str">
        <f ca="1">IFERROR(__xludf.DUMMYFUNCTION("""COMPUTED_VALUE"""),"https://www.elsevier.com/about/policies/sharing")</f>
        <v>https://www.elsevier.com/about/policies/sharing</v>
      </c>
      <c r="AH172" t="str">
        <f ca="1">IFERROR(__xludf.DUMMYFUNCTION("""COMPUTED_VALUE"""),"Unsure (preprints are allowed, but it's not clear what version)")</f>
        <v>Unsure (preprints are allowed, but it's not clear what version)</v>
      </c>
      <c r="AI172" t="str">
        <f ca="1">IFERROR(__xludf.DUMMYFUNCTION("""COMPUTED_VALUE"""),"Authors can share their preprint anywhere at any time.
If accepted for publication, we encourage authors to link from the preprint to their formal publication via its Digital Object Identifier (DOI). Millions of researchers have access to the formal publi"&amp;"cations on ScienceDirect, and so links will help your users to find, access, cite, and use the best available version.
Authors can update their preprints on arXiv or RePEc with their accepted manuscript .")</f>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AJ172" t="str">
        <f ca="1">IFERROR(__xludf.DUMMYFUNCTION("""COMPUTED_VALUE"""),"Not specified")</f>
        <v>Not specified</v>
      </c>
      <c r="AK172" t="str">
        <f ca="1">IFERROR(__xludf.DUMMYFUNCTION("""COMPUTED_VALUE"""),"Unsure")</f>
        <v>Unsure</v>
      </c>
      <c r="AL172" t="str">
        <f ca="1">IFERROR(__xludf.DUMMYFUNCTION("""COMPUTED_VALUE"""),"")</f>
        <v/>
      </c>
      <c r="AM172" t="str">
        <f ca="1">IFERROR(__xludf.DUMMYFUNCTION("""COMPUTED_VALUE"""),"")</f>
        <v/>
      </c>
      <c r="AN172" t="str">
        <f ca="1">IFERROR(__xludf.DUMMYFUNCTION("""COMPUTED_VALUE"""),"")</f>
        <v/>
      </c>
      <c r="AO172" t="str">
        <f ca="1">IFERROR(__xludf.DUMMYFUNCTION("""COMPUTED_VALUE"""),"")</f>
        <v/>
      </c>
      <c r="AP172" t="str">
        <f ca="1">IFERROR(__xludf.DUMMYFUNCTION("""COMPUTED_VALUE"""),"")</f>
        <v/>
      </c>
      <c r="AQ172" t="str">
        <f ca="1">IFERROR(__xludf.DUMMYFUNCTION("""COMPUTED_VALUE"""),"")</f>
        <v/>
      </c>
      <c r="AR172" t="str">
        <f ca="1">IFERROR(__xludf.DUMMYFUNCTION("""COMPUTED_VALUE"""),"")</f>
        <v/>
      </c>
    </row>
  </sheetData>
  <hyperlinks>
    <hyperlink ref="R3" r:id="rId1" display="https://pubs.acs.org/paragonplus/submission/aamick/aamick_authguide.pdf" xr:uid="{00000000-0004-0000-0100-000000000000}"/>
    <hyperlink ref="M4" r:id="rId2" display="https://pubs.acs.org/paragonplus/submission/achre4/achre4_authguide.pdf" xr:uid="{00000000-0004-0000-0100-000001000000}"/>
    <hyperlink ref="AG4" r:id="rId3" display="https://pubs.acs.org/paragonplus/submission/achre4/achre4_authguide.pdf" xr:uid="{00000000-0004-0000-0100-000002000000}"/>
    <hyperlink ref="R5" r:id="rId4" display="https://pubs.acs.org/page/policy/manuscript_transfer/index.html" xr:uid="{00000000-0004-0000-0100-000003000000}"/>
    <hyperlink ref="AG5" r:id="rId5" display="https://pubs.acs.org/page/accacs/submission/prior.htmlhttps:/pubs.acs.org/page/policy/authorchoice/index.html" xr:uid="{00000000-0004-0000-0100-000004000000}"/>
    <hyperlink ref="N6" r:id="rId6" display="http://aom.org/uploadedFiles/Publications/AMJ/07_Colquitt_IrelandApr09FTE.pdf" xr:uid="{00000000-0004-0000-0100-000005000000}"/>
    <hyperlink ref="AC6" r:id="rId7" location="amrR7" display="https://aom.org/Publications/AMR/Frequently-Asked-Questions.aspx - amrR7" xr:uid="{00000000-0004-0000-0100-000006000000}"/>
    <hyperlink ref="AG6" r:id="rId8" display="http://aom.org/Publications/AMJ/Information-for-Contributors.aspx" xr:uid="{00000000-0004-0000-0100-000007000000}"/>
    <hyperlink ref="M7" r:id="rId9" display="https://pubs.acs.org/userimages/ContentEditor/1218054468605/ethics.pdf" xr:uid="{00000000-0004-0000-0100-000008000000}"/>
    <hyperlink ref="N7" r:id="rId10" display="https://pubs.acs.org/pb-assets/acspubs/Migrated/ancac3_revguide.pdf" xr:uid="{00000000-0004-0000-0100-000009000000}"/>
    <hyperlink ref="R7" r:id="rId11" display="https://pubs.acs.org/page/policy/manuscript_transfer/index.html" xr:uid="{00000000-0004-0000-0100-00000A000000}"/>
    <hyperlink ref="AG7" r:id="rId12" display="https://pubs.acs.org/page/ancac3/submission/prior.html" xr:uid="{00000000-0004-0000-0100-00000B000000}"/>
    <hyperlink ref="M8" r:id="rId13" display="https://application.wiley-vch.de/util/cta/euchems_ethicalguidelines.pdf" xr:uid="{00000000-0004-0000-0100-00000C000000}"/>
    <hyperlink ref="M9" r:id="rId14" display="https://application.wiley-vch.de/util/cta/euchems_ethicalguidelines.pdf" xr:uid="{00000000-0004-0000-0100-00000D000000}"/>
    <hyperlink ref="AG9" r:id="rId15" display="https://wol-prod-cdn.literatumonline.com/pb-assets/assets/16163028/AFM-guide-for-authors-may-2018-1526994585463.pdf" xr:uid="{00000000-0004-0000-0100-00000E000000}"/>
    <hyperlink ref="M10" r:id="rId16" display="https://wol-prod-cdn.literatumonline.com/pb-assets/assets/15214095/2089_guidelines-1510017322000.pdf" xr:uid="{00000000-0004-0000-0100-00000F000000}"/>
    <hyperlink ref="AG10" r:id="rId17" display="https://onlinelibrary.wiley.com/pb-assets/assets/15214095/2089_guidelines.pdf" xr:uid="{00000000-0004-0000-0100-000010000000}"/>
    <hyperlink ref="M11" r:id="rId18" display="https://www.aeaweb.org/journals/aer/reviewers" xr:uid="{00000000-0004-0000-0100-000011000000}"/>
    <hyperlink ref="AC11" r:id="rId19" display="https://www.aeaweb.org/content/file?id=222" xr:uid="{00000000-0004-0000-0100-000012000000}"/>
    <hyperlink ref="AG11" r:id="rId20" display="https://www.aeaweb.org/journals/policies/copyright" xr:uid="{00000000-0004-0000-0100-000013000000}"/>
    <hyperlink ref="M12" r:id="rId21" display="https://ajps.org/guidelines-for-manuscripts/" xr:uid="{00000000-0004-0000-0100-000014000000}"/>
    <hyperlink ref="AC12" r:id="rId22" display="https://ajps.org/ajps-reviewer-instructions/" xr:uid="{00000000-0004-0000-0100-000015000000}"/>
    <hyperlink ref="AG12" r:id="rId23" display="https://ajpsblogging.files.wordpress.com/2015/09/ajps-author-resources-ver-1-0.pdf" xr:uid="{00000000-0004-0000-0100-000016000000}"/>
    <hyperlink ref="M13" r:id="rId24" display="https://ajph.aphapublications.org/page/authors.html" xr:uid="{00000000-0004-0000-0100-000017000000}"/>
    <hyperlink ref="AC13" r:id="rId25" display="https://ajph.aphapublications.org/page/authors.html" xr:uid="{00000000-0004-0000-0100-000018000000}"/>
    <hyperlink ref="M14" r:id="rId26" display="https://www.apsanet.org/APSR-Submission-Guidelines" xr:uid="{00000000-0004-0000-0100-000019000000}"/>
    <hyperlink ref="M15" r:id="rId27" location="submission-guidelines" display="https://us.sagepub.com/en-us/nam/journal/american-sociological-review - submission-guidelines" xr:uid="{00000000-0004-0000-0100-00001A000000}"/>
    <hyperlink ref="O15" r:id="rId28" display="https://us.sagepub.com/en-us/nam/reviewer-rewards" xr:uid="{00000000-0004-0000-0100-00001B000000}"/>
    <hyperlink ref="AC15" r:id="rId29" display="https://uk.sagepub.com/en-gb/eur/how-to-review-articles" xr:uid="{00000000-0004-0000-0100-00001C000000}"/>
    <hyperlink ref="AG15" r:id="rId30" display="https://us.sagepub.com/en-us/nam/prior-publication" xr:uid="{00000000-0004-0000-0100-00001D000000}"/>
    <hyperlink ref="AG16" r:id="rId31" display="https://onlinelibrary.wiley.com/page/journal/15213773/homepage/notice-to-authors" xr:uid="{00000000-0004-0000-0100-00001E000000}"/>
    <hyperlink ref="M17" r:id="rId32" display="http://annals.org/aim/pages/authors" xr:uid="{00000000-0004-0000-0100-00001F000000}"/>
    <hyperlink ref="O17" r:id="rId33" display="http://annals.org/aim/pages/authors" xr:uid="{00000000-0004-0000-0100-000020000000}"/>
    <hyperlink ref="AC17" r:id="rId34" display="http://annals.org/aim/pages/authors" xr:uid="{00000000-0004-0000-0100-000021000000}"/>
    <hyperlink ref="AG17" r:id="rId35" display="http://annals.org/aim/pages/authors" xr:uid="{00000000-0004-0000-0100-000022000000}"/>
    <hyperlink ref="M18" r:id="rId36" display="https://academic.oup.com/annonc/pages/General_Instructions" xr:uid="{00000000-0004-0000-0100-000023000000}"/>
    <hyperlink ref="AG18" r:id="rId37" display="https://academic.oup.com/journals/pages/access_purchase/rights_and_permissions/author_self_archiving_policy" xr:uid="{00000000-0004-0000-0100-000024000000}"/>
    <hyperlink ref="M19" r:id="rId38" display="https://ard.bmj.com/pages/about/" xr:uid="{00000000-0004-0000-0100-000025000000}"/>
    <hyperlink ref="O19" r:id="rId39" display="https://authors.bmj.com/policies/peer-review-terms-and-conditions/" xr:uid="{00000000-0004-0000-0100-000026000000}"/>
    <hyperlink ref="R19" r:id="rId40" display="https://authors.bmj.com/policies/peer-review-terms-and-conditions/" xr:uid="{00000000-0004-0000-0100-000027000000}"/>
    <hyperlink ref="AC19" r:id="rId41" display="https://authors.bmj.com/policies/peer-review-terms-and-conditions/" xr:uid="{00000000-0004-0000-0100-000028000000}"/>
    <hyperlink ref="AG19" r:id="rId42" display="https://authors.bmj.com/policies/preprints/" xr:uid="{00000000-0004-0000-0100-000029000000}"/>
    <hyperlink ref="M20" r:id="rId43" display="https://www.elsevier.com/journals/annals-of-tourism-research/0160-7383?generatepdf=true" xr:uid="{00000000-0004-0000-0100-00002A000000}"/>
    <hyperlink ref="O20" r:id="rId44" location="recognizing" display="https://www.elsevier.com/reviewers/role - recognizing" xr:uid="{00000000-0004-0000-0100-00002B000000}"/>
    <hyperlink ref="R20" r:id="rId45" display="https://www.elsevier.com/reviewers/what-is-peer-review" xr:uid="{00000000-0004-0000-0100-00002C000000}"/>
    <hyperlink ref="AG20" r:id="rId46" display="https://www.elsevier.com/about/policies/sharing" xr:uid="{00000000-0004-0000-0100-00002D000000}"/>
    <hyperlink ref="M21" r:id="rId47" location="20910" display="https://www.elsevier.com/journals/applied-energy/0306-2619/guide-for-authors - 20910" xr:uid="{00000000-0004-0000-0100-00002E000000}"/>
    <hyperlink ref="O21" r:id="rId48" location="recognizing" display="https://www.elsevier.com/reviewers/role - recognizing" xr:uid="{00000000-0004-0000-0100-00002F000000}"/>
    <hyperlink ref="R21" r:id="rId49" display="https://www.elsevier.com/reviewers/what-is-peer-review" xr:uid="{00000000-0004-0000-0100-000030000000}"/>
    <hyperlink ref="AG21" r:id="rId50" display="https://www.elsevier.com/about/policies/sharing" xr:uid="{00000000-0004-0000-0100-000031000000}"/>
    <hyperlink ref="M22" r:id="rId51" display="https://academic.oup.com/applij/pages/General_Instructions" xr:uid="{00000000-0004-0000-0100-000032000000}"/>
    <hyperlink ref="AC22" r:id="rId52" display="https://academic.oup.com/journals/pages/authors/ethics" xr:uid="{00000000-0004-0000-0100-000033000000}"/>
    <hyperlink ref="AG22" r:id="rId53" display="https://academic.oup.com/journals/pages/access_purchase/rights_and_permissions/author_self_archiving_policy" xr:uid="{00000000-0004-0000-0100-000034000000}"/>
    <hyperlink ref="M23" r:id="rId54" display="https://aip.scitation.org/apl/info/policies" xr:uid="{00000000-0004-0000-0100-000035000000}"/>
    <hyperlink ref="R23" r:id="rId55" display="https://aip.scitation.org/apl/info/policies" xr:uid="{00000000-0004-0000-0100-000036000000}"/>
    <hyperlink ref="AG24" r:id="rId56" display="https://www.aanda.org/author-information" xr:uid="{00000000-0004-0000-0100-000037000000}"/>
    <hyperlink ref="M25" r:id="rId57" display="https://www.elsevier.com/journals/biomaterials/0142-9612?generatepdf=true" xr:uid="{00000000-0004-0000-0100-000038000000}"/>
    <hyperlink ref="O25" r:id="rId58" location="recognizing" display="https://www.elsevier.com/reviewers/role - recognizing" xr:uid="{00000000-0004-0000-0100-000039000000}"/>
    <hyperlink ref="R25" r:id="rId59" display="https://www.elsevier.com/reviewers/what-is-peer-review" xr:uid="{00000000-0004-0000-0100-00003A000000}"/>
    <hyperlink ref="AC25" r:id="rId60" display="https://www.elsevier.com/reviewers/how-to-review" xr:uid="{00000000-0004-0000-0100-00003B000000}"/>
    <hyperlink ref="M26" r:id="rId61" display="http://www.bloodjournal.org/page/authors/author-guide/peer-review" xr:uid="{00000000-0004-0000-0100-00003C000000}"/>
    <hyperlink ref="O26" r:id="rId62" display="http://www.bloodjournal.org/page/authors/author-guide/peer-review" xr:uid="{00000000-0004-0000-0100-00003D000000}"/>
    <hyperlink ref="AC26" r:id="rId63" display="http://www.bloodjournal.org/page/authors/author-guide/peer-review" xr:uid="{00000000-0004-0000-0100-00003E000000}"/>
    <hyperlink ref="AG26" r:id="rId64" display="http://www.bloodjournal.org/page/authors/author-guide/Editorial-policies-for-authors" xr:uid="{00000000-0004-0000-0100-00003F000000}"/>
    <hyperlink ref="M27" r:id="rId65" display="https://www.bmj.com/about-bmj/resources-reviewers" xr:uid="{00000000-0004-0000-0100-000040000000}"/>
    <hyperlink ref="O27" r:id="rId66" display="https://authors.bmj.com/for-reviewers/reviewer-recognition/" xr:uid="{00000000-0004-0000-0100-000041000000}"/>
    <hyperlink ref="Q27" r:id="rId67" display="https://authors.bmj.com/policies/peer-review-terms-and-conditions/" xr:uid="{00000000-0004-0000-0100-000042000000}"/>
    <hyperlink ref="R27" r:id="rId68" display="https://authors.bmj.com/policies/peer-review-terms-and-conditions/" xr:uid="{00000000-0004-0000-0100-000043000000}"/>
    <hyperlink ref="AA27" r:id="rId69" display="https://authors.bmj.com/policies/peer-review-terms-and-conditions/" xr:uid="{00000000-0004-0000-0100-000044000000}"/>
    <hyperlink ref="AC27" r:id="rId70" display="https://www.bmj.com/about-bmj/resources-reviewers" xr:uid="{00000000-0004-0000-0100-000045000000}"/>
    <hyperlink ref="AG27" r:id="rId71" display="https://authors.bmj.com/policies/preprints/" xr:uid="{00000000-0004-0000-0100-000046000000}"/>
    <hyperlink ref="M28" r:id="rId72" display="https://www.cell.com/reviewers" xr:uid="{00000000-0004-0000-0100-000047000000}"/>
    <hyperlink ref="R28" r:id="rId73" display="https://www.cell.com/cancer-cell/articletransfer" xr:uid="{00000000-0004-0000-0100-000048000000}"/>
    <hyperlink ref="AA28" r:id="rId74" display="https://publons.com/journal/573/cancer-cell" xr:uid="{00000000-0004-0000-0100-000049000000}"/>
    <hyperlink ref="AC28" r:id="rId75" display="https://www.cell.com/reviewers" xr:uid="{00000000-0004-0000-0100-00004A000000}"/>
    <hyperlink ref="AG28" r:id="rId76" display="https://www.cell.com/cancer-cell/authors" xr:uid="{00000000-0004-0000-0100-00004B000000}"/>
    <hyperlink ref="AI28" r:id="rId77" display="https://arxiv.org/" xr:uid="{00000000-0004-0000-0100-00004C000000}"/>
    <hyperlink ref="AL28" r:id="rId78" location="prepub" display="https://www.cell.com/cancer-cell/authors - prepub" xr:uid="{00000000-0004-0000-0100-00004D000000}"/>
    <hyperlink ref="M29" r:id="rId79" location="peerrev" display="http://aacrjournals.org/content/authors/editorial-process - peerrev" xr:uid="{00000000-0004-0000-0100-00004E000000}"/>
    <hyperlink ref="O29" r:id="rId80" display="http://aacrjournals.org/site/Info/Reviewers.xhtml" xr:uid="{00000000-0004-0000-0100-00004F000000}"/>
    <hyperlink ref="R29" r:id="rId81" display="http://aacrjournals.org/content/authors/manuscript-transfer" xr:uid="{00000000-0004-0000-0100-000050000000}"/>
    <hyperlink ref="AG29" r:id="rId82" display="http://aacrjournals.org/content/authors/editorial-policies" xr:uid="{00000000-0004-0000-0100-000051000000}"/>
    <hyperlink ref="M30" r:id="rId83" display="https://www.cell.com/reviewers" xr:uid="{00000000-0004-0000-0100-000052000000}"/>
    <hyperlink ref="R30" r:id="rId84" display="https://www.cell.com/cell/articletransfer" xr:uid="{00000000-0004-0000-0100-000053000000}"/>
    <hyperlink ref="AC30" r:id="rId85" display="https://www.cell.com/reviewers" xr:uid="{00000000-0004-0000-0100-000054000000}"/>
    <hyperlink ref="AG30" r:id="rId86" display="https://www.cell.com/cell/authors" xr:uid="{00000000-0004-0000-0100-000055000000}"/>
    <hyperlink ref="AI30" r:id="rId87" display="https://arxiv.org/" xr:uid="{00000000-0004-0000-0100-000056000000}"/>
    <hyperlink ref="M31" r:id="rId88" display="https://www.cell.com/reviewers" xr:uid="{00000000-0004-0000-0100-000057000000}"/>
    <hyperlink ref="R31" r:id="rId89" display="https://www.cell.com/cell-metabolism/articletransfer" xr:uid="{00000000-0004-0000-0100-000058000000}"/>
    <hyperlink ref="AC31" r:id="rId90" display="https://www.cell.com/reviewers" xr:uid="{00000000-0004-0000-0100-000059000000}"/>
    <hyperlink ref="AG31" r:id="rId91" display="https://www.cell.com/cell-metabolism/authors" xr:uid="{00000000-0004-0000-0100-00005A000000}"/>
    <hyperlink ref="AI31" r:id="rId92" display="https://arxiv.org/" xr:uid="{00000000-0004-0000-0100-00005B000000}"/>
    <hyperlink ref="M32" r:id="rId93" display="https://www.cell.com/reviewers" xr:uid="{00000000-0004-0000-0100-00005C000000}"/>
    <hyperlink ref="R32" r:id="rId94" display="https://www.cell.com/cell-stem-cell/articletransfer" xr:uid="{00000000-0004-0000-0100-00005D000000}"/>
    <hyperlink ref="AC32" r:id="rId95" display="https://www.cell.com/reviewers" xr:uid="{00000000-0004-0000-0100-00005E000000}"/>
    <hyperlink ref="AG32" r:id="rId96" display="https://www.cell.com/cell-stem-cell/authors" xr:uid="{00000000-0004-0000-0100-00005F000000}"/>
    <hyperlink ref="AI32" r:id="rId97" display="https://arxiv.org/" xr:uid="{00000000-0004-0000-0100-000060000000}"/>
    <hyperlink ref="M33" r:id="rId98" display="http://www.rsc.org/journals-books-databases/journal-authors-reviewers/reviewer-responsibilities/" xr:uid="{00000000-0004-0000-0100-000061000000}"/>
    <hyperlink ref="O33" r:id="rId99" location="becoming-reviewer" display="http://www.rsc.org/journals-books-databases/journal-authors-reviewers/reviewer-responsibilities/ - becoming-reviewer" xr:uid="{00000000-0004-0000-0100-000062000000}"/>
    <hyperlink ref="R33" r:id="rId100" location="transfers" display="http://www.rsc.org/journals-books-databases/journal-authors-reviewers/processes-policies/ - transfers" xr:uid="{00000000-0004-0000-0100-000063000000}"/>
    <hyperlink ref="AG33" r:id="rId101" location="prior-publication" display="http://www.rsc.org/journals-books-databases/journal-authors-reviewers/processes-policies/ - prior-publication" xr:uid="{00000000-0004-0000-0100-000064000000}"/>
    <hyperlink ref="M34" r:id="rId102" display="https://pubs.acs.org/page/chreay/submission/reviewers.html" xr:uid="{00000000-0004-0000-0100-000065000000}"/>
    <hyperlink ref="R34" r:id="rId103" display="https://pubs.acs.org/page/policy/manuscript_transfer/index.html" xr:uid="{00000000-0004-0000-0100-000066000000}"/>
    <hyperlink ref="AG34" r:id="rId104" display="https://pubs.acs.org/page/chreay/submission/prior.html" xr:uid="{00000000-0004-0000-0100-000067000000}"/>
    <hyperlink ref="M35" r:id="rId105" display="http://www.rsc.org/journals-books-databases/journal-authors-reviewers/reviewer-responsibilities/" xr:uid="{00000000-0004-0000-0100-000068000000}"/>
    <hyperlink ref="O35" r:id="rId106" location="becoming-reviewer" display="http://www.rsc.org/journals-books-databases/journal-authors-reviewers/reviewer-responsibilities/ - becoming-reviewer" xr:uid="{00000000-0004-0000-0100-000069000000}"/>
    <hyperlink ref="R35" r:id="rId107" location="transfers" display="http://www.rsc.org/journals-books-databases/journal-authors-reviewers/processes-policies/ - transfers" xr:uid="{00000000-0004-0000-0100-00006A000000}"/>
    <hyperlink ref="AC35" r:id="rId108" location="ethical-responsibilities" display="https://www.rsc.org/journals-books-databases/journal-authors-reviewers/reviewer-responsibilities/ - ethical-responsibilities" xr:uid="{00000000-0004-0000-0100-00006B000000}"/>
    <hyperlink ref="AG35" r:id="rId109" location="prior-publication" display="http://www.rsc.org/journals-books-databases/journal-authors-reviewers/processes-policies/ - prior-publication" xr:uid="{00000000-0004-0000-0100-00006C000000}"/>
    <hyperlink ref="M36" r:id="rId110" display="https://pubs.acs.org/paragonplus/submission/cmatex/cmatex_scope.pdf" xr:uid="{00000000-0004-0000-0100-00006D000000}"/>
    <hyperlink ref="R36" r:id="rId111" display="https://pubs.acs.org/page/policy/manuscript_transfer/index.html" xr:uid="{00000000-0004-0000-0100-00006E000000}"/>
    <hyperlink ref="AG36" r:id="rId112" display="https://pubs.acs.org/page/cmatex/submission/prior.html" xr:uid="{00000000-0004-0000-0100-00006F000000}"/>
    <hyperlink ref="AP36" r:id="rId113" display="https://pubs.acs.org/paragonplus/submission/cmatex/cmatex_authguide.pdf" xr:uid="{00000000-0004-0000-0100-000070000000}"/>
    <hyperlink ref="M37" r:id="rId114" display="https://www.ahajournals.org/pb-assets/Ethical ConductPolicyApril2017finalWeb.pdf" xr:uid="{00000000-0004-0000-0100-000071000000}"/>
    <hyperlink ref="AG37" r:id="rId115" display="https://www.ahajournals.org/prior-publication-policy" xr:uid="{00000000-0004-0000-0100-000072000000}"/>
    <hyperlink ref="AP37" r:id="rId116" display="https://www.ahajournals.org/pb-assets/Ethical ConductPolicyApril2017finalWeb.pdf" xr:uid="{00000000-0004-0000-0100-000073000000}"/>
    <hyperlink ref="M38" r:id="rId117" display="https://www.ahajournals.org/pb-assets/Ethical ConductPolicyApril2017finalWeb.pdf" xr:uid="{00000000-0004-0000-0100-000074000000}"/>
    <hyperlink ref="AC38" r:id="rId118" display="https://www.ahajournals.org/pb-assets/Ethical ConductPolicyApril2017finalWeb.pdf" xr:uid="{00000000-0004-0000-0100-000075000000}"/>
    <hyperlink ref="AG38" r:id="rId119" display="https://www.ahajournals.org/prior-publication-policy" xr:uid="{00000000-0004-0000-0100-000076000000}"/>
    <hyperlink ref="AP38" r:id="rId120" display="https://www.ahajournals.org/pb-assets/Ethical ConductPolicyApril2017finalWeb.pdf" xr:uid="{00000000-0004-0000-0100-000077000000}"/>
    <hyperlink ref="M39" r:id="rId121" location="peerrev" display="http://aacrjournals.org/content/authors/editorial-process - peerrev" xr:uid="{00000000-0004-0000-0100-000078000000}"/>
    <hyperlink ref="O39" r:id="rId122" display="http://aacrjournals.org/site/Info/Reviewers.xhtml" xr:uid="{00000000-0004-0000-0100-000079000000}"/>
    <hyperlink ref="R39" r:id="rId123" display="http://aacrjournals.org/content/authors/manuscript-transfer" xr:uid="{00000000-0004-0000-0100-00007A000000}"/>
    <hyperlink ref="AC39" r:id="rId124" display="https://ccr.msubmit.net/cgi-bin/main.plex?form_type=display_rev_instructions" xr:uid="{00000000-0004-0000-0100-00007B000000}"/>
    <hyperlink ref="AG39" r:id="rId125" display="http://aacrjournals.org/content/authors/editorial-policies" xr:uid="{00000000-0004-0000-0100-00007C000000}"/>
    <hyperlink ref="AP39" r:id="rId126" display="https://ccr.msubmit.net/cgi-bin/main.plex?form_type=display_rev_instructions" xr:uid="{00000000-0004-0000-0100-00007D000000}"/>
    <hyperlink ref="M40" r:id="rId127" display="https://www.elsevier.com/journals/computers-and-education/0360-1315?generatepdf=true" xr:uid="{00000000-0004-0000-0100-00007E000000}"/>
    <hyperlink ref="O40" r:id="rId128" location="recognizing" display="https://www.elsevier.com/reviewers/role - recognizing" xr:uid="{00000000-0004-0000-0100-00007F000000}"/>
    <hyperlink ref="Q40" r:id="rId129" display="https://www.elsevier.com/authors/journal-authors/submit-your-paper" xr:uid="{00000000-0004-0000-0100-000080000000}"/>
    <hyperlink ref="R40" r:id="rId130" display="https://www.elsevier.com/reviewers/what-is-peer-review" xr:uid="{00000000-0004-0000-0100-000081000000}"/>
    <hyperlink ref="AG40" r:id="rId131" display="https://www.elsevier.com/journals/computers-and-education/0360-1315?generatepdf=true" xr:uid="{00000000-0004-0000-0100-000082000000}"/>
    <hyperlink ref="AP40" r:id="rId132" display="https://www.elsevier.com/journals/computers-and-education/0360-1315/guide-for-authors" xr:uid="{00000000-0004-0000-0100-000083000000}"/>
    <hyperlink ref="M41" r:id="rId133" location="peerreview" display="http://www.diabetesjournals.org/content/journal-policies - peerreview" xr:uid="{00000000-0004-0000-0100-000084000000}"/>
    <hyperlink ref="O41" r:id="rId134" display="http://www.diabetesjournals.org/for-reviewers" xr:uid="{00000000-0004-0000-0100-000085000000}"/>
    <hyperlink ref="AC41" r:id="rId135" display="http://www.diabetesjournals.org/for-reviewers" xr:uid="{00000000-0004-0000-0100-000086000000}"/>
    <hyperlink ref="AG41" r:id="rId136" location="originality" display="http://www.diabetesjournals.org/content/journal-policies - originality" xr:uid="{00000000-0004-0000-0100-000087000000}"/>
    <hyperlink ref="AL41" r:id="rId137" display="http://care.diabetesjournals.org/content/early/recent" xr:uid="{00000000-0004-0000-0100-000088000000}"/>
    <hyperlink ref="M42" r:id="rId138" location="Peer_review" display="https://www.tandfonline.com/action/authorSubmission?journalCode=rdij20&amp;page=instructions - Peer_review" xr:uid="{00000000-0004-0000-0100-000089000000}"/>
    <hyperlink ref="AP42" r:id="rId139" display="https://www.tandfonline.com/action/authorSubmission?show=instructions&amp;journalCode=rdij20" xr:uid="{00000000-0004-0000-0100-00008A000000}"/>
    <hyperlink ref="M43" r:id="rId140" location="reviewprocess" display="https://www.econometricsociety.org/publications/econometrica/information-authors/editorial-procedures-and-policies - reviewprocess" xr:uid="{00000000-0004-0000-0100-00008B000000}"/>
    <hyperlink ref="R43" r:id="rId141" location="sharing" display="https://www.econometricsociety.org/publications/econometrica/information-authors/editorial-procedures-and-policies - sharing" xr:uid="{00000000-0004-0000-0100-00008C000000}"/>
    <hyperlink ref="AG43" r:id="rId142" location="priorpublication" display="https://www.econometricsociety.org/publications/econometrica/information-authors/editorial-procedures-and-policies - priorpublication" xr:uid="{00000000-0004-0000-0100-00008D000000}"/>
    <hyperlink ref="M44" r:id="rId143" location="review-procedure" display="http://www.rsc.org/journals-books-databases/journal-authors-reviewers/reviewer-responsibilities/ - review-procedure" xr:uid="{00000000-0004-0000-0100-00008E000000}"/>
    <hyperlink ref="R44" r:id="rId144" location="transfers" display="https://www.rsc.org/journals-books-databases/journal-authors-reviewers/processes-policies/ - transfers" xr:uid="{00000000-0004-0000-0100-00008F000000}"/>
    <hyperlink ref="AG44" r:id="rId145" location="prior-publication" display="https://www.rsc.org/journals-books-databases/journal-authors-reviewers/processes-policies/ - prior-publication" xr:uid="{00000000-0004-0000-0100-000090000000}"/>
    <hyperlink ref="M45" r:id="rId146" display="https://pubs.acs.org/paragonplus/submission/esthag/esthag_authguide.pdf" xr:uid="{00000000-0004-0000-0100-000091000000}"/>
    <hyperlink ref="R45" r:id="rId147" display="https://pubs.acs.org/paragonplus/submission/esthag/esthag_authguide.pdf" xr:uid="{00000000-0004-0000-0100-000092000000}"/>
    <hyperlink ref="AG45" r:id="rId148" display="https://pubs.acs.org/page/esthag/submission/prior.html" xr:uid="{00000000-0004-0000-0100-000093000000}"/>
    <hyperlink ref="M46" r:id="rId149" location="3.1" display="https://academic.oup.com/eurheartj/pages/General_Instructions - 3.1" xr:uid="{00000000-0004-0000-0100-000094000000}"/>
    <hyperlink ref="R46" r:id="rId150" display="https://academic.oup.com/eurheartj/pages/Manuscript_Sharing" xr:uid="{00000000-0004-0000-0100-000095000000}"/>
    <hyperlink ref="AG46" r:id="rId151" display="https://academic.oup.com/journals/pages/access_purchase/rights_and_permissions/self_archiving_policy_b" xr:uid="{00000000-0004-0000-0100-000096000000}"/>
    <hyperlink ref="M47" r:id="rId152" display="https://www.europeanurology.com/content/resources-for-authors" xr:uid="{00000000-0004-0000-0100-000097000000}"/>
    <hyperlink ref="O47" r:id="rId153" location="RRP" display="https://www.elsevier.com/reviewers/role - RRP" xr:uid="{00000000-0004-0000-0100-000098000000}"/>
    <hyperlink ref="R47" r:id="rId154" display="https://www.elsevier.com/reviewers/what-is-peer-review" xr:uid="{00000000-0004-0000-0100-000099000000}"/>
    <hyperlink ref="M48" r:id="rId155" display="https://www.gastrojournal.org/content/authorinfo" xr:uid="{00000000-0004-0000-0100-00009A000000}"/>
    <hyperlink ref="O48" r:id="rId156" display="https://www.gastrojournal.org/content/authorinfo" xr:uid="{00000000-0004-0000-0100-00009B000000}"/>
    <hyperlink ref="R48" r:id="rId157" display="https://www.elsevier.com/reviewers/what-is-peer-review" xr:uid="{00000000-0004-0000-0100-00009C000000}"/>
    <hyperlink ref="AC48" r:id="rId158" display="https://www.gastrojournal.org/content/authorinfo" xr:uid="{00000000-0004-0000-0100-00009D000000}"/>
    <hyperlink ref="AG48" r:id="rId159" display="https://www.gastrojournal.org/content/authorinfo" xr:uid="{00000000-0004-0000-0100-00009E000000}"/>
    <hyperlink ref="M49" r:id="rId160" location="submission-guidelines" display="https://uk.sagepub.com/en-gb/eur/gender-society/journal200793 - submission-guidelines" xr:uid="{00000000-0004-0000-0100-00009F000000}"/>
    <hyperlink ref="O49" r:id="rId161" display="https://uk.sagepub.com/en-gb/eur/online-submission-peer-review-system" xr:uid="{00000000-0004-0000-0100-0000A0000000}"/>
    <hyperlink ref="AG49" r:id="rId162" display="https://uk.sagepub.com/en-gb/eur/prior-publication" xr:uid="{00000000-0004-0000-0100-0000A1000000}"/>
    <hyperlink ref="M50" r:id="rId163" display="https://publications.agu.org/author-resource-center/steps-to-publication/" xr:uid="{00000000-0004-0000-0100-0000A2000000}"/>
    <hyperlink ref="O50" r:id="rId164" display="https://publications.agu.org/reviewer-resources/" xr:uid="{00000000-0004-0000-0100-0000A3000000}"/>
    <hyperlink ref="AC50" r:id="rId165" display="https://publications.agu.org/reviewer-resources/" xr:uid="{00000000-0004-0000-0100-0000A4000000}"/>
    <hyperlink ref="AG50" r:id="rId166" display="https://publications.agu.org/author-resource-center/publication-policies/dual-publication-policy/" xr:uid="{00000000-0004-0000-0100-0000A5000000}"/>
    <hyperlink ref="M51" r:id="rId167" display="https://www.elsevier.com/journals/global-environmental-change/0959-3780/guide-for-authors" xr:uid="{00000000-0004-0000-0100-0000A6000000}"/>
    <hyperlink ref="O51" r:id="rId168" location="recognizing" display="https://www.elsevier.com/reviewers/role - recognizing" xr:uid="{00000000-0004-0000-0100-0000A7000000}"/>
    <hyperlink ref="R51" r:id="rId169" display="https://www.elsevier.com/reviewers/what-is-peer-review" xr:uid="{00000000-0004-0000-0100-0000A8000000}"/>
    <hyperlink ref="AC51" r:id="rId170" display="https://www.elsevier.com/reviewers/how-to-review" xr:uid="{00000000-0004-0000-0100-0000A9000000}"/>
    <hyperlink ref="AG51" r:id="rId171" display="https://www.elsevier.com/about/policies/sharing" xr:uid="{00000000-0004-0000-0100-0000AA000000}"/>
    <hyperlink ref="M52" r:id="rId172" display="https://www.elsevier.com/journals/government-information-quarterly/0740-624X?generatepdf=true" xr:uid="{00000000-0004-0000-0100-0000AB000000}"/>
    <hyperlink ref="R52" r:id="rId173" display="https://www.journals.elsevier.com/government-information-quarterly/announcements" xr:uid="{00000000-0004-0000-0100-0000AC000000}"/>
    <hyperlink ref="AC52" r:id="rId174" display="https://www.elsevier.com/reviewers/how-to-review" xr:uid="{00000000-0004-0000-0100-0000AD000000}"/>
    <hyperlink ref="AG52" r:id="rId175" display="https://www.elsevier.com/about/policies/sharing" xr:uid="{00000000-0004-0000-0100-0000AE000000}"/>
    <hyperlink ref="M53" r:id="rId176" display="https://authors.bmj.com/policies/peer-review-terms-and-conditions/" xr:uid="{00000000-0004-0000-0100-0000AF000000}"/>
    <hyperlink ref="R53" r:id="rId177" location="manuscript_transfer" display="https://gut.bmj.com/pages/authors/ - manuscript_transfer" xr:uid="{00000000-0004-0000-0100-0000B0000000}"/>
    <hyperlink ref="AC53" r:id="rId178" display="https://authors.bmj.com/policies/peer-review-terms-and-conditions/" xr:uid="{00000000-0004-0000-0100-0000B1000000}"/>
    <hyperlink ref="AG53" r:id="rId179" display="https://authors.bmj.com/policies/preprints/" xr:uid="{00000000-0004-0000-0100-0000B2000000}"/>
    <hyperlink ref="M54" r:id="rId180" display="https://www.healthaffairs.org/help-for-authors" xr:uid="{00000000-0004-0000-0100-0000B3000000}"/>
    <hyperlink ref="O54" r:id="rId181" display="https://www.healthaffairs.org/help-for-reviewers" xr:uid="{00000000-0004-0000-0100-0000B4000000}"/>
    <hyperlink ref="AC54" r:id="rId182" display="https://www.healthaffairs.org/help-for-reviewers" xr:uid="{00000000-0004-0000-0100-0000B5000000}"/>
    <hyperlink ref="AG54" r:id="rId183" display="https://www.healthaffairs.org/help-for-authors" xr:uid="{00000000-0004-0000-0100-0000B6000000}"/>
    <hyperlink ref="M55" r:id="rId184" display="https://aasldpubs.onlinelibrary.wiley.com/hub/journal/15273350/about/author-guidelines" xr:uid="{00000000-0004-0000-0100-0000B7000000}"/>
    <hyperlink ref="AG55" r:id="rId185" display="https://aasldpubs.onlinelibrary.wiley.com/hub/journal/15273350/about/author-guidelines" xr:uid="{00000000-0004-0000-0100-0000B8000000}"/>
    <hyperlink ref="M56" r:id="rId186" display="https://www.comsoc.org/publications/magazines/ieee-communications-magazine/magazine-reviewer" xr:uid="{00000000-0004-0000-0100-0000B9000000}"/>
    <hyperlink ref="AG56" r:id="rId187" display="https://pspb.ieee.org/images/files/files/opsmanual.pdf" xr:uid="{00000000-0004-0000-0100-0000BA000000}"/>
    <hyperlink ref="M57" r:id="rId188" display="https://www.comsoc.org/publications/journals/ieee-comst/guidelines-reviewers" xr:uid="{00000000-0004-0000-0100-0000BB000000}"/>
    <hyperlink ref="AG57" r:id="rId189" display="https://pspb.ieee.org/images/files/files/opsmanual.pdf" xr:uid="{00000000-0004-0000-0100-0000BC000000}"/>
    <hyperlink ref="M58" r:id="rId190" display="http://cvpr2019.thecvf.com/" xr:uid="{00000000-0004-0000-0100-0000BD000000}"/>
    <hyperlink ref="AC58" r:id="rId191" display="http://cvpr2019.thecvf.com/submission/main_conference/reviewer_guidelines" xr:uid="{00000000-0004-0000-0100-0000BE000000}"/>
    <hyperlink ref="AG58" r:id="rId192" display="http://cvpr2019.thecvf.com/submission/main_conference/author_guidelines" xr:uid="{00000000-0004-0000-0100-0000BF000000}"/>
    <hyperlink ref="M59" r:id="rId193" display="http://iccv2019.thecvf.com/submission/timeline" xr:uid="{00000000-0004-0000-0100-0000C0000000}"/>
    <hyperlink ref="AC59" r:id="rId194" display="http://iccv2019.thecvf.com/submission/main_conference/reviewer_guidelines" xr:uid="{00000000-0004-0000-0100-0000C1000000}"/>
    <hyperlink ref="AG59" r:id="rId195" display="http://iccv2019.thecvf.com/submission/main_conference/author_guidelines" xr:uid="{00000000-0004-0000-0100-0000C2000000}"/>
    <hyperlink ref="M60" r:id="rId196" display="https://ieeeauthorcenter.ieee.org/peer-review-at-ieee/" xr:uid="{00000000-0004-0000-0100-0000C3000000}"/>
    <hyperlink ref="AG60" r:id="rId197" display="https://ieeeauthorcenter.ieee.org/publishing-ethics/guidelines-and-policies/policy-posting-your-article/" xr:uid="{00000000-0004-0000-0100-0000C4000000}"/>
    <hyperlink ref="M61" r:id="rId198" display="https://ieeeauthorcenter.ieee.org/peer-review-at-ieee/" xr:uid="{00000000-0004-0000-0100-0000C5000000}"/>
    <hyperlink ref="AG61" r:id="rId199" display="https://ieeeauthorcenter.ieee.org/publishing-ethics/guidelines-and-policies/policy-posting-your-article/" xr:uid="{00000000-0004-0000-0100-0000C6000000}"/>
    <hyperlink ref="M62" r:id="rId200" display="https://ieeeauthorcenter.ieee.org/peer-review-at-ieee/" xr:uid="{00000000-0004-0000-0100-0000C7000000}"/>
    <hyperlink ref="AG62" r:id="rId201" display="https://ieeeauthorcenter.ieee.org/publishing-ethics/guidelines-and-policies/policy-posting-your-article/" xr:uid="{00000000-0004-0000-0100-0000C8000000}"/>
    <hyperlink ref="M63" r:id="rId202" display="https://ieeeauthorcenter.ieee.org/peer-review-at-ieee/ethics-in-peer-review/" xr:uid="{00000000-0004-0000-0100-0000C9000000}"/>
    <hyperlink ref="AG63" r:id="rId203" display="https://ieeeauthorcenter.ieee.org/publishing-ethics/guidelines-and-policies/policy-posting-your-article/" xr:uid="{00000000-0004-0000-0100-0000CA000000}"/>
    <hyperlink ref="M64" r:id="rId204" display="https://ieeeauthorcenter.ieee.org/peer-review-at-ieee/ethics-in-peer-review/" xr:uid="{00000000-0004-0000-0100-0000CB000000}"/>
    <hyperlink ref="AC64" r:id="rId205" display="https://signalprocessingsociety.org/publications-resources/publications-faq" xr:uid="{00000000-0004-0000-0100-0000CC000000}"/>
    <hyperlink ref="AG64" r:id="rId206" display="https://ieeeauthorcenter.ieee.org/publishing-ethics/guidelines-and-policies/policy-posting-your-article/" xr:uid="{00000000-0004-0000-0100-0000CD000000}"/>
    <hyperlink ref="M65" r:id="rId207" display="https://www.cell.com/reviewers" xr:uid="{00000000-0004-0000-0100-0000CE000000}"/>
    <hyperlink ref="Q65" r:id="rId208" display="http://www.cell.com/immunity/articletransfer" xr:uid="{00000000-0004-0000-0100-0000CF000000}"/>
    <hyperlink ref="AG65" r:id="rId209" display="https://www.cell.com/immunity/authors" xr:uid="{00000000-0004-0000-0100-0000D0000000}"/>
    <hyperlink ref="M67" r:id="rId210" display="https://www.elsevier.com/journals/international-journal-of-production-economics/0925-5273?generatepdf=true" xr:uid="{00000000-0004-0000-0100-0000D1000000}"/>
    <hyperlink ref="O67" r:id="rId211" location="RRP" display="https://www.elsevier.com/reviewers/role - RRP" xr:uid="{00000000-0004-0000-0100-0000D2000000}"/>
    <hyperlink ref="R67" r:id="rId212" display="https://www.elsevier.com/reviewers/what-is-peer-review" xr:uid="{00000000-0004-0000-0100-0000D3000000}"/>
    <hyperlink ref="AC67" r:id="rId213" display="https://www.elsevier.com/reviewers/how-to-review" xr:uid="{00000000-0004-0000-0100-0000D4000000}"/>
    <hyperlink ref="AG67" r:id="rId214" display="https://www.elsevier.com/journals/international-journal-of-production-economics/0925-5273/guide-for-authors" xr:uid="{00000000-0004-0000-0100-0000D5000000}"/>
    <hyperlink ref="M68" r:id="rId215" display="https://jamanetwork.com/journals/jama/pages/instructions-for-authors" xr:uid="{00000000-0004-0000-0100-0000D6000000}"/>
    <hyperlink ref="R68" r:id="rId216" display="https://jamanetwork.com/journals/jama/pages/instructions-for-authors" xr:uid="{00000000-0004-0000-0100-0000D7000000}"/>
    <hyperlink ref="AG68" r:id="rId217" location="SecPreviousorPlannedPresentationorReleaseofInformation" display="https://jamanetwork.com/journals/jama/pages/instructions-for-authors - SecPreviousorPlannedPresentationorReleaseofInformation" xr:uid="{00000000-0004-0000-0100-0000D8000000}"/>
    <hyperlink ref="M69" r:id="rId218" display="https://www.jacionline.org/content/authorinfo" xr:uid="{00000000-0004-0000-0100-0000D9000000}"/>
    <hyperlink ref="R69" r:id="rId219" display="https://www.elsevier.com/authors/journal-authors/submit-your-paper/submit-and-revise/article-transfer-service" xr:uid="{00000000-0004-0000-0100-0000DA000000}"/>
    <hyperlink ref="AG69" r:id="rId220" display="https://www.elsevier.com/about/policies/sharing" xr:uid="{00000000-0004-0000-0100-0000DB000000}"/>
    <hyperlink ref="M70" r:id="rId221" display="https://www.elsevier.com/journals/journal-of-banking-and-finance/0378-4266/guide-for-authors" xr:uid="{00000000-0004-0000-0100-0000DC000000}"/>
    <hyperlink ref="O70" r:id="rId222" location="RRP" display="https://www.elsevier.com/reviewers/role - RRP" xr:uid="{00000000-0004-0000-0100-0000DD000000}"/>
    <hyperlink ref="R70" r:id="rId223" display="https://www.elsevier.com/reviewers/what-is-peer-review" xr:uid="{00000000-0004-0000-0100-0000DE000000}"/>
    <hyperlink ref="AC70" r:id="rId224" display="https://www.elsevier.com/reviewers/how-to-review" xr:uid="{00000000-0004-0000-0100-0000DF000000}"/>
    <hyperlink ref="AG70" r:id="rId225" display="https://www.elsevier.com/about/policies/sharing" xr:uid="{00000000-0004-0000-0100-0000E0000000}"/>
    <hyperlink ref="M71" r:id="rId226" display="https://www.springer.com/philosophy/ethics+and+moral+philosophy/journal/10551" xr:uid="{00000000-0004-0000-0100-0000E1000000}"/>
    <hyperlink ref="O71" r:id="rId227" display="https://www.springer.com/philosophy/ethics+and+moral+philosophy/journal/10551" xr:uid="{00000000-0004-0000-0100-0000E2000000}"/>
    <hyperlink ref="M72" r:id="rId228" display="https://www.elsevier.com/journals/journal-of-business-research/0148-2963/guide-for-authors" xr:uid="{00000000-0004-0000-0100-0000E3000000}"/>
    <hyperlink ref="O72" r:id="rId229" location="recognizing" display="https://www.elsevier.com/reviewers/role - recognizing" xr:uid="{00000000-0004-0000-0100-0000E4000000}"/>
    <hyperlink ref="R72" r:id="rId230" display="https://www.elsevier.com/reviewers/what-is-peer-review" xr:uid="{00000000-0004-0000-0100-0000E5000000}"/>
    <hyperlink ref="AC72" r:id="rId231" display="https://www.elsevier.com/reviewers/how-to-review" xr:uid="{00000000-0004-0000-0100-0000E6000000}"/>
    <hyperlink ref="AG72" r:id="rId232" display="https://www.elsevier.com/about/policies/sharing" xr:uid="{00000000-0004-0000-0100-0000E7000000}"/>
    <hyperlink ref="M73" r:id="rId233" display="https://www.elsevier.com/journals/journal-of-cleaner-production/0959-6526/guide-for-authors" xr:uid="{00000000-0004-0000-0100-0000E8000000}"/>
    <hyperlink ref="O73" r:id="rId234" location="RRP" display="https://www.elsevier.com/reviewers/role - RRP" xr:uid="{00000000-0004-0000-0100-0000E9000000}"/>
    <hyperlink ref="R73" r:id="rId235" display="https://www.elsevier.com/reviewers/what-is-peer-review" xr:uid="{00000000-0004-0000-0100-0000EA000000}"/>
    <hyperlink ref="AC73" r:id="rId236" display="https://www.elsevier.com/reviewers/how-to-review" xr:uid="{00000000-0004-0000-0100-0000EB000000}"/>
    <hyperlink ref="AG73" r:id="rId237" display="https://www.elsevier.com/about/policies/sharing" xr:uid="{00000000-0004-0000-0100-0000EC000000}"/>
    <hyperlink ref="M74" r:id="rId238" display="http://ascopubs.org/jco/site/ifc/my-article-was-submitted.xhtml" xr:uid="{00000000-0004-0000-0100-0000ED000000}"/>
    <hyperlink ref="O74" r:id="rId239" display="http://ascopubs.org/reviewers" xr:uid="{00000000-0004-0000-0100-0000EE000000}"/>
    <hyperlink ref="AG74" r:id="rId240" display="http://ascopubs.org/jco/site/ifc/journal-policies.xhtml" xr:uid="{00000000-0004-0000-0100-0000EF000000}"/>
    <hyperlink ref="M75" r:id="rId241" location="Peer%20review" display="https://academic.oup.com/joc/pages/General_Instructions - Peer%20review" xr:uid="{00000000-0004-0000-0100-0000F0000000}"/>
    <hyperlink ref="AG75" r:id="rId242" display="https://academic.oup.com/journals/pages/access_purchase/rights_and_permissions/self_archiving_policy_f" xr:uid="{00000000-0004-0000-0100-0000F1000000}"/>
    <hyperlink ref="M76" r:id="rId243" display="https://publishingsupport.iopscience.iop.org/becoming-a-journal-reviewer/" xr:uid="{00000000-0004-0000-0100-0000F2000000}"/>
    <hyperlink ref="O76" r:id="rId244" display="https://publishingsupport.iopscience.iop.org/becoming-a-journal-reviewer/" xr:uid="{00000000-0004-0000-0100-0000F3000000}"/>
    <hyperlink ref="R76" r:id="rId245" display="https://publishingsupport.iopscience.iop.org/questions/article-transfer-service/" xr:uid="{00000000-0004-0000-0100-0000F4000000}"/>
    <hyperlink ref="AC76" r:id="rId246" display="https://publishingsupport.iopscience.iop.org/questions/ethics-for-reviewers/" xr:uid="{00000000-0004-0000-0100-0000F5000000}"/>
    <hyperlink ref="AG76" r:id="rId247" display="https://jcap.sissa.it/jcap/help/helpLoader.jsp?pgType=flow" xr:uid="{00000000-0004-0000-0100-0000F6000000}"/>
    <hyperlink ref="M77" r:id="rId248" display="https://www.aeaweb.org/journals/jep/submissions" xr:uid="{00000000-0004-0000-0100-0000F7000000}"/>
    <hyperlink ref="AC78" r:id="rId249" display="https://www.apa.org/pubs/journals/reviewer-instructions.pdf" xr:uid="{00000000-0004-0000-0100-0000F8000000}"/>
    <hyperlink ref="AG78" r:id="rId250" display="https://www.apa.org/pubs/journals/resources/open-science.aspx" xr:uid="{00000000-0004-0000-0100-0000F9000000}"/>
    <hyperlink ref="M79" r:id="rId251" display="https://www.elsevier.com/reviewers/how-to-review" xr:uid="{00000000-0004-0000-0100-0000FA000000}"/>
    <hyperlink ref="O79" r:id="rId252" location="recognizing" display="https://www.elsevier.com/reviewers/role - recognizing" xr:uid="{00000000-0004-0000-0100-0000FB000000}"/>
    <hyperlink ref="R79" r:id="rId253" display="https://www.elsevier.com/authors/journal-authors/submit-your-paper/submit-and-revise/article-transfer-service" xr:uid="{00000000-0004-0000-0100-0000FC000000}"/>
    <hyperlink ref="AC79" r:id="rId254" display="https://www.elsevier.com/reviewers/how-to-review" xr:uid="{00000000-0004-0000-0100-0000FD000000}"/>
    <hyperlink ref="M80" r:id="rId255" display="https://publications.agu.org/reviewer-resources/" xr:uid="{00000000-0004-0000-0100-0000FE000000}"/>
    <hyperlink ref="N80" r:id="rId256" display="https://publications.agu.org/reviewer-resources/review-criteria" xr:uid="{00000000-0004-0000-0100-0000FF000000}"/>
    <hyperlink ref="O80" r:id="rId257" display="https://publications.agu.org/reviewer-resources/" xr:uid="{00000000-0004-0000-0100-000000010000}"/>
    <hyperlink ref="O81" r:id="rId258" location="recognizing" display="https://www.elsevier.com/reviewers/role - recognizing" xr:uid="{00000000-0004-0000-0100-000001010000}"/>
    <hyperlink ref="AG81" r:id="rId259" display="https://www.elsevier.com/about/policies/sharing" xr:uid="{00000000-0004-0000-0100-000002010000}"/>
    <hyperlink ref="M82" r:id="rId260" display="https://www.springer.com/physics/particle+and+nuclear+physics/journal/13130" xr:uid="{00000000-0004-0000-0100-000003010000}"/>
    <hyperlink ref="R82" r:id="rId261" display="https://www.springer.com/us/authors-editors/journal-author/the-springer-transfer-desk" xr:uid="{00000000-0004-0000-0100-000004010000}"/>
    <hyperlink ref="AG82" r:id="rId262" location="arXiv" display="https://jhep.sissa.it/jhep/help/helpLoader.jsp?pgType=author - arXiv" xr:uid="{00000000-0004-0000-0100-000005010000}"/>
    <hyperlink ref="M83" r:id="rId263" display="https://journals.sagepub.com/pb-assets/cmscontent/JOM/JOM_Style_Guide_revised_2017.pdf" xr:uid="{00000000-0004-0000-0100-000006010000}"/>
    <hyperlink ref="O83" r:id="rId264" display="https://us.sagepub.com/en-us/nam/reviewer-rewards" xr:uid="{00000000-0004-0000-0100-000007010000}"/>
    <hyperlink ref="AC83" r:id="rId265" display="https://us.sagepub.com/en-us/nam/how-to-review-articles" xr:uid="{00000000-0004-0000-0100-000008010000}"/>
    <hyperlink ref="AG83" r:id="rId266" display="https://us.sagepub.com/en-us/nam/prior-publication" xr:uid="{00000000-0004-0000-0100-000009010000}"/>
    <hyperlink ref="M84" r:id="rId267" location="review-procedure" display="http://www.rsc.org/journals-books-databases/journal-authors-reviewers/reviewer-responsibilities/ - review-procedure" xr:uid="{00000000-0004-0000-0100-00000A010000}"/>
    <hyperlink ref="O84" r:id="rId268" location="review-procedure" display="http://www.rsc.org/journals-books-databases/journal-authors-reviewers/reviewer-responsibilities/ - review-procedure" xr:uid="{00000000-0004-0000-0100-00000B010000}"/>
    <hyperlink ref="R84" r:id="rId269" location="transfers" display="http://www.rsc.org/journals-books-databases/journal-authors-reviewers/processes-policies/ - transfers" xr:uid="{00000000-0004-0000-0100-00000C010000}"/>
    <hyperlink ref="AC84" r:id="rId270" location="review-procedure" display="http://www.rsc.org/journals-books-databases/journal-authors-reviewers/reviewer-responsibilities/ - review-procedure" xr:uid="{00000000-0004-0000-0100-00000D010000}"/>
    <hyperlink ref="AG84" r:id="rId271" location="prior-publication" display="http://www.rsc.org/journals-books-databases/journal-authors-reviewers/processes-policies/ - prior-publication" xr:uid="{00000000-0004-0000-0100-00000E010000}"/>
    <hyperlink ref="M85" r:id="rId272" display="https://www.journals.elsevier.com/journal-of-pragmatics/policies/peer-review-policy-for-the-journal-of-pragmatics" xr:uid="{00000000-0004-0000-0100-00000F010000}"/>
    <hyperlink ref="R85" r:id="rId273" display="https://www.elsevier.com/authors/journal-authors/submit-your-paper/submit-and-revise/article-transfer-service" xr:uid="{00000000-0004-0000-0100-000010010000}"/>
    <hyperlink ref="M86" r:id="rId274" display="http://pubs.acs.org/paragonplus/submission/jacsat/jacsat_authguide.pdf" xr:uid="{00000000-0004-0000-0100-000011010000}"/>
    <hyperlink ref="R86" r:id="rId275" display="https://pubs.acs.org/page/policy/manuscript_transfer/index.html" xr:uid="{00000000-0004-0000-0100-000012010000}"/>
    <hyperlink ref="AG86" r:id="rId276" display="http://pubs.acs.org/paragonplus/submission/jacsat/jacsat_authguide.pdf" xr:uid="{00000000-0004-0000-0100-000013010000}"/>
    <hyperlink ref="M87" r:id="rId277" display="http://www.onlinejacc.org/content/73/2/A28" xr:uid="{00000000-0004-0000-0100-000014010000}"/>
    <hyperlink ref="AG87" r:id="rId278" display="http://www.onlinejacc.org/content/73/2/A28" xr:uid="{00000000-0004-0000-0100-000015010000}"/>
    <hyperlink ref="M88" r:id="rId279" display="https://www.springer.com/psychology/child+%26+school+psychology/journal/10964?detailsPage=pltci_1692324" xr:uid="{00000000-0004-0000-0100-000016010000}"/>
    <hyperlink ref="M89" r:id="rId280" location="PeerReviewPolicy" display="https://us.sagepub.com/en-us/nam/journal/journalism - PeerReviewPolicy" xr:uid="{00000000-0004-0000-0100-000017010000}"/>
    <hyperlink ref="O89" r:id="rId281" display="https://us.sagepub.com/en-us/nam/reviewer-rewards" xr:uid="{00000000-0004-0000-0100-000018010000}"/>
    <hyperlink ref="AC89" r:id="rId282" display="https://us.sagepub.com/en-us/nam/how-to-review-articles" xr:uid="{00000000-0004-0000-0100-000019010000}"/>
    <hyperlink ref="AG89" r:id="rId283" display="https://us.sagepub.com/en-us/nam/prior-publication" xr:uid="{00000000-0004-0000-0100-00001A010000}"/>
    <hyperlink ref="M90" r:id="rId284" location="Peer_review" display="https://www.tandfonline.com/action/authorSubmission?journalCode=rjop20&amp;page=instructions - Peer_review" xr:uid="{00000000-0004-0000-0100-00001B010000}"/>
    <hyperlink ref="M91" r:id="rId285" location="Peer_review" display="https://www.tandfonline.com/action/authorSubmission?journalCode=rjos20&amp;page=instructions - Peer_review" xr:uid="{00000000-0004-0000-0100-00001C010000}"/>
    <hyperlink ref="M92" r:id="rId286" display="https://www.elsevier.com/journals/land-use-policy/0264-8377?generatepdf=true" xr:uid="{00000000-0004-0000-0100-00001D010000}"/>
    <hyperlink ref="O92" r:id="rId287" location="recognizing" display="https://www.elsevier.com/reviewers/role - recognizing" xr:uid="{00000000-0004-0000-0100-00001E010000}"/>
    <hyperlink ref="R92" r:id="rId288" display="https://www.elsevier.com/authors/journal-authors/submit-your-paper/submit-and-revise/article-transfer-service" xr:uid="{00000000-0004-0000-0100-00001F010000}"/>
    <hyperlink ref="AG92" r:id="rId289" display="https://www.elsevier.com/about/policies/copyright/permissions" xr:uid="{00000000-0004-0000-0100-000020010000}"/>
    <hyperlink ref="M93" r:id="rId290" display="https://onlinelibrary.wiley.com/page/journal/14679922/homepage/forauthors.html" xr:uid="{00000000-0004-0000-0100-000021010000}"/>
    <hyperlink ref="M94" r:id="rId291" display="https://www.elsevier.com/journals/lingua/0024-3841/guide-for-authors" xr:uid="{00000000-0004-0000-0100-000022010000}"/>
    <hyperlink ref="O94" r:id="rId292" location="RRP" display="https://www.elsevier.com/reviewers/role - RRP" xr:uid="{00000000-0004-0000-0100-000023010000}"/>
    <hyperlink ref="R94" r:id="rId293" display="https://www.elsevier.com/reviewers/what-is-peer-review" xr:uid="{00000000-0004-0000-0100-000024010000}"/>
    <hyperlink ref="AC94" r:id="rId294" display="https://www.elsevier.com/reviewers/how-to-review" xr:uid="{00000000-0004-0000-0100-000025010000}"/>
    <hyperlink ref="M95" r:id="rId295" display="https://www.misq.org/skin/frontend/default/misq/pdf/ReviewerRole.pdf" xr:uid="{00000000-0004-0000-0100-000026010000}"/>
    <hyperlink ref="M96" r:id="rId296" display="https://pubsonline.informs.org/page/mnsc/submission-guidelines" xr:uid="{00000000-0004-0000-0100-000027010000}"/>
    <hyperlink ref="M97" r:id="rId297" location="submission-guidelines" display="https://uk.sagepub.com/en-gb/eur/journal/media-culture-society - submission-guidelines" xr:uid="{00000000-0004-0000-0100-000028010000}"/>
    <hyperlink ref="AG97" r:id="rId298" display="https://uk.sagepub.com/en-gb/eur/journal-author-archiving-policies-and-re-use" xr:uid="{00000000-0004-0000-0100-000029010000}"/>
    <hyperlink ref="M98" r:id="rId299" display="https://www.cell.com/molecular-cell/authors" xr:uid="{00000000-0004-0000-0100-00002A010000}"/>
    <hyperlink ref="R98" r:id="rId300" display="https://www.cell.com/molecular-cell/authors" xr:uid="{00000000-0004-0000-0100-00002B010000}"/>
    <hyperlink ref="AG98" r:id="rId301" display="https://www.cell.com/molecular-cell/authors" xr:uid="{00000000-0004-0000-0100-00002C010000}"/>
    <hyperlink ref="M99" r:id="rId302" location="4%20Editorial%20review" display="https://academic.oup.com/mnras/pages/General_Instructions - 4%20Editorial%20review" xr:uid="{00000000-0004-0000-0100-00002D010000}"/>
    <hyperlink ref="O99" r:id="rId303" location="4%20Editorial%20review" display="https://academic.oup.com/mnras/pages/General_Instructions - 4%20Editorial%20review" xr:uid="{00000000-0004-0000-0100-00002E010000}"/>
    <hyperlink ref="M100" r:id="rId304" display="https://pubs.acs.org/paragonplus/submission/nalefd/nalefd_authguide.pdf" xr:uid="{00000000-0004-0000-0100-00002F010000}"/>
    <hyperlink ref="R100" r:id="rId305" display="https://pubs.acs.org/page/policy/manuscript_transfer/index.html" xr:uid="{00000000-0004-0000-0100-000030010000}"/>
    <hyperlink ref="AC100" r:id="rId306" display="https://pubs.acs.org/userimages/ContentEditor/1218054468605/ethics.pdf" xr:uid="{00000000-0004-0000-0100-000031010000}"/>
    <hyperlink ref="AG100" r:id="rId307" display="https://pubs.acs.org/page/nalefd/submission/prior.html" xr:uid="{00000000-0004-0000-0100-000032010000}"/>
    <hyperlink ref="M101" r:id="rId308" location="review-procedure" display="https://www.rsc.org/journals-books-databases/journal-authors-reviewers/reviewer-responsibilities/ - review-procedure" xr:uid="{00000000-0004-0000-0100-000033010000}"/>
    <hyperlink ref="O101" r:id="rId309" location="peer-review-help" display="http://www.rsc.org/journals-books-databases/journal-authors-reviewers/reviewer-responsibilities/ - peer-review-help" xr:uid="{00000000-0004-0000-0100-000034010000}"/>
    <hyperlink ref="AC101" r:id="rId310" location="ethical-responsibilities" display="https://www.rsc.org/journals-books-databases/journal-authors-reviewers/reviewer-responsibilities/ - ethical-responsibilities" xr:uid="{00000000-0004-0000-0100-000035010000}"/>
    <hyperlink ref="AG101" r:id="rId311" location="prior-publication" display="http://www.rsc.org/journals-books-databases/journal-authors-reviewers/processes-policies/ - prior-publication" xr:uid="{00000000-0004-0000-0100-000036010000}"/>
    <hyperlink ref="M102" r:id="rId312" display="https://www.nature.com/authors/policies/peer_review.html" xr:uid="{00000000-0004-0000-0100-000037010000}"/>
    <hyperlink ref="R102" r:id="rId313" display="https://www.nature.com/authors/author_resources/transfer_manuscripts.html" xr:uid="{00000000-0004-0000-0100-000038010000}"/>
    <hyperlink ref="AC102" r:id="rId314" display="https://www.nature.com/nature/for-referees/policies-and-processes" xr:uid="{00000000-0004-0000-0100-000039010000}"/>
    <hyperlink ref="AG102" r:id="rId315" display="https://www.nature.com/authors/policies/preprints.html" xr:uid="{00000000-0004-0000-0100-00003A010000}"/>
    <hyperlink ref="M103" r:id="rId316" display="https://www.nature.com/authors/policies/peer_review.html" xr:uid="{00000000-0004-0000-0100-00003B010000}"/>
    <hyperlink ref="O103" r:id="rId317" display="https://www.nature.com/authors/policies/peer_review.html" xr:uid="{00000000-0004-0000-0100-00003C010000}"/>
    <hyperlink ref="R103" r:id="rId318" display="https://www.nature.com/authors/author_resources/transfer_manuscripts.html" xr:uid="{00000000-0004-0000-0100-00003D010000}"/>
    <hyperlink ref="AC103" r:id="rId319" display="https://www.nature.com/nbt/for-referees/policies-and-processes" xr:uid="{00000000-0004-0000-0100-00003E010000}"/>
    <hyperlink ref="AG103" r:id="rId320" display="https://www.nature.com/authors/policies/preprints.html" xr:uid="{00000000-0004-0000-0100-00003F010000}"/>
    <hyperlink ref="M104" r:id="rId321" display="https://www.nature.com/authors/policies/peer_review.html" xr:uid="{00000000-0004-0000-0100-000040010000}"/>
    <hyperlink ref="O104" r:id="rId322" display="https://www.nature.com/authors/policies/peer_review.html" xr:uid="{00000000-0004-0000-0100-000041010000}"/>
    <hyperlink ref="R104" r:id="rId323" display="https://www.nature.com/authors/author_resources/transfer_manuscripts.html" xr:uid="{00000000-0004-0000-0100-000042010000}"/>
    <hyperlink ref="AC104" r:id="rId324" display="https://www.nature.com/ncb/for-referees/policies-and-processes" xr:uid="{00000000-0004-0000-0100-000043010000}"/>
    <hyperlink ref="AG104" r:id="rId325" display="https://www.nature.com/authors/policies/preprints.html" xr:uid="{00000000-0004-0000-0100-000044010000}"/>
    <hyperlink ref="M105" r:id="rId326" display="https://www.nature.com/authors/policies/peer_review.html" xr:uid="{00000000-0004-0000-0100-000045010000}"/>
    <hyperlink ref="O105" r:id="rId327" display="https://www.nature.com/authors/policies/peer_review.html" xr:uid="{00000000-0004-0000-0100-000046010000}"/>
    <hyperlink ref="R105" r:id="rId328" display="https://www.nature.com/authors/author_resources/transfer_manuscripts.html" xr:uid="{00000000-0004-0000-0100-000047010000}"/>
    <hyperlink ref="AC105" r:id="rId329" display="https://www.nature.com/nchem/for-referees/policies-and-processes" xr:uid="{00000000-0004-0000-0100-000048010000}"/>
    <hyperlink ref="AG105" r:id="rId330" display="https://www.nature.com/authors/policies/preprints.html" xr:uid="{00000000-0004-0000-0100-000049010000}"/>
    <hyperlink ref="M106" r:id="rId331" display="https://www.nature.com/authors/policies/peer_review.html" xr:uid="{00000000-0004-0000-0100-00004A010000}"/>
    <hyperlink ref="O106" r:id="rId332" display="https://www.nature.com/authors/policies/peer_review.html" xr:uid="{00000000-0004-0000-0100-00004B010000}"/>
    <hyperlink ref="R106" r:id="rId333" display="https://www.nature.com/authors/author_resources/transfer_manuscripts.html" xr:uid="{00000000-0004-0000-0100-00004C010000}"/>
    <hyperlink ref="AC106" r:id="rId334" display="https://www.nature.com/nclimate/for-referees/policies-and-processes" xr:uid="{00000000-0004-0000-0100-00004D010000}"/>
    <hyperlink ref="AG106" r:id="rId335" display="https://www.nature.com/authors/policies/preprints.html" xr:uid="{00000000-0004-0000-0100-00004E010000}"/>
    <hyperlink ref="M107" r:id="rId336" display="https://www.nature.com/authors/policies/peer_review.html" xr:uid="{00000000-0004-0000-0100-00004F010000}"/>
    <hyperlink ref="O107" r:id="rId337" display="https://www.nature.com/ncomms/journal-policies/guide-to-referees" xr:uid="{00000000-0004-0000-0100-000050010000}"/>
    <hyperlink ref="R107" r:id="rId338" display="https://www.nature.com/authors/author_resources/transfer_manuscripts.html" xr:uid="{00000000-0004-0000-0100-000051010000}"/>
    <hyperlink ref="AC107" r:id="rId339" display="https://www.nature.com/ncomms/journal-policies/guide-to-referees" xr:uid="{00000000-0004-0000-0100-000052010000}"/>
    <hyperlink ref="AG107" r:id="rId340" display="https://www.nature.com/authors/policies/preprints.html" xr:uid="{00000000-0004-0000-0100-000053010000}"/>
    <hyperlink ref="M108" r:id="rId341" display="https://www.nature.com/authors/policies/peer_review.html" xr:uid="{00000000-0004-0000-0100-000054010000}"/>
    <hyperlink ref="O108" r:id="rId342" display="https://www.nature.com/authors/policies/peer_review.html" xr:uid="{00000000-0004-0000-0100-000055010000}"/>
    <hyperlink ref="R108" r:id="rId343" display="https://www.nature.com/authors/author_resources/transfer_manuscripts.html" xr:uid="{00000000-0004-0000-0100-000056010000}"/>
    <hyperlink ref="AC108" r:id="rId344" display="https://www.nature.com/ng/for-referees/policies-and-processes" xr:uid="{00000000-0004-0000-0100-000057010000}"/>
    <hyperlink ref="AG108" r:id="rId345" display="https://www.nature.com/authors/policies/preprints.html" xr:uid="{00000000-0004-0000-0100-000058010000}"/>
    <hyperlink ref="M109" r:id="rId346" display="https://www.nature.com/authors/policies/peer_review.html" xr:uid="{00000000-0004-0000-0100-000059010000}"/>
    <hyperlink ref="O109" r:id="rId347" display="https://www.nature.com/authors/policies/peer_review.html" xr:uid="{00000000-0004-0000-0100-00005A010000}"/>
    <hyperlink ref="R109" r:id="rId348" display="https://www.nature.com/authors/author_resources/transfer_manuscripts.html" xr:uid="{00000000-0004-0000-0100-00005B010000}"/>
    <hyperlink ref="AC109" r:id="rId349" display="https://www.nature.com/ni/for-referees/policies-and-processes" xr:uid="{00000000-0004-0000-0100-00005C010000}"/>
    <hyperlink ref="AG109" r:id="rId350" display="https://www.nature.com/authors/policies/preprints.html" xr:uid="{00000000-0004-0000-0100-00005D010000}"/>
    <hyperlink ref="M110" r:id="rId351" display="https://www.nature.com/authors/policies/peer_review.html" xr:uid="{00000000-0004-0000-0100-00005E010000}"/>
    <hyperlink ref="O110" r:id="rId352" display="https://www.nature.com/authors/policies/peer_review.html" xr:uid="{00000000-0004-0000-0100-00005F010000}"/>
    <hyperlink ref="R110" r:id="rId353" display="https://www.nature.com/authors/author_resources/transfer_manuscripts.html" xr:uid="{00000000-0004-0000-0100-000060010000}"/>
    <hyperlink ref="AC110" r:id="rId354" display="https://www.nature.com/nmat/for-referees/policies-and-processes" xr:uid="{00000000-0004-0000-0100-000061010000}"/>
    <hyperlink ref="AG110" r:id="rId355" display="https://www.nature.com/authors/policies/preprints.html" xr:uid="{00000000-0004-0000-0100-000062010000}"/>
    <hyperlink ref="M111" r:id="rId356" display="https://www.nature.com/authors/policies/peer_review.html" xr:uid="{00000000-0004-0000-0100-000063010000}"/>
    <hyperlink ref="O111" r:id="rId357" display="https://www.nature.com/authors/policies/peer_review.html" xr:uid="{00000000-0004-0000-0100-000064010000}"/>
    <hyperlink ref="R111" r:id="rId358" display="https://www.nature.com/authors/author_resources/transfer_manuscripts.html" xr:uid="{00000000-0004-0000-0100-000065010000}"/>
    <hyperlink ref="AC111" r:id="rId359" display="https://www.nature.com/nm/for-referees/policies-and-processes" xr:uid="{00000000-0004-0000-0100-000066010000}"/>
    <hyperlink ref="AG111" r:id="rId360" display="https://www.nature.com/authors/policies/preprints.html" xr:uid="{00000000-0004-0000-0100-000067010000}"/>
    <hyperlink ref="M112" r:id="rId361" display="https://www.nature.com/authors/policies/peer_review.html" xr:uid="{00000000-0004-0000-0100-000068010000}"/>
    <hyperlink ref="O112" r:id="rId362" display="https://www.nature.com/authors/policies/peer_review.html" xr:uid="{00000000-0004-0000-0100-000069010000}"/>
    <hyperlink ref="R112" r:id="rId363" display="https://www.nature.com/authors/author_resources/transfer_manuscripts.html" xr:uid="{00000000-0004-0000-0100-00006A010000}"/>
    <hyperlink ref="AC112" r:id="rId364" display="https://www.nature.com/nmeth/for-referees/policies-and-processes" xr:uid="{00000000-0004-0000-0100-00006B010000}"/>
    <hyperlink ref="AG112" r:id="rId365" display="https://www.nature.com/authors/policies/preprints.html" xr:uid="{00000000-0004-0000-0100-00006C010000}"/>
    <hyperlink ref="M113" r:id="rId366" display="https://www.nature.com/authors/policies/peer_review.html" xr:uid="{00000000-0004-0000-0100-00006D010000}"/>
    <hyperlink ref="O113" r:id="rId367" display="https://www.nature.com/authors/policies/peer_review.html" xr:uid="{00000000-0004-0000-0100-00006E010000}"/>
    <hyperlink ref="R113" r:id="rId368" display="https://www.nature.com/authors/author_resources/transfer_manuscripts.html" xr:uid="{00000000-0004-0000-0100-00006F010000}"/>
    <hyperlink ref="AC113" r:id="rId369" display="https://www.nature.com/nnano/for-referees/policies-and-processes" xr:uid="{00000000-0004-0000-0100-000070010000}"/>
    <hyperlink ref="AG113" r:id="rId370" display="https://www.nature.com/authors/policies/preprints.html" xr:uid="{00000000-0004-0000-0100-000071010000}"/>
    <hyperlink ref="M114" r:id="rId371" display="https://www.nature.com/authors/policies/peer_review.html" xr:uid="{00000000-0004-0000-0100-000072010000}"/>
    <hyperlink ref="O114" r:id="rId372" display="https://www.nature.com/authors/policies/peer_review.html" xr:uid="{00000000-0004-0000-0100-000073010000}"/>
    <hyperlink ref="R114" r:id="rId373" display="https://www.nature.com/authors/author_resources/transfer_manuscripts.html" xr:uid="{00000000-0004-0000-0100-000074010000}"/>
    <hyperlink ref="AC114" r:id="rId374" display="https://www.nature.com/neuro/for-referees/policies-and-processes" xr:uid="{00000000-0004-0000-0100-000075010000}"/>
    <hyperlink ref="AG114" r:id="rId375" display="https://www.nature.com/authors/policies/preprints.html" xr:uid="{00000000-0004-0000-0100-000076010000}"/>
    <hyperlink ref="M115" r:id="rId376" display="https://www.nature.com/authors/policies/peer_review.html" xr:uid="{00000000-0004-0000-0100-000077010000}"/>
    <hyperlink ref="O115" r:id="rId377" display="https://www.nature.com/authors/policies/peer_review.html" xr:uid="{00000000-0004-0000-0100-000078010000}"/>
    <hyperlink ref="R115" r:id="rId378" display="https://www.nature.com/authors/author_resources/transfer_manuscripts.html" xr:uid="{00000000-0004-0000-0100-000079010000}"/>
    <hyperlink ref="AC115" r:id="rId379" display="https://www.nature.com/nphoton/for-referees/policies-and-processes" xr:uid="{00000000-0004-0000-0100-00007A010000}"/>
    <hyperlink ref="AG115" r:id="rId380" display="https://www.nature.com/authors/policies/preprints.html" xr:uid="{00000000-0004-0000-0100-00007B010000}"/>
    <hyperlink ref="M116" r:id="rId381" display="https://www.nature.com/authors/policies/peer_review.html" xr:uid="{00000000-0004-0000-0100-00007C010000}"/>
    <hyperlink ref="O116" r:id="rId382" display="https://www.nature.com/authors/policies/peer_review.html" xr:uid="{00000000-0004-0000-0100-00007D010000}"/>
    <hyperlink ref="R116" r:id="rId383" display="https://www.nature.com/authors/author_resources/transfer_manuscripts.html" xr:uid="{00000000-0004-0000-0100-00007E010000}"/>
    <hyperlink ref="AC116" r:id="rId384" display="https://www.nature.com/nphys/for-referees/policies-and-processes" xr:uid="{00000000-0004-0000-0100-00007F010000}"/>
    <hyperlink ref="AG116" r:id="rId385" display="https://www.nature.com/authors/policies/preprints.html" xr:uid="{00000000-0004-0000-0100-000080010000}"/>
    <hyperlink ref="M117" r:id="rId386" display="https://www.nature.com/nrc/for-referees" xr:uid="{00000000-0004-0000-0100-000081010000}"/>
    <hyperlink ref="AC117" r:id="rId387" display="https://www.nature.com/nrc/for-referees" xr:uid="{00000000-0004-0000-0100-000082010000}"/>
    <hyperlink ref="M118" r:id="rId388" display="https://www.nature.com/nrg/for-referees" xr:uid="{00000000-0004-0000-0100-000083010000}"/>
    <hyperlink ref="AC118" r:id="rId389" display="https://www.nature.com/nrg/for-referees" xr:uid="{00000000-0004-0000-0100-000084010000}"/>
    <hyperlink ref="M119" r:id="rId390" display="https://www.nature.com/nrc/for-referees" xr:uid="{00000000-0004-0000-0100-000085010000}"/>
    <hyperlink ref="AC119" r:id="rId391" display="https://www.nature.com/nrc/for-referees" xr:uid="{00000000-0004-0000-0100-000086010000}"/>
    <hyperlink ref="M120" r:id="rId392" display="https://www.nature.com/nrg/for-referees" xr:uid="{00000000-0004-0000-0100-000087010000}"/>
    <hyperlink ref="AC120" r:id="rId393" display="https://www.nature.com/nrg/for-referees" xr:uid="{00000000-0004-0000-0100-000088010000}"/>
    <hyperlink ref="M121" r:id="rId394" display="https://www.nature.com/nrg/for-referees" xr:uid="{00000000-0004-0000-0100-000089010000}"/>
    <hyperlink ref="AC121" r:id="rId395" display="https://www.nature.com/nrg/for-referees" xr:uid="{00000000-0004-0000-0100-00008A010000}"/>
    <hyperlink ref="M122" r:id="rId396" display="https://www.nature.com/nrg/for-referees" xr:uid="{00000000-0004-0000-0100-00008B010000}"/>
    <hyperlink ref="AC122" r:id="rId397" display="https://www.nature.com/nrg/for-referees" xr:uid="{00000000-0004-0000-0100-00008C010000}"/>
    <hyperlink ref="M123" r:id="rId398" display="https://nips.cc/Conferences/2019/CallForPapers" xr:uid="{00000000-0004-0000-0100-00008D010000}"/>
    <hyperlink ref="AG123" r:id="rId399" display="https://nips.cc/Conferences/2019/CallForPapers" xr:uid="{00000000-0004-0000-0100-00008E010000}"/>
    <hyperlink ref="M124" r:id="rId400" display="https://www.elsevier.com/journals/neuroimage/1053-8119/guide-for-authors" xr:uid="{00000000-0004-0000-0100-00008F010000}"/>
    <hyperlink ref="O124" r:id="rId401" location="RRP" display="https://www.elsevier.com/reviewers/role - RRP" xr:uid="{00000000-0004-0000-0100-000090010000}"/>
    <hyperlink ref="R124" r:id="rId402" display="https://www.elsevier.com/reviewers/what-is-peer-review" xr:uid="{00000000-0004-0000-0100-000091010000}"/>
    <hyperlink ref="AC124" r:id="rId403" display="https://www.elsevier.com/reviewers/how-to-review" xr:uid="{00000000-0004-0000-0100-000092010000}"/>
    <hyperlink ref="AG124" r:id="rId404" display="https://www.elsevier.com/about/policies/sharing" xr:uid="{00000000-0004-0000-0100-000093010000}"/>
    <hyperlink ref="M125" r:id="rId405" display="https://www.cell.com/reviewers" xr:uid="{00000000-0004-0000-0100-000094010000}"/>
    <hyperlink ref="R125" r:id="rId406" display="https://www.cell.com/neuron/authors" xr:uid="{00000000-0004-0000-0100-000095010000}"/>
    <hyperlink ref="AC125" r:id="rId407" display="https://www.cell.com/reviewers" xr:uid="{00000000-0004-0000-0100-000096010000}"/>
    <hyperlink ref="AG125" r:id="rId408" display="https://www.cell.com/neuron/authors" xr:uid="{00000000-0004-0000-0100-000097010000}"/>
    <hyperlink ref="AL125" r:id="rId409" location="prepub" display="https://www.cell.com/neuron/authors?code=cell-site - prepub" xr:uid="{00000000-0004-0000-0100-000098010000}"/>
    <hyperlink ref="M126" r:id="rId410" location="PeerReviewPolicy" display="https://us.sagepub.com/en-us/nam/journal/new-media-society - PeerReviewPolicy" xr:uid="{00000000-0004-0000-0100-000099010000}"/>
    <hyperlink ref="M127" r:id="rId411" display="https://onlinelibrary.wiley.com/page/journal/14680068/homepage/forauthors.html" xr:uid="{00000000-0004-0000-0100-00009A010000}"/>
    <hyperlink ref="O127" r:id="rId412" display="https://authorservices.wiley.com/Reviewers/journal-reviewers/recognition-for-reviewers/index.html" xr:uid="{00000000-0004-0000-0100-00009B010000}"/>
    <hyperlink ref="AC127" r:id="rId413" display="https://authorservices.wiley.com/Reviewers/journal-reviewers/how-to-perform-a-peer-review/general-and-ethical-guidelines.html" xr:uid="{00000000-0004-0000-0100-00009C010000}"/>
    <hyperlink ref="AG127" r:id="rId414" display="https://authorservices.wiley.com/author-resources/Journal-Authors/open-access/preprints-policy.html" xr:uid="{00000000-0004-0000-0100-00009D010000}"/>
    <hyperlink ref="AG128" r:id="rId415" location="Prior%20Publication" display="https://academic.oup.com/nar/pages/Policies - Prior%20Publication" xr:uid="{00000000-0004-0000-0100-00009E010000}"/>
    <hyperlink ref="AI128" r:id="rId416" display="http://arxiv.org/" xr:uid="{00000000-0004-0000-0100-00009F010000}"/>
    <hyperlink ref="M130" r:id="rId417" location="overview" display="https://www.osapublishing.org/submit/review/peer_review.cfm - overview" xr:uid="{00000000-0004-0000-0100-0000A0010000}"/>
    <hyperlink ref="O130" r:id="rId418" display="https://www.osapublishing.org/oe/submit/review/outstandingreviewers.cfm" xr:uid="{00000000-0004-0000-0100-0000A1010000}"/>
    <hyperlink ref="AC130" r:id="rId419" location="overview" display="https://www.osapublishing.org/submit/review/peer_review.cfm - overview" xr:uid="{00000000-0004-0000-0100-0000A2010000}"/>
    <hyperlink ref="M131" r:id="rId420" display="http://www.aappublications.org/content/pediatrics-reviewer-guidelines" xr:uid="{00000000-0004-0000-0100-0000A3010000}"/>
    <hyperlink ref="R131" r:id="rId421" display="http://www.aappublications.org/content/pediatrics-author-guidelines" xr:uid="{00000000-0004-0000-0100-0000A4010000}"/>
    <hyperlink ref="AC131" r:id="rId422" display="http://www.aappublications.org/content/pediatrics-reviewer-guidelines" xr:uid="{00000000-0004-0000-0100-0000A5010000}"/>
    <hyperlink ref="M132" r:id="rId423" display="https://www.springer.com/philosophy/journal/11098" xr:uid="{00000000-0004-0000-0100-0000A6010000}"/>
    <hyperlink ref="AP132" r:id="rId424" display="https://www.springer.com/philosophy/journal/11098" xr:uid="{00000000-0004-0000-0100-0000A7010000}"/>
    <hyperlink ref="M133" r:id="rId425" display="https://journals.aps.org/prb/referees/guidelines-for-referees" xr:uid="{00000000-0004-0000-0100-0000A8010000}"/>
    <hyperlink ref="R133" r:id="rId426" location="guide" display="https://journals.aps.org/prb/authors/editorial-policies-practices - guide" xr:uid="{00000000-0004-0000-0100-0000A9010000}"/>
    <hyperlink ref="AC133" r:id="rId427" location="anonymity" display="https://journals.aps.org/prb/authors/editorial-policies-practices - anonymity" xr:uid="{00000000-0004-0000-0100-0000AA010000}"/>
    <hyperlink ref="M134" r:id="rId428" location="anonymity" display="https://journals.aps.org/prd/authors/editorial-policies-practices - anonymity" xr:uid="{00000000-0004-0000-0100-0000AB010000}"/>
    <hyperlink ref="R134" r:id="rId429" location="sub" display="https://journals.aps.org/prd/authors/editorial-policies-practices - sub" xr:uid="{00000000-0004-0000-0100-0000AC010000}"/>
    <hyperlink ref="AC134" r:id="rId430" location="anonymity" display="https://journals.aps.org/prd/authors/editorial-policies-practices - anonymity" xr:uid="{00000000-0004-0000-0100-0000AD010000}"/>
    <hyperlink ref="M135" r:id="rId431" location="anonymity" display="https://journals.aps.org/prl/authors/editorial-policies-practices - anonymity" xr:uid="{00000000-0004-0000-0100-0000AE010000}"/>
    <hyperlink ref="N135" r:id="rId432" display="https://journals.aps.org/referees/referee-response-physical-review-letters" xr:uid="{00000000-0004-0000-0100-0000AF010000}"/>
    <hyperlink ref="AC135" r:id="rId433" location="anonymity" display="https://journals.aps.org/prl/authors/editorial-policies-practices - anonymity" xr:uid="{00000000-0004-0000-0100-0000B0010000}"/>
    <hyperlink ref="M136" r:id="rId434" display="https://journals.aps.org/prx/authors/editorial-policies-practices" xr:uid="{00000000-0004-0000-0100-0000B1010000}"/>
    <hyperlink ref="N136" r:id="rId435" display="https://journals.aps.org/prx/referees/referee-response-physical-review-x" xr:uid="{00000000-0004-0000-0100-0000B2010000}"/>
    <hyperlink ref="R136" r:id="rId436" display="https://journals.aps.org/prx/authors/editorial-policies-practices" xr:uid="{00000000-0004-0000-0100-0000B3010000}"/>
    <hyperlink ref="AC136" r:id="rId437" display="https://journals.aps.org/prx/authors/editorial-policies-practices" xr:uid="{00000000-0004-0000-0100-0000B4010000}"/>
    <hyperlink ref="M137" r:id="rId438" display="https://www.elsevier.com/journals/physics-letters-b/0370-2693/guide-for-authors" xr:uid="{00000000-0004-0000-0100-0000B5010000}"/>
    <hyperlink ref="R137" r:id="rId439" display="https://www.elsevier.com/journals/physics-letters-b/0370-2693/guide-for-authors" xr:uid="{00000000-0004-0000-0100-0000B6010000}"/>
    <hyperlink ref="AG137" r:id="rId440" display="https://www.elsevier.com/journals/physics-letters-b/0370-2693/guide-for-authors" xr:uid="{00000000-0004-0000-0100-0000B7010000}"/>
    <hyperlink ref="M138" r:id="rId441" display="https://journals.plos.org/plosone/s/editorial-and-peer-review-process" xr:uid="{00000000-0004-0000-0100-0000B8010000}"/>
    <hyperlink ref="R138" r:id="rId442" display="https://journals.plos.org/plosone/s/editorial-and-peer-review-process" xr:uid="{00000000-0004-0000-0100-0000B9010000}"/>
    <hyperlink ref="AC138" r:id="rId443" display="https://journals.plos.org/plosone/s/reviewer-guidelines" xr:uid="{00000000-0004-0000-0100-0000BA010000}"/>
    <hyperlink ref="AG138" r:id="rId444" display="https://journals.plos.org/plosone/s/preprints" xr:uid="{00000000-0004-0000-0100-0000BB010000}"/>
    <hyperlink ref="M139" r:id="rId445" display="https://www.pnas.org/page/authors/reviewers" xr:uid="{00000000-0004-0000-0100-0000BC010000}"/>
    <hyperlink ref="O139" r:id="rId446" display="https://www.pnas.org/content/115/52/E12466" xr:uid="{00000000-0004-0000-0100-0000BD010000}"/>
    <hyperlink ref="AC139" r:id="rId447" display="https://www.pnas.org/page/authors/reviewers" xr:uid="{00000000-0004-0000-0100-0000BE010000}"/>
    <hyperlink ref="M140" r:id="rId448" location="EditorialPolicies" display="https://uk.sagepub.com/en-gb/eur/journal/progress-human-geography - EditorialPolicies" xr:uid="{00000000-0004-0000-0100-0000BF010000}"/>
    <hyperlink ref="O140" r:id="rId449" display="https://uk.sagepub.com/en-gb/eur/get-credit-for-your-reviews" xr:uid="{00000000-0004-0000-0100-0000C0010000}"/>
    <hyperlink ref="AC140" r:id="rId450" display="https://uk.sagepub.com/en-gb/eur/how-to-review-articles" xr:uid="{00000000-0004-0000-0100-0000C1010000}"/>
    <hyperlink ref="M141" r:id="rId451" display="https://academic.oup.com/poq/pages/general_instructions" xr:uid="{00000000-0004-0000-0100-0000C2010000}"/>
    <hyperlink ref="AG141" r:id="rId452" display="https://academic.oup.com/journals/pages/access_purchase/rights_and_permissions/self_archiving_policy_a" xr:uid="{00000000-0004-0000-0100-0000C3010000}"/>
    <hyperlink ref="M142" r:id="rId453" display="https://www.tandfonline.com/action/authorSubmission?show=instructions&amp;journalCode=cres20" xr:uid="{00000000-0004-0000-0100-0000C4010000}"/>
    <hyperlink ref="M143" r:id="rId454" display="https://www.elsevier.com/journals/renewable-and-sustainable-energy-reviews/1364-0321/guide-for-authors" xr:uid="{00000000-0004-0000-0100-0000C5010000}"/>
    <hyperlink ref="O143" r:id="rId455" location="RRP" display="https://www.elsevier.com/reviewers/role - RRP" xr:uid="{00000000-0004-0000-0100-0000C6010000}"/>
    <hyperlink ref="R143" r:id="rId456" display="https://www.elsevier.com/reviewers/what-is-peer-review" xr:uid="{00000000-0004-0000-0100-0000C7010000}"/>
    <hyperlink ref="AC143" r:id="rId457" display="https://www.elsevier.com/reviewers/how-to-review" xr:uid="{00000000-0004-0000-0100-0000C8010000}"/>
    <hyperlink ref="M144" r:id="rId458" display="https://www.elsevier.com/journals/research-policy/0048-7333/guide-for-authors" xr:uid="{00000000-0004-0000-0100-0000C9010000}"/>
    <hyperlink ref="O144" r:id="rId459" location="RRP" display="https://www.elsevier.com/reviewers/role - RRP" xr:uid="{00000000-0004-0000-0100-0000CA010000}"/>
    <hyperlink ref="R144" r:id="rId460" display="https://www.elsevier.com/reviewers/what-is-peer-review" xr:uid="{00000000-0004-0000-0100-0000CB010000}"/>
    <hyperlink ref="AC144" r:id="rId461" display="https://www.elsevier.com/reviewers/how-to-review" xr:uid="{00000000-0004-0000-0100-0000CC010000}"/>
    <hyperlink ref="AG145" r:id="rId462" location="authorposting" display="https://www.mitpressjournals.org/for_authors - authorposting" xr:uid="{00000000-0004-0000-0100-0000CD010000}"/>
    <hyperlink ref="AC146" r:id="rId463" display="https://journals.aps.org/rmp/info/procedures.html" xr:uid="{00000000-0004-0000-0100-0000CE010000}"/>
    <hyperlink ref="AG146" r:id="rId464" display="https://journals.aps.org/rmp/info/procedures.html" xr:uid="{00000000-0004-0000-0100-0000CF010000}"/>
    <hyperlink ref="M147" r:id="rId465" display="http://www.sciencemag.org/authors/science-information-authors" xr:uid="{00000000-0004-0000-0100-0000D0010000}"/>
    <hyperlink ref="R147" r:id="rId466" display="https://www.sciencemag.org/authors/science-information-authors" xr:uid="{00000000-0004-0000-0100-0000D1010000}"/>
    <hyperlink ref="AC147" r:id="rId467" display="https://www.sciencemag.org/authors/peer-review-science-publications" xr:uid="{00000000-0004-0000-0100-0000D2010000}"/>
    <hyperlink ref="AG147" r:id="rId468" display="http://www.sciencemag.org/authors/science-journals-editorial-policies" xr:uid="{00000000-0004-0000-0100-0000D3010000}"/>
    <hyperlink ref="M148" r:id="rId469" display="https://stm.sciencemag.org/content/science-translational-medicine-general-policies" xr:uid="{00000000-0004-0000-0100-0000D4010000}"/>
    <hyperlink ref="AC148" r:id="rId470" display="https://stm.sciencemag.org/content/information-reviewers" xr:uid="{00000000-0004-0000-0100-0000D5010000}"/>
    <hyperlink ref="AG148" r:id="rId471" display="https://stm.sciencemag.org/content/science-translational-medicine-general-policies" xr:uid="{00000000-0004-0000-0100-0000D6010000}"/>
    <hyperlink ref="M149" r:id="rId472" display="https://www.nature.com/srep/journal-policies/peer-review" xr:uid="{00000000-0004-0000-0100-0000D7010000}"/>
    <hyperlink ref="R149" r:id="rId473" display="https://www.nature.com/authors/author_resources/transfer_manuscripts.html" xr:uid="{00000000-0004-0000-0100-0000D8010000}"/>
    <hyperlink ref="AC149" r:id="rId474" location="confidentiality" display="https://www.nature.com/srep/journal-policies/referees - confidentiality" xr:uid="{00000000-0004-0000-0100-0000D9010000}"/>
    <hyperlink ref="AG149" r:id="rId475" location="confidentiality" display="https://www.nature.com/srep/journal-policies/editorial-policies?draft=journal&amp;target=content - confidentiality" xr:uid="{00000000-0004-0000-0100-0000DA010000}"/>
    <hyperlink ref="M150" r:id="rId476" display="https://www.elsevier.com/journals/social-science-and-medicine/0277-9536/guide-for-authors" xr:uid="{00000000-0004-0000-0100-0000DB010000}"/>
    <hyperlink ref="R150" r:id="rId477" display="https://www.elsevier.com/journals/social-science-and-medicine/0277-9536/guide-for-authors" xr:uid="{00000000-0004-0000-0100-0000DC010000}"/>
    <hyperlink ref="AC151" r:id="rId478" display="https://authorservices.wiley.com/Reviewers/journal-reviewers/how-to-perform-a-peer-review/general-and-ethical-guidelines.html" xr:uid="{00000000-0004-0000-0100-0000DD010000}"/>
    <hyperlink ref="M152" r:id="rId479" display="https://www.springer.com/philosophy/epistemology+and+philosophy+of+science/journal/11229" xr:uid="{00000000-0004-0000-0100-0000DE010000}"/>
    <hyperlink ref="AG152" r:id="rId480" display="https://www.springer.com/philosophy/epistemology+and+philosophy+of+science/journal/11229" xr:uid="{00000000-0004-0000-0100-0000DF010000}"/>
    <hyperlink ref="M153" r:id="rId481" display="https://www.journals.elsevier.com/system" xr:uid="{00000000-0004-0000-0100-0000E0010000}"/>
    <hyperlink ref="O153" r:id="rId482" location="recognizing" display="https://www.elsevier.com/reviewers/role - recognizing" xr:uid="{00000000-0004-0000-0100-0000E1010000}"/>
    <hyperlink ref="M154" r:id="rId483" display="https://www.elsevier.com/journals/teaching-and-teacher-education/0742-051x/guide-for-authors" xr:uid="{00000000-0004-0000-0100-0000E2010000}"/>
    <hyperlink ref="R154" r:id="rId484" display="https://www.elsevier.com/journals/teaching-and-teacher-education/0742-051x/guide-for-authors" xr:uid="{00000000-0004-0000-0100-0000E3010000}"/>
    <hyperlink ref="M155" r:id="rId485" display="https://www.tesol.org/read-and-publish/journals/tesol-journal" xr:uid="{00000000-0004-0000-0100-0000E4010000}"/>
    <hyperlink ref="O155" r:id="rId486" display="https://authorservices.wiley.com/Reviewers/journal-reviewers/recognition-for-reviewers/index.html" xr:uid="{00000000-0004-0000-0100-0000E5010000}"/>
    <hyperlink ref="AG155" r:id="rId487" display="https://onlinelibrary.wiley.com/page/journal/15457249/homepage/forauthors.html" xr:uid="{00000000-0004-0000-0100-0000E6010000}"/>
    <hyperlink ref="M158" r:id="rId488" display="https://community.cochrane.org/editorial-and-publishing-policy-resource/cochrane-review-management/cochrane-peer-review-policy" xr:uid="{00000000-0004-0000-0100-0000E7010000}"/>
    <hyperlink ref="AG158" r:id="rId489" display="http://ideas.cochrane.org/forums/326856-cochrane-style-manual/suggestions/18762079-referencing-preprints" xr:uid="{00000000-0004-0000-0100-0000E8010000}"/>
    <hyperlink ref="M159" r:id="rId490" display="https://www.springer.com/physics/particle+and+nuclear+physics/journal/10052" xr:uid="{00000000-0004-0000-0100-0000E9010000}"/>
    <hyperlink ref="AG159" r:id="rId491" location="preprintservers" display="https://epjc.epj.org/epjc-faq - preprintservers" xr:uid="{00000000-0004-0000-0100-0000EA010000}"/>
    <hyperlink ref="M160" r:id="rId492" location="Editorial_Policies" display="https://www.jci.org/kiosks/authors - Editorial_Policies" xr:uid="{00000000-0004-0000-0100-0000EB010000}"/>
    <hyperlink ref="AC160" r:id="rId493" location="Editorial_Policies" display="https://www.jci.org/kiosks/authors - Editorial_Policies" xr:uid="{00000000-0004-0000-0100-0000EC010000}"/>
    <hyperlink ref="AG160" r:id="rId494" location="Editorial_Policies" display="https://www.jci.org/kiosks/authors - Editorial_Policies" xr:uid="{00000000-0004-0000-0100-0000ED010000}"/>
    <hyperlink ref="O161" r:id="rId495" display="https://authorservices.wiley.com/Reviewers/journal-reviewers/recognition-for-reviewers/index.html" xr:uid="{00000000-0004-0000-0100-0000EE010000}"/>
    <hyperlink ref="AC161" r:id="rId496" display="https://authorservices.wiley.com/Reviewers/journal-reviewers/how-to-perform-a-peer-review/general-and-ethical-guidelines.html" xr:uid="{00000000-0004-0000-0100-0000EF010000}"/>
    <hyperlink ref="AG161" r:id="rId497" display="https://cdn.ymaws.com/www.afajof.org/resource/resmgr/files/Submission_docs/JF_Submission_Guidelines-Feb.pdf" xr:uid="{00000000-0004-0000-0100-0000F0010000}"/>
    <hyperlink ref="R162" r:id="rId498" display="http://pubs.acs.org/paragonplus/submission/jpclcd/jpclcd_authguide.pdf" xr:uid="{00000000-0004-0000-0100-0000F1010000}"/>
    <hyperlink ref="AG162" r:id="rId499" display="http://pubs.acs.org/paragonplus/submission/jpclcd/jpclcd_authguide.pdf" xr:uid="{00000000-0004-0000-0100-0000F2010000}"/>
    <hyperlink ref="M163" r:id="rId500" display="https://www.thelancet.com/pb/assets/raw/Lancet/authors/lancet-information-for-authors.pdf" xr:uid="{00000000-0004-0000-0100-0000F3010000}"/>
    <hyperlink ref="R163" r:id="rId501" display="https://www.thelancet.com/pb/assets/raw/Lancet/authors/lancet-information-for-authors.pdf" xr:uid="{00000000-0004-0000-0100-0000F4010000}"/>
    <hyperlink ref="M164" r:id="rId502" display="https://els-jbs-prod-cdn.literatumonline.com/pb/assets/raw/Lancet/authors/tln-info-for-authors-1541596047120.pdf" xr:uid="{00000000-0004-0000-0100-0000F5010000}"/>
    <hyperlink ref="R164" r:id="rId503" display="https://els-jbs-prod-cdn.literatumonline.com/pb/assets/raw/Lancet/authors/tln-info-for-authors-1541596047120.pdf" xr:uid="{00000000-0004-0000-0100-0000F6010000}"/>
    <hyperlink ref="AG164" r:id="rId504" display="https://els-jbs-prod-cdn.literatumonline.com/pb/assets/raw/Lancet/authors/tln-info-for-authors-1541596047120.pdf" xr:uid="{00000000-0004-0000-0100-0000F7010000}"/>
    <hyperlink ref="M165" r:id="rId505" display="https://els-jbs-prod-cdn.literatumonline.com/pb/assets/raw/Lancet/authors/tlo-info-for-authors-1541596062097.pdf" xr:uid="{00000000-0004-0000-0100-0000F8010000}"/>
    <hyperlink ref="R165" r:id="rId506" display="https://els-jbs-prod-cdn.literatumonline.com/pb/assets/raw/Lancet/authors/tlo-info-for-authors-1541596062097.pdf" xr:uid="{00000000-0004-0000-0100-0000F9010000}"/>
    <hyperlink ref="M166" r:id="rId507" location="Manuscript" display="https://onlinelibrary.wiley.com/page/journal/15404781/homepage/forauthors.html - Manuscript" xr:uid="{00000000-0004-0000-0100-0000FA010000}"/>
    <hyperlink ref="O166" r:id="rId508" display="https://authorservices.wiley.com/Reviewers/journal-reviewers/recognition-for-reviewers/index.html" xr:uid="{00000000-0004-0000-0100-0000FB010000}"/>
    <hyperlink ref="AG167" r:id="rId509" display="https://www.nejm.org/about-nejm/editorial-policies" xr:uid="{00000000-0004-0000-0100-0000FC010000}"/>
    <hyperlink ref="M168" r:id="rId510" display="https://academic.oup.com/qje/pages/Policies" xr:uid="{00000000-0004-0000-0100-0000FD010000}"/>
    <hyperlink ref="AG168" r:id="rId511" display="https://academic.oup.com/journals/pages/access_purchase/rights_and_permissions/self_archiving_policy_f" xr:uid="{00000000-0004-0000-0100-0000FE010000}"/>
    <hyperlink ref="AG169" r:id="rId512" display="https://academic.oup.com/journals/pages/access_purchase/rights_and_permissions/self_archiving_policy_f" xr:uid="{00000000-0004-0000-0100-0000FF010000}"/>
    <hyperlink ref="M171" r:id="rId513" display="https://www.elsevier.com/journals/tourism-management/0261-5177/guide-for-authors" xr:uid="{00000000-0004-0000-0100-000000020000}"/>
    <hyperlink ref="O171" r:id="rId514" location="RRP" display="https://www.elsevier.com/reviewers/role - RRP" xr:uid="{00000000-0004-0000-0100-000001020000}"/>
    <hyperlink ref="R171" r:id="rId515" display="https://www.elsevier.com/reviewers/what-is-peer-review" xr:uid="{00000000-0004-0000-0100-000002020000}"/>
    <hyperlink ref="AC171" r:id="rId516" display="https://www.elsevier.com/reviewers/how-to-review" xr:uid="{00000000-0004-0000-0100-000003020000}"/>
    <hyperlink ref="AG171" r:id="rId517" display="https://www.elsevier.com/about/policies/sharing" xr:uid="{00000000-0004-0000-0100-000004020000}"/>
    <hyperlink ref="M172" r:id="rId518" display="https://www.elsevier.com/journals/world-development/0305-750x/guide-for-authors" xr:uid="{00000000-0004-0000-0100-000005020000}"/>
    <hyperlink ref="O172" r:id="rId519" location="recognizing" display="https://www.elsevier.com/reviewers/role - recognizing" xr:uid="{00000000-0004-0000-0100-000006020000}"/>
    <hyperlink ref="R172" r:id="rId520" display="https://www.elsevier.com/reviewers/what-is-peer-review" xr:uid="{00000000-0004-0000-0100-000007020000}"/>
    <hyperlink ref="AC172" r:id="rId521" display="https://www.elsevier.com/reviewers/how-to-review" xr:uid="{00000000-0004-0000-0100-000008020000}"/>
    <hyperlink ref="AG172" r:id="rId522" display="https://www.elsevier.com/about/policies/sharing" xr:uid="{00000000-0004-0000-0100-00000902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LQ1005"/>
  <sheetViews>
    <sheetView workbookViewId="0"/>
  </sheetViews>
  <sheetFormatPr baseColWidth="10" defaultColWidth="14.5" defaultRowHeight="15.75" customHeight="1"/>
  <sheetData>
    <row r="1" spans="1:1005" ht="15.75" customHeight="1">
      <c r="A1" s="1" t="s">
        <v>0</v>
      </c>
      <c r="B1" s="3" t="s">
        <v>1</v>
      </c>
      <c r="C1" s="3" t="s">
        <v>4</v>
      </c>
      <c r="D1" s="3" t="s">
        <v>5</v>
      </c>
      <c r="E1" s="3" t="s">
        <v>6</v>
      </c>
    </row>
    <row r="2" spans="1:1005" ht="15.75" customHeight="1">
      <c r="A2" s="5" t="s">
        <v>7</v>
      </c>
      <c r="B2" s="7" t="s">
        <v>9</v>
      </c>
      <c r="C2" s="9" t="s">
        <v>10</v>
      </c>
      <c r="D2" s="7" t="s">
        <v>15</v>
      </c>
      <c r="E2" s="11" t="s">
        <v>16</v>
      </c>
      <c r="F2" s="15" t="s">
        <v>18</v>
      </c>
    </row>
    <row r="3" spans="1:1005" ht="15.75" customHeight="1">
      <c r="A3" s="17" t="s">
        <v>7</v>
      </c>
      <c r="B3" s="19" t="s">
        <v>24</v>
      </c>
      <c r="C3" s="21" t="s">
        <v>32</v>
      </c>
      <c r="D3" s="19" t="s">
        <v>36</v>
      </c>
      <c r="E3" s="23">
        <v>43409</v>
      </c>
      <c r="F3" s="28">
        <f t="array" ref="F3:ALQ3" ca="1">TRANSPOSE(Filtered!F2:F1005)</f>
        <v>43581</v>
      </c>
      <c r="G3" s="28">
        <f ca="1"/>
        <v>43581</v>
      </c>
      <c r="H3" s="28">
        <f ca="1"/>
        <v>43581</v>
      </c>
      <c r="I3" s="28">
        <f ca="1"/>
        <v>43581</v>
      </c>
      <c r="J3" s="28">
        <f ca="1"/>
        <v>43581</v>
      </c>
      <c r="K3" s="28">
        <f ca="1"/>
        <v>43581</v>
      </c>
      <c r="L3" s="28">
        <f ca="1"/>
        <v>43581</v>
      </c>
      <c r="M3" s="28">
        <f ca="1"/>
        <v>43581</v>
      </c>
      <c r="N3" s="28">
        <f ca="1"/>
        <v>43579</v>
      </c>
      <c r="O3" s="28">
        <f ca="1"/>
        <v>43579</v>
      </c>
      <c r="P3" s="28">
        <f ca="1"/>
        <v>43579</v>
      </c>
      <c r="Q3" s="28">
        <f ca="1"/>
        <v>43579</v>
      </c>
      <c r="R3" s="28">
        <f ca="1"/>
        <v>43579</v>
      </c>
      <c r="S3" s="28">
        <f ca="1"/>
        <v>43579</v>
      </c>
      <c r="T3" s="28">
        <f ca="1"/>
        <v>43579</v>
      </c>
      <c r="U3" s="28">
        <f ca="1"/>
        <v>43580</v>
      </c>
      <c r="V3" s="28">
        <f ca="1"/>
        <v>43580</v>
      </c>
      <c r="W3" s="28">
        <f ca="1"/>
        <v>43580</v>
      </c>
      <c r="X3" s="28">
        <f ca="1"/>
        <v>43580</v>
      </c>
      <c r="Y3" s="28">
        <f ca="1"/>
        <v>43580</v>
      </c>
      <c r="Z3" s="28">
        <f ca="1"/>
        <v>43583</v>
      </c>
      <c r="AA3" s="28">
        <f ca="1"/>
        <v>43583</v>
      </c>
      <c r="AB3" s="28">
        <f ca="1"/>
        <v>43583</v>
      </c>
      <c r="AC3" s="28">
        <f ca="1"/>
        <v>43583</v>
      </c>
      <c r="AD3" s="28">
        <f ca="1"/>
        <v>43583</v>
      </c>
      <c r="AE3" s="28">
        <f ca="1"/>
        <v>43581</v>
      </c>
      <c r="AF3" s="32">
        <f ca="1"/>
        <v>43581</v>
      </c>
      <c r="AG3" s="28">
        <f ca="1"/>
        <v>43581</v>
      </c>
      <c r="AH3" s="28">
        <f ca="1"/>
        <v>43581</v>
      </c>
      <c r="AI3" s="28">
        <f ca="1"/>
        <v>43581</v>
      </c>
      <c r="AJ3" s="28">
        <f ca="1"/>
        <v>43581</v>
      </c>
      <c r="AK3" s="28">
        <f ca="1"/>
        <v>43581</v>
      </c>
      <c r="AL3" s="28">
        <f ca="1"/>
        <v>43581</v>
      </c>
      <c r="AM3" s="28">
        <f ca="1"/>
        <v>43580</v>
      </c>
      <c r="AN3" s="28">
        <f ca="1"/>
        <v>43580</v>
      </c>
      <c r="AO3" s="28">
        <f ca="1"/>
        <v>43580</v>
      </c>
      <c r="AP3" s="28">
        <f ca="1"/>
        <v>43580</v>
      </c>
      <c r="AQ3" s="28">
        <f ca="1"/>
        <v>43580</v>
      </c>
      <c r="AR3" s="28">
        <f ca="1"/>
        <v>43580</v>
      </c>
      <c r="AS3" s="28">
        <f ca="1"/>
        <v>43580</v>
      </c>
      <c r="AT3" s="28">
        <f ca="1"/>
        <v>43580</v>
      </c>
      <c r="AU3" s="28">
        <f ca="1"/>
        <v>43583</v>
      </c>
      <c r="AV3" s="28">
        <f ca="1"/>
        <v>43583</v>
      </c>
      <c r="AW3" s="28">
        <f ca="1"/>
        <v>43583</v>
      </c>
      <c r="AX3" s="28">
        <f ca="1"/>
        <v>43583</v>
      </c>
      <c r="AY3" s="28">
        <f ca="1"/>
        <v>43580</v>
      </c>
      <c r="AZ3" s="28">
        <f ca="1"/>
        <v>43580</v>
      </c>
      <c r="BA3" s="28">
        <f ca="1"/>
        <v>43580</v>
      </c>
      <c r="BB3" s="28">
        <f ca="1"/>
        <v>43580</v>
      </c>
      <c r="BC3" s="28">
        <f ca="1"/>
        <v>43581</v>
      </c>
      <c r="BD3" s="28">
        <f ca="1"/>
        <v>43583</v>
      </c>
      <c r="BE3" s="28">
        <f ca="1"/>
        <v>43583</v>
      </c>
      <c r="BF3" s="28">
        <f ca="1"/>
        <v>43583</v>
      </c>
      <c r="BG3" s="28">
        <f ca="1"/>
        <v>43581</v>
      </c>
      <c r="BH3" s="28">
        <f ca="1"/>
        <v>43581</v>
      </c>
      <c r="BI3" s="28">
        <f ca="1"/>
        <v>43581</v>
      </c>
      <c r="BJ3" s="28">
        <f ca="1"/>
        <v>43581</v>
      </c>
      <c r="BK3" s="28">
        <f ca="1"/>
        <v>43581</v>
      </c>
      <c r="BL3" s="28">
        <f ca="1"/>
        <v>43581</v>
      </c>
      <c r="BM3" s="28">
        <f ca="1"/>
        <v>43581</v>
      </c>
      <c r="BN3" s="28">
        <f ca="1"/>
        <v>43581</v>
      </c>
      <c r="BO3" s="28">
        <f ca="1"/>
        <v>43581</v>
      </c>
      <c r="BP3" s="28">
        <f ca="1"/>
        <v>43581</v>
      </c>
      <c r="BQ3" s="28">
        <f ca="1"/>
        <v>43581</v>
      </c>
      <c r="BR3" s="28">
        <f ca="1"/>
        <v>43581</v>
      </c>
      <c r="BS3" s="28">
        <f ca="1"/>
        <v>43581</v>
      </c>
      <c r="BT3" s="28">
        <f ca="1"/>
        <v>43581</v>
      </c>
      <c r="BU3" s="28">
        <f ca="1"/>
        <v>43581</v>
      </c>
      <c r="BV3" s="28">
        <f ca="1"/>
        <v>43581</v>
      </c>
      <c r="BW3" s="28">
        <f ca="1"/>
        <v>43581</v>
      </c>
      <c r="BX3" s="28">
        <f ca="1"/>
        <v>43581</v>
      </c>
      <c r="BY3" s="28">
        <f ca="1"/>
        <v>43581</v>
      </c>
      <c r="BZ3" s="28">
        <f ca="1"/>
        <v>43581</v>
      </c>
      <c r="CA3" s="28">
        <f ca="1"/>
        <v>43581</v>
      </c>
      <c r="CB3" s="28">
        <f ca="1"/>
        <v>43581</v>
      </c>
      <c r="CC3" s="28">
        <f ca="1"/>
        <v>43581</v>
      </c>
      <c r="CD3" s="28">
        <f ca="1"/>
        <v>43581</v>
      </c>
      <c r="CE3" s="28">
        <f ca="1"/>
        <v>43583</v>
      </c>
      <c r="CF3" s="28">
        <f ca="1"/>
        <v>43583</v>
      </c>
      <c r="CG3" s="28">
        <f ca="1"/>
        <v>43583</v>
      </c>
      <c r="CH3" s="28">
        <f ca="1"/>
        <v>43583</v>
      </c>
      <c r="CI3" s="28">
        <f ca="1"/>
        <v>43581</v>
      </c>
      <c r="CJ3" s="28">
        <f ca="1"/>
        <v>43581</v>
      </c>
      <c r="CK3" s="28">
        <f ca="1"/>
        <v>43581</v>
      </c>
      <c r="CL3" s="28">
        <f ca="1"/>
        <v>43581</v>
      </c>
      <c r="CM3" s="28">
        <f ca="1"/>
        <v>43581</v>
      </c>
      <c r="CN3" s="28">
        <f ca="1"/>
        <v>43581</v>
      </c>
      <c r="CO3" s="28">
        <f ca="1"/>
        <v>43581</v>
      </c>
      <c r="CP3" s="28">
        <f ca="1"/>
        <v>43581</v>
      </c>
      <c r="CQ3" s="28">
        <f ca="1"/>
        <v>43581</v>
      </c>
      <c r="CR3" s="28">
        <f ca="1"/>
        <v>43581</v>
      </c>
      <c r="CS3" s="28">
        <f ca="1"/>
        <v>43581</v>
      </c>
      <c r="CT3" s="28">
        <f ca="1"/>
        <v>43581</v>
      </c>
      <c r="CU3" s="39">
        <f ca="1"/>
        <v>43581</v>
      </c>
      <c r="CV3" s="39">
        <f ca="1"/>
        <v>43581</v>
      </c>
      <c r="CW3" s="39">
        <f ca="1"/>
        <v>43581</v>
      </c>
      <c r="CX3" s="39">
        <f ca="1"/>
        <v>43581</v>
      </c>
      <c r="CY3" s="28">
        <f ca="1"/>
        <v>43583</v>
      </c>
      <c r="CZ3" s="28">
        <f ca="1"/>
        <v>43583</v>
      </c>
      <c r="DA3" s="28">
        <f ca="1"/>
        <v>43583</v>
      </c>
      <c r="DB3" s="28">
        <f ca="1"/>
        <v>43581</v>
      </c>
      <c r="DC3" s="28">
        <f ca="1"/>
        <v>43581</v>
      </c>
      <c r="DD3" s="28">
        <f ca="1"/>
        <v>43581</v>
      </c>
      <c r="DE3" s="28">
        <f ca="1"/>
        <v>43581</v>
      </c>
      <c r="DF3" s="28">
        <f ca="1"/>
        <v>43581</v>
      </c>
      <c r="DG3" s="28">
        <f ca="1"/>
        <v>43583</v>
      </c>
      <c r="DH3" s="28">
        <f ca="1"/>
        <v>43581</v>
      </c>
      <c r="DI3" s="28">
        <f ca="1"/>
        <v>43581</v>
      </c>
      <c r="DJ3" s="28">
        <f ca="1"/>
        <v>43581</v>
      </c>
      <c r="DK3" s="28">
        <f ca="1"/>
        <v>43581</v>
      </c>
      <c r="DL3" s="28">
        <f ca="1"/>
        <v>43581</v>
      </c>
      <c r="DM3" s="28">
        <f ca="1"/>
        <v>43581</v>
      </c>
      <c r="DN3" s="28">
        <f ca="1"/>
        <v>43581</v>
      </c>
      <c r="DO3" s="28">
        <f ca="1"/>
        <v>43583</v>
      </c>
      <c r="DP3" s="28">
        <f ca="1"/>
        <v>43583</v>
      </c>
      <c r="DQ3" s="28">
        <f ca="1"/>
        <v>43581</v>
      </c>
      <c r="DR3" s="28">
        <f ca="1"/>
        <v>43581</v>
      </c>
      <c r="DS3" s="28">
        <f ca="1"/>
        <v>43583</v>
      </c>
      <c r="DT3" s="28">
        <f ca="1"/>
        <v>43583</v>
      </c>
      <c r="DU3" s="28">
        <f ca="1"/>
        <v>43583</v>
      </c>
      <c r="DV3" s="28">
        <f ca="1"/>
        <v>43583</v>
      </c>
      <c r="DW3" s="28">
        <f ca="1"/>
        <v>43583</v>
      </c>
      <c r="DX3" s="28">
        <f ca="1"/>
        <v>43583</v>
      </c>
      <c r="DY3" s="28">
        <f ca="1"/>
        <v>43583</v>
      </c>
      <c r="DZ3" s="28">
        <f ca="1"/>
        <v>43581</v>
      </c>
      <c r="EA3" s="28">
        <f ca="1"/>
        <v>43581</v>
      </c>
      <c r="EB3" s="28">
        <f ca="1"/>
        <v>43581</v>
      </c>
      <c r="EC3" s="28">
        <f ca="1"/>
        <v>43581</v>
      </c>
      <c r="ED3" s="28">
        <f ca="1"/>
        <v>43581</v>
      </c>
      <c r="EE3" s="28">
        <f ca="1"/>
        <v>43581</v>
      </c>
      <c r="EF3" s="28">
        <f ca="1"/>
        <v>43581</v>
      </c>
      <c r="EG3" s="28">
        <f ca="1"/>
        <v>43581</v>
      </c>
      <c r="EH3" s="28">
        <f ca="1"/>
        <v>43581</v>
      </c>
      <c r="EI3" s="28">
        <f ca="1"/>
        <v>43581</v>
      </c>
      <c r="EJ3" s="28">
        <f ca="1"/>
        <v>43581</v>
      </c>
      <c r="EK3" s="28">
        <f ca="1"/>
        <v>43581</v>
      </c>
      <c r="EL3" s="28">
        <f ca="1"/>
        <v>43581</v>
      </c>
      <c r="EM3" s="28">
        <f ca="1"/>
        <v>43581</v>
      </c>
      <c r="EN3" s="28">
        <f ca="1"/>
        <v>43581</v>
      </c>
      <c r="EO3" s="28">
        <f ca="1"/>
        <v>43581</v>
      </c>
      <c r="EP3" s="28">
        <f ca="1"/>
        <v>43581</v>
      </c>
      <c r="EQ3" s="28">
        <f ca="1"/>
        <v>43581</v>
      </c>
      <c r="ER3" s="28">
        <f ca="1"/>
        <v>43581</v>
      </c>
      <c r="ES3" s="28">
        <f ca="1"/>
        <v>43581</v>
      </c>
      <c r="ET3" s="28">
        <f ca="1"/>
        <v>43581</v>
      </c>
      <c r="EU3" s="28">
        <f ca="1"/>
        <v>43581</v>
      </c>
      <c r="EV3" s="28">
        <f ca="1"/>
        <v>43581</v>
      </c>
      <c r="EW3" s="28">
        <f ca="1"/>
        <v>43581</v>
      </c>
      <c r="EX3" s="28">
        <f ca="1"/>
        <v>43581</v>
      </c>
      <c r="EY3" s="28">
        <f ca="1"/>
        <v>43583</v>
      </c>
      <c r="EZ3" s="28">
        <f ca="1"/>
        <v>43583</v>
      </c>
      <c r="FA3" s="28">
        <f ca="1"/>
        <v>43583</v>
      </c>
      <c r="FB3" s="28">
        <f ca="1"/>
        <v>43581</v>
      </c>
      <c r="FC3" s="28">
        <f ca="1"/>
        <v>43581</v>
      </c>
      <c r="FD3" s="28">
        <f ca="1"/>
        <v>43581</v>
      </c>
      <c r="FE3" s="28">
        <f ca="1"/>
        <v>43581</v>
      </c>
      <c r="FF3" s="28">
        <f ca="1"/>
        <v>43581</v>
      </c>
      <c r="FG3" s="28">
        <f ca="1"/>
        <v>43581</v>
      </c>
      <c r="FH3" s="28">
        <f ca="1"/>
        <v>43581</v>
      </c>
      <c r="FI3" s="28">
        <f ca="1"/>
        <v>43581</v>
      </c>
      <c r="FJ3" s="28">
        <f ca="1"/>
        <v>43581</v>
      </c>
      <c r="FK3" s="28">
        <f ca="1"/>
        <v>43581</v>
      </c>
      <c r="FL3" s="28">
        <f ca="1"/>
        <v>43581</v>
      </c>
      <c r="FM3" s="28">
        <f ca="1"/>
        <v>43581</v>
      </c>
      <c r="FN3" s="28">
        <f ca="1"/>
        <v>43581</v>
      </c>
      <c r="FO3" s="28">
        <f ca="1"/>
        <v>43581</v>
      </c>
      <c r="FP3" s="28">
        <f ca="1"/>
        <v>43581</v>
      </c>
      <c r="FQ3" s="28">
        <f ca="1"/>
        <v>43581</v>
      </c>
      <c r="FR3" s="28">
        <f ca="1"/>
        <v>43581</v>
      </c>
      <c r="FS3" s="28">
        <f ca="1"/>
        <v>43581</v>
      </c>
      <c r="FT3" s="28">
        <f ca="1"/>
        <v>43583</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row>
    <row r="4" spans="1:1005" ht="15.75" customHeight="1">
      <c r="A4" s="5" t="s">
        <v>85</v>
      </c>
      <c r="B4" s="7" t="s">
        <v>14</v>
      </c>
      <c r="C4" s="9" t="s">
        <v>88</v>
      </c>
      <c r="D4" s="5"/>
      <c r="E4" s="46" t="s">
        <v>89</v>
      </c>
    </row>
    <row r="5" spans="1:1005" ht="15.75" customHeight="1">
      <c r="A5" s="5" t="s">
        <v>85</v>
      </c>
      <c r="B5" s="7" t="s">
        <v>17</v>
      </c>
      <c r="C5" s="9" t="s">
        <v>96</v>
      </c>
      <c r="D5" s="7" t="s">
        <v>97</v>
      </c>
      <c r="E5" s="48" t="s">
        <v>98</v>
      </c>
      <c r="F5" t="str">
        <f t="array" ref="F5:ALQ5" ca="1">TRANSPOSE(Filtered!I2:I1005)</f>
        <v>Academic Medicine</v>
      </c>
      <c r="G5" t="str">
        <f ca="1"/>
        <v>ACS Applied Materials &amp; Interfaces</v>
      </c>
      <c r="H5" t="str">
        <f ca="1"/>
        <v>Accounts of Chemical Research</v>
      </c>
      <c r="I5" t="str">
        <f ca="1"/>
        <v>ACS Catalysis</v>
      </c>
      <c r="J5" t="str">
        <f ca="1"/>
        <v>Academy of Management Journal</v>
      </c>
      <c r="K5" t="str">
        <f ca="1"/>
        <v>ACS Nano</v>
      </c>
      <c r="L5" t="str">
        <f ca="1"/>
        <v>Advanced Energy Materials</v>
      </c>
      <c r="M5" t="str">
        <f ca="1"/>
        <v>Advanced Functional Materials</v>
      </c>
      <c r="N5" t="str">
        <f ca="1"/>
        <v>Advanced Materials</v>
      </c>
      <c r="O5" t="str">
        <f ca="1"/>
        <v>American Economic Review</v>
      </c>
      <c r="P5" t="str">
        <f ca="1"/>
        <v>American Journal of Political Science</v>
      </c>
      <c r="Q5" t="str">
        <f ca="1"/>
        <v>American Journal of Public Health</v>
      </c>
      <c r="R5" t="str">
        <f ca="1"/>
        <v>American Political Science Review</v>
      </c>
      <c r="S5" t="str">
        <f ca="1"/>
        <v>American Sociological Review</v>
      </c>
      <c r="T5" t="str">
        <f ca="1"/>
        <v>Angewandte Chemie International Edition</v>
      </c>
      <c r="U5" t="str">
        <f ca="1"/>
        <v>Annals of Internal Medicine</v>
      </c>
      <c r="V5" t="str">
        <f ca="1"/>
        <v>Annals of Oncology</v>
      </c>
      <c r="W5" t="str">
        <f ca="1"/>
        <v>Annals of the Rheumatic Diseases</v>
      </c>
      <c r="X5" t="str">
        <f ca="1"/>
        <v>Annals of Tourism Research</v>
      </c>
      <c r="Y5" t="str">
        <f ca="1"/>
        <v>Applied Energy</v>
      </c>
      <c r="Z5" t="str">
        <f ca="1"/>
        <v>Applied Linguistics</v>
      </c>
      <c r="AA5" t="str">
        <f ca="1"/>
        <v>Applied Physics Letters</v>
      </c>
      <c r="AB5" t="str">
        <f ca="1"/>
        <v>Astronomy &amp; Astrophysics</v>
      </c>
      <c r="AC5" t="str">
        <f ca="1"/>
        <v>Biomaterials</v>
      </c>
      <c r="AD5" t="str">
        <f ca="1"/>
        <v>Blood</v>
      </c>
      <c r="AE5" t="str">
        <f ca="1"/>
        <v>BMJ</v>
      </c>
      <c r="AF5" t="str">
        <f ca="1"/>
        <v>Cancer Cell</v>
      </c>
      <c r="AG5" t="str">
        <f ca="1"/>
        <v>Cancer Research</v>
      </c>
      <c r="AH5" t="str">
        <f ca="1"/>
        <v>Cell</v>
      </c>
      <c r="AI5" t="str">
        <f ca="1"/>
        <v>Cell Metabolism</v>
      </c>
      <c r="AJ5" t="str">
        <f ca="1"/>
        <v>Cell Stem Cell</v>
      </c>
      <c r="AK5" t="str">
        <f ca="1"/>
        <v>Chemical communications (Cambridge, England)</v>
      </c>
      <c r="AL5" t="str">
        <f ca="1"/>
        <v>Chemical Reviews</v>
      </c>
      <c r="AM5" t="str">
        <f ca="1"/>
        <v>Chemical Society reviews</v>
      </c>
      <c r="AN5" t="str">
        <f ca="1"/>
        <v>Chemistry of Materials</v>
      </c>
      <c r="AO5" t="str">
        <f ca="1"/>
        <v>Circulation</v>
      </c>
      <c r="AP5" t="str">
        <f ca="1"/>
        <v>Circulation Research</v>
      </c>
      <c r="AQ5" t="str">
        <f ca="1"/>
        <v>Clinical Cancer Research</v>
      </c>
      <c r="AR5" t="str">
        <f ca="1"/>
        <v>Computers &amp; Education</v>
      </c>
      <c r="AS5" t="str">
        <f ca="1"/>
        <v>Diabetes Care</v>
      </c>
      <c r="AT5" t="str">
        <f ca="1"/>
        <v>Digital Journalism</v>
      </c>
      <c r="AU5" t="str">
        <f ca="1"/>
        <v>Econometrica</v>
      </c>
      <c r="AV5" t="str">
        <f ca="1"/>
        <v>Energy and Environmental Science</v>
      </c>
      <c r="AW5" t="str">
        <f ca="1"/>
        <v>Environmental Science &amp; Technology</v>
      </c>
      <c r="AX5" t="str">
        <f ca="1"/>
        <v>European Heart Journal</v>
      </c>
      <c r="AY5" t="str">
        <f ca="1"/>
        <v>European Urology</v>
      </c>
      <c r="AZ5" t="str">
        <f ca="1"/>
        <v>Gastroenterology</v>
      </c>
      <c r="BA5" t="str">
        <f ca="1"/>
        <v>Gender &amp; Society</v>
      </c>
      <c r="BB5" t="str">
        <f ca="1"/>
        <v>Geophysical Research Letters</v>
      </c>
      <c r="BC5" t="str">
        <f ca="1"/>
        <v>Global Environmental Change</v>
      </c>
      <c r="BD5" t="str">
        <f ca="1"/>
        <v>Government Information Quarterly</v>
      </c>
      <c r="BE5" t="str">
        <f ca="1"/>
        <v>Gut</v>
      </c>
      <c r="BF5" t="str">
        <f ca="1"/>
        <v>Health Affairs</v>
      </c>
      <c r="BG5" t="str">
        <f ca="1"/>
        <v>Hepatology</v>
      </c>
      <c r="BH5" t="str">
        <f ca="1"/>
        <v>IEEE Communications Magazine</v>
      </c>
      <c r="BI5" t="str">
        <f ca="1"/>
        <v>IEEE Communications Surveys &amp; Tutorials</v>
      </c>
      <c r="BJ5" t="str">
        <f ca="1"/>
        <v>IEEE Conference on Computer Vision and Pattern Recognition, CVPR</v>
      </c>
      <c r="BK5" t="str">
        <f ca="1"/>
        <v>IEEE International Conference on Computer Vision</v>
      </c>
      <c r="BL5" t="str">
        <f ca="1"/>
        <v>IEEE Transactions on Automatic Control</v>
      </c>
      <c r="BM5" t="str">
        <f ca="1"/>
        <v>IEEE Transactions on Industrial Electronics</v>
      </c>
      <c r="BN5" t="str">
        <f ca="1"/>
        <v>IEEE Transactions on Pattern Analysis and Machine Intelligence</v>
      </c>
      <c r="BO5" t="str">
        <f ca="1"/>
        <v>IEEE Transactions on Power Electronics</v>
      </c>
      <c r="BP5" t="str">
        <f ca="1"/>
        <v>IEEE Transactions on Signal Processing</v>
      </c>
      <c r="BQ5" t="str">
        <f ca="1"/>
        <v>Immunity</v>
      </c>
      <c r="BR5" t="str">
        <f ca="1"/>
        <v>International Journal of Communication</v>
      </c>
      <c r="BS5" t="str">
        <f ca="1"/>
        <v>International Journal of Production Economics</v>
      </c>
      <c r="BT5" t="str">
        <f ca="1"/>
        <v>Journal of the American Medical Association</v>
      </c>
      <c r="BU5" t="str">
        <f ca="1"/>
        <v>Journal of Allergy and Clinical Immunology</v>
      </c>
      <c r="BV5" t="str">
        <f ca="1"/>
        <v>Journal of Banking &amp; Finance</v>
      </c>
      <c r="BW5" t="str">
        <f ca="1"/>
        <v>Journal of Business Ethics</v>
      </c>
      <c r="BX5" t="str">
        <f ca="1"/>
        <v>Journal of Business Research</v>
      </c>
      <c r="BY5" t="str">
        <f ca="1"/>
        <v>Journal of Cleaner Production</v>
      </c>
      <c r="BZ5" t="str">
        <f ca="1"/>
        <v>Journal of Clinical Oncology</v>
      </c>
      <c r="CA5" t="str">
        <f ca="1"/>
        <v>Journal of Communication</v>
      </c>
      <c r="CB5" t="str">
        <f ca="1"/>
        <v>Journal of Cosmology and Astroparticle Physics</v>
      </c>
      <c r="CC5" t="str">
        <f ca="1"/>
        <v>Journal of Economic Perspectives</v>
      </c>
      <c r="CD5" t="str">
        <f ca="1"/>
        <v>Journal of Educational Psychology</v>
      </c>
      <c r="CE5" t="str">
        <f ca="1"/>
        <v>Journal of Financial Economics</v>
      </c>
      <c r="CF5" t="str">
        <f ca="1"/>
        <v>Journal of Geophysical Research</v>
      </c>
      <c r="CG5" t="str">
        <f ca="1"/>
        <v>Journal of Hepatology</v>
      </c>
      <c r="CH5" t="str">
        <f ca="1"/>
        <v>Journal of High Energy Physics</v>
      </c>
      <c r="CI5" t="str">
        <f ca="1"/>
        <v>Journal of Management</v>
      </c>
      <c r="CJ5" t="str">
        <f ca="1"/>
        <v>Journal of Materials Chemistry. A</v>
      </c>
      <c r="CK5" t="str">
        <f ca="1"/>
        <v>Journal of Pragmatics</v>
      </c>
      <c r="CL5" t="str">
        <f ca="1"/>
        <v>Journal of the American Chemical Society</v>
      </c>
      <c r="CM5" t="str">
        <f ca="1"/>
        <v>Journal of the American College of Cardiology</v>
      </c>
      <c r="CN5" t="str">
        <f ca="1"/>
        <v>Journal of Youth and Adolescence</v>
      </c>
      <c r="CO5" t="str">
        <f ca="1"/>
        <v>Journalism</v>
      </c>
      <c r="CP5" t="str">
        <f ca="1"/>
        <v>Journalism Practice</v>
      </c>
      <c r="CQ5" t="str">
        <f ca="1"/>
        <v>Journalism Studies</v>
      </c>
      <c r="CR5" t="str">
        <f ca="1"/>
        <v>Land Use Policy</v>
      </c>
      <c r="CS5" t="str">
        <f ca="1"/>
        <v>Language Learning</v>
      </c>
      <c r="CT5" t="str">
        <f ca="1"/>
        <v>Lingua</v>
      </c>
      <c r="CU5" t="str">
        <f ca="1"/>
        <v>Management Information Systems Quarterly</v>
      </c>
      <c r="CV5" t="str">
        <f ca="1"/>
        <v>Management Science</v>
      </c>
      <c r="CW5" t="str">
        <f ca="1"/>
        <v>Media, Culture &amp; Society</v>
      </c>
      <c r="CX5" t="str">
        <f ca="1"/>
        <v>Molecular Cell</v>
      </c>
      <c r="CY5" t="str">
        <f ca="1"/>
        <v>Monthly Notices of the Royal Astronomical Society</v>
      </c>
      <c r="CZ5" t="str">
        <f ca="1"/>
        <v>Nano Letters</v>
      </c>
      <c r="DA5" t="str">
        <f ca="1"/>
        <v>Nanoscale</v>
      </c>
      <c r="DB5" t="str">
        <f ca="1"/>
        <v>Nature</v>
      </c>
      <c r="DC5" t="str">
        <f ca="1"/>
        <v>Nature Biotechnology</v>
      </c>
      <c r="DD5" t="str">
        <f ca="1"/>
        <v>Nature Cell Biology</v>
      </c>
      <c r="DE5" t="str">
        <f ca="1"/>
        <v>Nature Chemistry</v>
      </c>
      <c r="DF5" t="str">
        <f ca="1"/>
        <v>Nature Climate Change</v>
      </c>
      <c r="DG5" t="str">
        <f ca="1"/>
        <v>Nature Communications</v>
      </c>
      <c r="DH5" t="str">
        <f ca="1"/>
        <v>Nature Genetics</v>
      </c>
      <c r="DI5" t="str">
        <f ca="1"/>
        <v>Nature Immunology</v>
      </c>
      <c r="DJ5" t="str">
        <f ca="1"/>
        <v>Nature Materials</v>
      </c>
      <c r="DK5" t="str">
        <f ca="1"/>
        <v>Nature Medicine</v>
      </c>
      <c r="DL5" t="str">
        <f ca="1"/>
        <v>Nature Methods</v>
      </c>
      <c r="DM5" t="str">
        <f ca="1"/>
        <v>Nature Nanotechnology</v>
      </c>
      <c r="DN5" t="str">
        <f ca="1"/>
        <v>Nature Neuroscience</v>
      </c>
      <c r="DO5" t="str">
        <f ca="1"/>
        <v>Nature Photonics</v>
      </c>
      <c r="DP5" t="str">
        <f ca="1"/>
        <v>Nature Physics</v>
      </c>
      <c r="DQ5" t="str">
        <f ca="1"/>
        <v>Nature Reviews Cancer</v>
      </c>
      <c r="DR5" t="str">
        <f ca="1"/>
        <v>Nature Reviews Genetics</v>
      </c>
      <c r="DS5" t="str">
        <f ca="1"/>
        <v>Nature Reviews Immunology</v>
      </c>
      <c r="DT5" t="str">
        <f ca="1"/>
        <v>Nature Reviews Neuroscience</v>
      </c>
      <c r="DU5" t="str">
        <f ca="1"/>
        <v>Nature Reviews. Drug Discovery</v>
      </c>
      <c r="DV5" t="str">
        <f ca="1"/>
        <v>Nature Reviews. Molecular Cell Biology</v>
      </c>
      <c r="DW5" t="str">
        <f ca="1"/>
        <v>Neural Information Processing Systems (NIPS)</v>
      </c>
      <c r="DX5" t="str">
        <f ca="1"/>
        <v>NeuroImage</v>
      </c>
      <c r="DY5" t="str">
        <f ca="1"/>
        <v>Neuron</v>
      </c>
      <c r="DZ5" t="str">
        <f ca="1"/>
        <v>New Media and Society</v>
      </c>
      <c r="EA5" t="str">
        <f ca="1"/>
        <v>Noûs</v>
      </c>
      <c r="EB5" t="str">
        <f ca="1"/>
        <v>Nucleic Acids Research</v>
      </c>
      <c r="EC5" t="str">
        <f ca="1"/>
        <v>Obstetrical &amp; Gynecological Survey</v>
      </c>
      <c r="ED5" t="str">
        <f ca="1"/>
        <v>Optics Express</v>
      </c>
      <c r="EE5" t="str">
        <f ca="1"/>
        <v>Pediatrics</v>
      </c>
      <c r="EF5" t="str">
        <f ca="1"/>
        <v>Philosophical Studies</v>
      </c>
      <c r="EG5" t="str">
        <f ca="1"/>
        <v>Physical Review B</v>
      </c>
      <c r="EH5" t="str">
        <f ca="1"/>
        <v>Physical Review D</v>
      </c>
      <c r="EI5" t="str">
        <f ca="1"/>
        <v>Physical Review Letters</v>
      </c>
      <c r="EJ5" t="str">
        <f ca="1"/>
        <v>Physical Review X</v>
      </c>
      <c r="EK5" t="str">
        <f ca="1"/>
        <v>Physics Letters B</v>
      </c>
      <c r="EL5" t="str">
        <f ca="1"/>
        <v>PLoS One</v>
      </c>
      <c r="EM5" t="str">
        <f ca="1"/>
        <v>Proceedings of the National Academy of Sciences</v>
      </c>
      <c r="EN5" t="str">
        <f ca="1"/>
        <v>Progress in Human Geography</v>
      </c>
      <c r="EO5" t="str">
        <f ca="1"/>
        <v>Public Opinion Quarterly</v>
      </c>
      <c r="EP5" t="str">
        <f ca="1"/>
        <v>Regional Studies</v>
      </c>
      <c r="EQ5" t="str">
        <f ca="1"/>
        <v>Renewable and Sustainable Energy Reviews</v>
      </c>
      <c r="ER5" t="str">
        <f ca="1"/>
        <v>Research Policy</v>
      </c>
      <c r="ES5" t="str">
        <f ca="1"/>
        <v>Review of Economics and Statistics</v>
      </c>
      <c r="ET5" t="str">
        <f ca="1"/>
        <v>Reviews of Modern Physics</v>
      </c>
      <c r="EU5" t="str">
        <f ca="1"/>
        <v>Science</v>
      </c>
      <c r="EV5" t="str">
        <f ca="1"/>
        <v>Science Translational Medicine</v>
      </c>
      <c r="EW5" t="str">
        <f ca="1"/>
        <v>Scientific Reports</v>
      </c>
      <c r="EX5" t="str">
        <f ca="1"/>
        <v>Social Science &amp; Medicine</v>
      </c>
      <c r="EY5" t="str">
        <f ca="1"/>
        <v>Strategic Management Journal</v>
      </c>
      <c r="EZ5" t="str">
        <f ca="1"/>
        <v>Synthese</v>
      </c>
      <c r="FA5" t="str">
        <f ca="1"/>
        <v>System</v>
      </c>
      <c r="FB5" t="str">
        <f ca="1"/>
        <v>Teaching and Teacher Education</v>
      </c>
      <c r="FC5" t="str">
        <f ca="1"/>
        <v>TESOL Quarterly</v>
      </c>
      <c r="FD5" t="str">
        <f ca="1"/>
        <v>The Astrophysical Journal</v>
      </c>
      <c r="FE5" t="str">
        <f ca="1"/>
        <v>The China Quarterly</v>
      </c>
      <c r="FF5" t="str">
        <f ca="1"/>
        <v>The Cochrane Database of Systematic Reviews</v>
      </c>
      <c r="FG5" t="str">
        <f ca="1"/>
        <v>The European Physical Journal C</v>
      </c>
      <c r="FH5" t="str">
        <f ca="1"/>
        <v>The Journal of Clinical Investigation</v>
      </c>
      <c r="FI5" t="str">
        <f ca="1"/>
        <v>The Journal of Finance</v>
      </c>
      <c r="FJ5" t="str">
        <f ca="1"/>
        <v>The Journal of Physical Chemistry Letters</v>
      </c>
      <c r="FK5" t="str">
        <f ca="1"/>
        <v>The Lancet</v>
      </c>
      <c r="FL5" t="str">
        <f ca="1"/>
        <v>The Lancet Neurology</v>
      </c>
      <c r="FM5" t="str">
        <f ca="1"/>
        <v>The Lancet Oncology</v>
      </c>
      <c r="FN5" t="str">
        <f ca="1"/>
        <v>The Modern Language Journal</v>
      </c>
      <c r="FO5" t="str">
        <f ca="1"/>
        <v>The New England Journal of Medicine</v>
      </c>
      <c r="FP5" t="str">
        <f ca="1"/>
        <v>The Quarterly Journal of Economics</v>
      </c>
      <c r="FQ5" t="str">
        <f ca="1"/>
        <v>The Review of Economic Studies</v>
      </c>
      <c r="FR5" t="str">
        <f ca="1"/>
        <v>The Review of Financial Studies</v>
      </c>
      <c r="FS5" t="str">
        <f ca="1"/>
        <v>Tourism Management</v>
      </c>
      <c r="FT5" t="str">
        <f ca="1"/>
        <v>World Development</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row>
    <row r="6" spans="1:1005" ht="15.75" customHeight="1">
      <c r="A6" s="5" t="s">
        <v>271</v>
      </c>
      <c r="B6" s="7" t="s">
        <v>271</v>
      </c>
      <c r="C6" s="60" t="s">
        <v>272</v>
      </c>
      <c r="D6" s="7"/>
      <c r="E6" s="46"/>
    </row>
    <row r="7" spans="1:1005" ht="15.75" customHeight="1">
      <c r="A7" s="5"/>
      <c r="B7" s="7" t="s">
        <v>276</v>
      </c>
      <c r="C7" s="60" t="s">
        <v>277</v>
      </c>
      <c r="D7" s="7" t="s">
        <v>278</v>
      </c>
      <c r="E7" s="46"/>
    </row>
    <row r="8" spans="1:1005" ht="15.75" customHeight="1">
      <c r="A8" s="5" t="s">
        <v>85</v>
      </c>
      <c r="B8" s="7" t="s">
        <v>22</v>
      </c>
      <c r="C8" s="61" t="s">
        <v>62</v>
      </c>
      <c r="D8" s="7" t="s">
        <v>97</v>
      </c>
      <c r="E8" s="46" t="s">
        <v>280</v>
      </c>
      <c r="F8" t="str">
        <f t="array" ref="F8:ALQ8" ca="1">TRANSPOSE(Filtered!K2:K1005)</f>
        <v>Wolters Kluwer</v>
      </c>
      <c r="G8" t="str">
        <f ca="1"/>
        <v>American Chemical Society</v>
      </c>
      <c r="H8" t="str">
        <f ca="1"/>
        <v>American Chemical Society</v>
      </c>
      <c r="I8" t="str">
        <f ca="1"/>
        <v>American Chemical Society</v>
      </c>
      <c r="J8" t="str">
        <f ca="1"/>
        <v>Academy of Management</v>
      </c>
      <c r="K8" t="str">
        <f ca="1"/>
        <v>American Chemical Society</v>
      </c>
      <c r="L8" t="str">
        <f ca="1"/>
        <v>Wiley-VCH</v>
      </c>
      <c r="M8" t="str">
        <f ca="1"/>
        <v>Wiley-VCH</v>
      </c>
      <c r="N8" t="str">
        <f ca="1"/>
        <v>Wiley-VCH</v>
      </c>
      <c r="O8" t="str">
        <f ca="1"/>
        <v>American Economic Association</v>
      </c>
      <c r="P8" t="str">
        <f ca="1"/>
        <v>Midwest Political Science Association</v>
      </c>
      <c r="Q8" t="str">
        <f ca="1"/>
        <v/>
      </c>
      <c r="R8" t="str">
        <f ca="1"/>
        <v>Cambridge University Press</v>
      </c>
      <c r="S8" t="str">
        <f ca="1"/>
        <v>SAGE/American Sociological Association</v>
      </c>
      <c r="T8" t="str">
        <f ca="1"/>
        <v>Wiley-VCH</v>
      </c>
      <c r="U8" t="str">
        <f ca="1"/>
        <v>American College of Physicians</v>
      </c>
      <c r="V8" t="str">
        <f ca="1"/>
        <v>Oxford Academic</v>
      </c>
      <c r="W8" t="str">
        <f ca="1"/>
        <v>BMJ/EULAR</v>
      </c>
      <c r="X8" t="str">
        <f ca="1"/>
        <v>Elsevier</v>
      </c>
      <c r="Y8" t="str">
        <f ca="1"/>
        <v>Elsevier</v>
      </c>
      <c r="Z8" t="str">
        <f ca="1"/>
        <v>Oxford Academic</v>
      </c>
      <c r="AA8" t="str">
        <f ca="1"/>
        <v>American Institute of Physics</v>
      </c>
      <c r="AB8" t="str">
        <f ca="1"/>
        <v>EDP Sciences</v>
      </c>
      <c r="AC8" t="str">
        <f ca="1"/>
        <v>Elsevier</v>
      </c>
      <c r="AD8" t="str">
        <f ca="1"/>
        <v/>
      </c>
      <c r="AE8" t="str">
        <f ca="1"/>
        <v>British Medical Association</v>
      </c>
      <c r="AF8" t="str">
        <f ca="1"/>
        <v>CellPress (Elsevier)</v>
      </c>
      <c r="AG8" t="str">
        <f ca="1"/>
        <v>American Association for Cancer Research (AACR)</v>
      </c>
      <c r="AH8" t="str">
        <f ca="1"/>
        <v>CellPress (Elsevier)</v>
      </c>
      <c r="AI8" t="str">
        <f ca="1"/>
        <v>CellPress (Elsevier)</v>
      </c>
      <c r="AJ8" t="str">
        <f ca="1"/>
        <v>CellPress (Elsevier)</v>
      </c>
      <c r="AK8" t="str">
        <f ca="1"/>
        <v>Royal Society of Chemistry</v>
      </c>
      <c r="AL8" t="str">
        <f ca="1"/>
        <v>American Chemical Society (ACS)</v>
      </c>
      <c r="AM8" t="str">
        <f ca="1"/>
        <v>Royal Society of Chemistry</v>
      </c>
      <c r="AN8" t="str">
        <f ca="1"/>
        <v>American Chemical Society (ACS)</v>
      </c>
      <c r="AO8" t="str">
        <f ca="1"/>
        <v>American Heart Association (AHA)</v>
      </c>
      <c r="AP8" t="str">
        <f ca="1"/>
        <v>American Heart Association/American Stroke Association (AHA/ASA)</v>
      </c>
      <c r="AQ8" t="str">
        <f ca="1"/>
        <v>American Association for Cancer Research (AACR)</v>
      </c>
      <c r="AR8" t="str">
        <f ca="1"/>
        <v>Elsevier</v>
      </c>
      <c r="AS8" t="str">
        <f ca="1"/>
        <v>American Diabetes Association (ADA)</v>
      </c>
      <c r="AT8" t="str">
        <f ca="1"/>
        <v>Taylor &amp; Francis</v>
      </c>
      <c r="AU8" t="str">
        <f ca="1"/>
        <v>Wiley (for the Econometric Society)</v>
      </c>
      <c r="AV8" t="str">
        <f ca="1"/>
        <v>Royal Society of Chemistry</v>
      </c>
      <c r="AW8" t="str">
        <f ca="1"/>
        <v>ACS Publications</v>
      </c>
      <c r="AX8" t="str">
        <f ca="1"/>
        <v>Oxford Academic/European Society of Cardiology</v>
      </c>
      <c r="AY8" t="str">
        <f ca="1"/>
        <v>Elsevier</v>
      </c>
      <c r="AZ8" t="str">
        <f ca="1"/>
        <v>Elsevier/The American Gatsorenterological Association</v>
      </c>
      <c r="BA8" t="str">
        <f ca="1"/>
        <v>SAGE</v>
      </c>
      <c r="BB8" t="str">
        <f ca="1"/>
        <v>Wiley/Advancing Earth and Space Science</v>
      </c>
      <c r="BC8" t="str">
        <f ca="1"/>
        <v>Elsevier</v>
      </c>
      <c r="BD8" t="str">
        <f ca="1"/>
        <v/>
      </c>
      <c r="BE8" t="str">
        <f ca="1"/>
        <v>British Society of Gastroenterology/BMJ</v>
      </c>
      <c r="BF8" t="str">
        <f ca="1"/>
        <v>Project HOPE</v>
      </c>
      <c r="BG8" t="str">
        <f ca="1"/>
        <v>Wiley on behalf of the American Association for the Study of Liver Diseases</v>
      </c>
      <c r="BH8" t="str">
        <f ca="1"/>
        <v/>
      </c>
      <c r="BI8" t="str">
        <f ca="1"/>
        <v/>
      </c>
      <c r="BJ8" t="str">
        <f ca="1"/>
        <v/>
      </c>
      <c r="BK8" t="str">
        <f ca="1"/>
        <v/>
      </c>
      <c r="BL8" t="str">
        <f ca="1"/>
        <v>IEEE Communications Society</v>
      </c>
      <c r="BM8" t="str">
        <f ca="1"/>
        <v>IEEE</v>
      </c>
      <c r="BN8" t="str">
        <f ca="1"/>
        <v>IEEE</v>
      </c>
      <c r="BO8" t="str">
        <f ca="1"/>
        <v/>
      </c>
      <c r="BP8" t="str">
        <f ca="1"/>
        <v/>
      </c>
      <c r="BQ8" t="str">
        <f ca="1"/>
        <v>Elsevier</v>
      </c>
      <c r="BR8" t="str">
        <f ca="1"/>
        <v>University of Southern California</v>
      </c>
      <c r="BS8" t="str">
        <f ca="1"/>
        <v>Elsevier</v>
      </c>
      <c r="BT8" t="str">
        <f ca="1"/>
        <v>American Medical Association</v>
      </c>
      <c r="BU8" t="str">
        <f ca="1"/>
        <v>Elsevier/American Academy of Allergy, Asthma &amp; Immunology</v>
      </c>
      <c r="BV8" t="str">
        <f ca="1"/>
        <v>Elsevier</v>
      </c>
      <c r="BW8" t="str">
        <f ca="1"/>
        <v>SpringerNature</v>
      </c>
      <c r="BX8" t="str">
        <f ca="1"/>
        <v>Elsevier</v>
      </c>
      <c r="BY8" t="str">
        <f ca="1"/>
        <v>Elsevier</v>
      </c>
      <c r="BZ8" t="str">
        <f ca="1"/>
        <v>American Society of Clinical Oncology</v>
      </c>
      <c r="CA8" t="str">
        <f ca="1"/>
        <v>Oxford University Press (formerly Wiley until 2018) for International Communication Association</v>
      </c>
      <c r="CB8" t="str">
        <f ca="1"/>
        <v>IOP Publishing &amp; SISSA (International School for Advanced Studies)</v>
      </c>
      <c r="CC8" t="str">
        <f ca="1"/>
        <v>American Economic Association</v>
      </c>
      <c r="CD8" t="str">
        <f ca="1"/>
        <v>American Psychological Association</v>
      </c>
      <c r="CE8" t="str">
        <f ca="1"/>
        <v>Elsevier</v>
      </c>
      <c r="CF8" t="str">
        <f ca="1"/>
        <v>American Geophysical Union</v>
      </c>
      <c r="CG8" t="str">
        <f ca="1"/>
        <v/>
      </c>
      <c r="CH8" t="str">
        <f ca="1"/>
        <v>Springer</v>
      </c>
      <c r="CI8" t="str">
        <f ca="1"/>
        <v>SAGE in association with the Southern Management Association</v>
      </c>
      <c r="CJ8" t="str">
        <f ca="1"/>
        <v>Royal Society of Chemistry</v>
      </c>
      <c r="CK8" t="str">
        <f ca="1"/>
        <v>Elsevier</v>
      </c>
      <c r="CL8" t="str">
        <f ca="1"/>
        <v>ACS Publications</v>
      </c>
      <c r="CM8" t="str">
        <f ca="1"/>
        <v>American College of Cardiology, Elsevier</v>
      </c>
      <c r="CN8" t="str">
        <f ca="1"/>
        <v>Springer</v>
      </c>
      <c r="CO8" t="str">
        <f ca="1"/>
        <v>SAGE</v>
      </c>
      <c r="CP8" t="str">
        <f ca="1"/>
        <v>Taylor &amp; Francis</v>
      </c>
      <c r="CQ8" t="str">
        <f ca="1"/>
        <v>Taylor &amp; Francis</v>
      </c>
      <c r="CR8" t="str">
        <f ca="1"/>
        <v>Elsevier</v>
      </c>
      <c r="CS8" t="str">
        <f ca="1"/>
        <v>Wiley</v>
      </c>
      <c r="CT8" t="str">
        <f ca="1"/>
        <v>Elsevier</v>
      </c>
      <c r="CU8" t="str">
        <f ca="1"/>
        <v>Association for Information Systems</v>
      </c>
      <c r="CV8" t="str">
        <f ca="1"/>
        <v>The Institute for Operations Research and the Management Sciences</v>
      </c>
      <c r="CW8" t="str">
        <f ca="1"/>
        <v>SAGE</v>
      </c>
      <c r="CX8" t="str">
        <f ca="1"/>
        <v>Elsevier</v>
      </c>
      <c r="CY8" t="str">
        <f ca="1"/>
        <v/>
      </c>
      <c r="CZ8" t="str">
        <f ca="1"/>
        <v>ACS Publications</v>
      </c>
      <c r="DA8" t="str">
        <f ca="1"/>
        <v>Royal Society of Chemistry</v>
      </c>
      <c r="DB8" t="str">
        <f ca="1"/>
        <v>Springer Nature</v>
      </c>
      <c r="DC8" t="str">
        <f ca="1"/>
        <v>Springer Nature</v>
      </c>
      <c r="DD8" t="str">
        <f ca="1"/>
        <v>Springer Nature</v>
      </c>
      <c r="DE8" t="str">
        <f ca="1"/>
        <v>Springer Nature</v>
      </c>
      <c r="DF8" t="str">
        <f ca="1"/>
        <v>Springer Nature</v>
      </c>
      <c r="DG8" t="str">
        <f ca="1"/>
        <v/>
      </c>
      <c r="DH8" t="str">
        <f ca="1"/>
        <v>Springer Nature</v>
      </c>
      <c r="DI8" t="str">
        <f ca="1"/>
        <v>Springer Nature</v>
      </c>
      <c r="DJ8" t="str">
        <f ca="1"/>
        <v>Springer Nature</v>
      </c>
      <c r="DK8" t="str">
        <f ca="1"/>
        <v>Springer Nature</v>
      </c>
      <c r="DL8" t="str">
        <f ca="1"/>
        <v>Springer Nature</v>
      </c>
      <c r="DM8" t="str">
        <f ca="1"/>
        <v>Springer Nature</v>
      </c>
      <c r="DN8" t="str">
        <f ca="1"/>
        <v>Springer Nature</v>
      </c>
      <c r="DO8" t="str">
        <f ca="1"/>
        <v>Springer Nature</v>
      </c>
      <c r="DP8" t="str">
        <f ca="1"/>
        <v>Springer Nature</v>
      </c>
      <c r="DQ8" t="str">
        <f ca="1"/>
        <v/>
      </c>
      <c r="DR8" t="str">
        <f ca="1"/>
        <v/>
      </c>
      <c r="DS8" t="str">
        <f ca="1"/>
        <v/>
      </c>
      <c r="DT8" t="str">
        <f ca="1"/>
        <v/>
      </c>
      <c r="DU8" t="str">
        <f ca="1"/>
        <v/>
      </c>
      <c r="DV8" t="str">
        <f ca="1"/>
        <v/>
      </c>
      <c r="DW8" t="str">
        <f ca="1"/>
        <v/>
      </c>
      <c r="DX8" t="str">
        <f ca="1"/>
        <v>Elsevier</v>
      </c>
      <c r="DY8" t="str">
        <f ca="1"/>
        <v>Cell Press</v>
      </c>
      <c r="DZ8" t="str">
        <f ca="1"/>
        <v>SAGE</v>
      </c>
      <c r="EA8" t="str">
        <f ca="1"/>
        <v>Wiley</v>
      </c>
      <c r="EB8" t="str">
        <f ca="1"/>
        <v>Oxford University Press</v>
      </c>
      <c r="EC8" t="str">
        <f ca="1"/>
        <v>Lippincott Williams &amp; Wilkins</v>
      </c>
      <c r="ED8" t="str">
        <f ca="1"/>
        <v>Optical Society</v>
      </c>
      <c r="EE8" t="str">
        <f ca="1"/>
        <v>American Academy of Pediatrics</v>
      </c>
      <c r="EF8" t="str">
        <f ca="1"/>
        <v>Springer Nature</v>
      </c>
      <c r="EG8" t="str">
        <f ca="1"/>
        <v>American Physical Society</v>
      </c>
      <c r="EH8" t="str">
        <f ca="1"/>
        <v>American Physical Society</v>
      </c>
      <c r="EI8" t="str">
        <f ca="1"/>
        <v>American Physical Society</v>
      </c>
      <c r="EJ8" t="str">
        <f ca="1"/>
        <v>American Physical Society</v>
      </c>
      <c r="EK8" t="str">
        <f ca="1"/>
        <v>Elsevier</v>
      </c>
      <c r="EL8" t="str">
        <f ca="1"/>
        <v>PLoS</v>
      </c>
      <c r="EM8" t="str">
        <f ca="1"/>
        <v>National Academy of Sciences</v>
      </c>
      <c r="EN8" t="str">
        <f ca="1"/>
        <v>SAGE</v>
      </c>
      <c r="EO8" t="str">
        <f ca="1"/>
        <v>Oxford University Press</v>
      </c>
      <c r="EP8" t="str">
        <f ca="1"/>
        <v>Taylor &amp; Francis</v>
      </c>
      <c r="EQ8" t="str">
        <f ca="1"/>
        <v>Elsevier</v>
      </c>
      <c r="ER8" t="str">
        <f ca="1"/>
        <v>Elsevier</v>
      </c>
      <c r="ES8" t="str">
        <f ca="1"/>
        <v>The MIT Press</v>
      </c>
      <c r="ET8" t="str">
        <f ca="1"/>
        <v>American Physical Society</v>
      </c>
      <c r="EU8" t="str">
        <f ca="1"/>
        <v>American Association for the Advancement of Science</v>
      </c>
      <c r="EV8" t="str">
        <f ca="1"/>
        <v/>
      </c>
      <c r="EW8" t="str">
        <f ca="1"/>
        <v>Springer Nature</v>
      </c>
      <c r="EX8" t="str">
        <f ca="1"/>
        <v>Elsevier</v>
      </c>
      <c r="EY8" t="str">
        <f ca="1"/>
        <v>Wiley, Strategic Management Society</v>
      </c>
      <c r="EZ8" t="str">
        <f ca="1"/>
        <v>Springer</v>
      </c>
      <c r="FA8" t="str">
        <f ca="1"/>
        <v>Elsevier</v>
      </c>
      <c r="FB8" t="str">
        <f ca="1"/>
        <v>Elsevier</v>
      </c>
      <c r="FC8" t="str">
        <f ca="1"/>
        <v>Wiley, TESOL International Association</v>
      </c>
      <c r="FD8" t="str">
        <f ca="1"/>
        <v>IOP, American Astronomical Society</v>
      </c>
      <c r="FE8" t="str">
        <f ca="1"/>
        <v/>
      </c>
      <c r="FF8" t="str">
        <f ca="1"/>
        <v>Cochrane Library</v>
      </c>
      <c r="FG8" t="str">
        <f ca="1"/>
        <v>Springer</v>
      </c>
      <c r="FH8" t="str">
        <f ca="1"/>
        <v>American Society for Clinical Investigation</v>
      </c>
      <c r="FI8" t="str">
        <f ca="1"/>
        <v>Wiley &amp; American Finance Association (AFA)</v>
      </c>
      <c r="FJ8" t="str">
        <f ca="1"/>
        <v>American Chemical Society</v>
      </c>
      <c r="FK8" t="str">
        <f ca="1"/>
        <v>Elsevier</v>
      </c>
      <c r="FL8" t="str">
        <f ca="1"/>
        <v>Elsevier</v>
      </c>
      <c r="FM8" t="str">
        <f ca="1"/>
        <v>Elsevier</v>
      </c>
      <c r="FN8" t="str">
        <f ca="1"/>
        <v>Wiley</v>
      </c>
      <c r="FO8" t="str">
        <f ca="1"/>
        <v>Massachusetts Medical Society</v>
      </c>
      <c r="FP8" t="str">
        <f ca="1"/>
        <v>Oxford Academic</v>
      </c>
      <c r="FQ8" t="str">
        <f ca="1"/>
        <v>Oxford University Press</v>
      </c>
      <c r="FR8" t="str">
        <f ca="1"/>
        <v>Society for Financial Studies/Oxford Academic</v>
      </c>
      <c r="FS8" t="str">
        <f ca="1"/>
        <v>Elsevier</v>
      </c>
      <c r="FT8" t="str">
        <f ca="1"/>
        <v>Elsevier</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0</v>
      </c>
      <c r="RF8">
        <v>0</v>
      </c>
      <c r="RG8">
        <v>0</v>
      </c>
      <c r="RH8">
        <v>0</v>
      </c>
      <c r="RI8">
        <v>0</v>
      </c>
      <c r="RJ8">
        <v>0</v>
      </c>
      <c r="RK8">
        <v>0</v>
      </c>
      <c r="RL8">
        <v>0</v>
      </c>
      <c r="RM8">
        <v>0</v>
      </c>
      <c r="RN8">
        <v>0</v>
      </c>
      <c r="RO8">
        <v>0</v>
      </c>
      <c r="RP8">
        <v>0</v>
      </c>
      <c r="RQ8">
        <v>0</v>
      </c>
      <c r="RR8">
        <v>0</v>
      </c>
      <c r="RS8">
        <v>0</v>
      </c>
      <c r="RT8">
        <v>0</v>
      </c>
      <c r="RU8">
        <v>0</v>
      </c>
      <c r="RV8">
        <v>0</v>
      </c>
      <c r="RW8">
        <v>0</v>
      </c>
      <c r="RX8">
        <v>0</v>
      </c>
      <c r="RY8">
        <v>0</v>
      </c>
      <c r="RZ8">
        <v>0</v>
      </c>
      <c r="SA8">
        <v>0</v>
      </c>
      <c r="SB8">
        <v>0</v>
      </c>
      <c r="SC8">
        <v>0</v>
      </c>
      <c r="SD8">
        <v>0</v>
      </c>
      <c r="SE8">
        <v>0</v>
      </c>
      <c r="SF8">
        <v>0</v>
      </c>
      <c r="SG8">
        <v>0</v>
      </c>
      <c r="SH8">
        <v>0</v>
      </c>
      <c r="SI8">
        <v>0</v>
      </c>
      <c r="SJ8">
        <v>0</v>
      </c>
      <c r="SK8">
        <v>0</v>
      </c>
      <c r="SL8">
        <v>0</v>
      </c>
      <c r="SM8">
        <v>0</v>
      </c>
      <c r="SN8">
        <v>0</v>
      </c>
      <c r="SO8">
        <v>0</v>
      </c>
      <c r="SP8">
        <v>0</v>
      </c>
      <c r="SQ8">
        <v>0</v>
      </c>
      <c r="SR8">
        <v>0</v>
      </c>
      <c r="SS8">
        <v>0</v>
      </c>
      <c r="ST8">
        <v>0</v>
      </c>
      <c r="SU8">
        <v>0</v>
      </c>
      <c r="SV8">
        <v>0</v>
      </c>
      <c r="SW8">
        <v>0</v>
      </c>
      <c r="SX8">
        <v>0</v>
      </c>
      <c r="SY8">
        <v>0</v>
      </c>
      <c r="SZ8">
        <v>0</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0</v>
      </c>
      <c r="AIE8">
        <v>0</v>
      </c>
      <c r="AIF8">
        <v>0</v>
      </c>
      <c r="AIG8">
        <v>0</v>
      </c>
      <c r="AIH8">
        <v>0</v>
      </c>
      <c r="AII8">
        <v>0</v>
      </c>
      <c r="AIJ8">
        <v>0</v>
      </c>
      <c r="AIK8">
        <v>0</v>
      </c>
      <c r="AIL8">
        <v>0</v>
      </c>
      <c r="AIM8">
        <v>0</v>
      </c>
      <c r="AIN8">
        <v>0</v>
      </c>
      <c r="AIO8">
        <v>0</v>
      </c>
      <c r="AIP8">
        <v>0</v>
      </c>
      <c r="AIQ8">
        <v>0</v>
      </c>
      <c r="AIR8">
        <v>0</v>
      </c>
      <c r="AIS8">
        <v>0</v>
      </c>
      <c r="AIT8">
        <v>0</v>
      </c>
      <c r="AIU8">
        <v>0</v>
      </c>
      <c r="AIV8">
        <v>0</v>
      </c>
      <c r="AIW8">
        <v>0</v>
      </c>
      <c r="AIX8">
        <v>0</v>
      </c>
      <c r="AIY8">
        <v>0</v>
      </c>
      <c r="AIZ8">
        <v>0</v>
      </c>
      <c r="AJA8">
        <v>0</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c r="ALO8">
        <v>0</v>
      </c>
      <c r="ALP8">
        <v>0</v>
      </c>
      <c r="ALQ8">
        <v>0</v>
      </c>
    </row>
    <row r="9" spans="1:1005" ht="15.75" customHeight="1">
      <c r="A9" s="5" t="s">
        <v>85</v>
      </c>
      <c r="B9" s="7" t="s">
        <v>351</v>
      </c>
      <c r="C9" s="9" t="s">
        <v>352</v>
      </c>
      <c r="D9" s="5" t="s">
        <v>353</v>
      </c>
      <c r="E9" s="46" t="s">
        <v>354</v>
      </c>
      <c r="F9" s="69" t="s">
        <v>355</v>
      </c>
    </row>
    <row r="10" spans="1:1005" ht="15.75" customHeight="1">
      <c r="A10" s="5" t="s">
        <v>85</v>
      </c>
      <c r="B10" s="71" t="s">
        <v>357</v>
      </c>
      <c r="C10" s="60" t="s">
        <v>358</v>
      </c>
      <c r="D10" s="7"/>
      <c r="E10" s="46"/>
    </row>
    <row r="11" spans="1:1005" ht="15.75" customHeight="1">
      <c r="A11" s="73" t="s">
        <v>359</v>
      </c>
      <c r="B11" s="75" t="s">
        <v>361</v>
      </c>
      <c r="C11" s="77" t="s">
        <v>362</v>
      </c>
      <c r="D11" s="73"/>
      <c r="E11" s="79"/>
      <c r="F11" s="81">
        <v>43611</v>
      </c>
    </row>
    <row r="12" spans="1:1005" ht="15.75" customHeight="1">
      <c r="A12" s="73" t="s">
        <v>359</v>
      </c>
      <c r="B12" s="75" t="s">
        <v>366</v>
      </c>
      <c r="C12" s="77" t="s">
        <v>367</v>
      </c>
      <c r="D12" s="73"/>
      <c r="E12" s="79"/>
      <c r="F12" s="69" t="s">
        <v>369</v>
      </c>
    </row>
    <row r="13" spans="1:1005" ht="15.75" customHeight="1">
      <c r="A13" s="73" t="s">
        <v>359</v>
      </c>
      <c r="B13" s="75" t="s">
        <v>371</v>
      </c>
      <c r="C13" s="77" t="s">
        <v>372</v>
      </c>
      <c r="D13" s="73"/>
      <c r="E13" s="79"/>
      <c r="F13" s="69" t="s">
        <v>373</v>
      </c>
    </row>
    <row r="14" spans="1:1005" ht="15.75" customHeight="1">
      <c r="A14" s="73" t="s">
        <v>359</v>
      </c>
      <c r="B14" s="75" t="s">
        <v>375</v>
      </c>
      <c r="C14" s="77" t="s">
        <v>376</v>
      </c>
      <c r="D14" s="73"/>
      <c r="E14" s="79"/>
    </row>
    <row r="15" spans="1:1005" ht="15.75" customHeight="1">
      <c r="A15" s="86" t="s">
        <v>378</v>
      </c>
      <c r="B15" s="87" t="s">
        <v>23</v>
      </c>
      <c r="C15" s="88" t="s">
        <v>379</v>
      </c>
      <c r="D15" s="89" t="s">
        <v>380</v>
      </c>
      <c r="E15" s="90" t="s">
        <v>374</v>
      </c>
      <c r="F15" t="str">
        <f t="array" ref="F15:ALQ15" ca="1">TRANSPOSE(Filtered!L2:L1005)</f>
        <v>Single blind</v>
      </c>
      <c r="G15" t="str">
        <f ca="1"/>
        <v>Single Blind</v>
      </c>
      <c r="H15" t="str">
        <f ca="1"/>
        <v>Single Blind</v>
      </c>
      <c r="I15" t="str">
        <f ca="1"/>
        <v>Single blind</v>
      </c>
      <c r="J15" s="41" t="str">
        <f ca="1"/>
        <v>Double blind</v>
      </c>
      <c r="K15" s="41" t="str">
        <f ca="1"/>
        <v>Single blind</v>
      </c>
      <c r="L15" t="str">
        <f ca="1"/>
        <v>Unsure: at least single blind "2.10 To ensure the confidentiality of the names and other details of referees; adjudication and
appeal referees may be informed of the names of prior referees, if appropriate."</v>
      </c>
      <c r="M15" t="str">
        <f ca="1"/>
        <v>Unsure - at least single blind "2.10 To ensure the confidentiality of the names and other details of referees; adjudication and
appeal referees may be informed of the names of prior referees, if appropriate."</v>
      </c>
      <c r="N15" t="str">
        <f ca="1"/>
        <v>Unsure</v>
      </c>
      <c r="O15" t="str">
        <f ca="1"/>
        <v>Double blind</v>
      </c>
      <c r="P15" t="str">
        <f ca="1"/>
        <v>Double blind</v>
      </c>
      <c r="Q15" t="str">
        <f ca="1"/>
        <v>Double blind</v>
      </c>
      <c r="R15" t="str">
        <f ca="1"/>
        <v>Double blind</v>
      </c>
      <c r="S15" t="str">
        <f ca="1"/>
        <v>Double blind</v>
      </c>
      <c r="T15" t="str">
        <f ca="1"/>
        <v>Single blind</v>
      </c>
      <c r="U15" t="str">
        <f ca="1"/>
        <v>Single blind</v>
      </c>
      <c r="V15" t="str">
        <f ca="1"/>
        <v>Unsure</v>
      </c>
      <c r="W15" t="str">
        <f ca="1"/>
        <v>Single blind</v>
      </c>
      <c r="X15" t="str">
        <f ca="1"/>
        <v>Double blind</v>
      </c>
      <c r="Y15" t="str">
        <f ca="1"/>
        <v>Single blind</v>
      </c>
      <c r="Z15" t="str">
        <f ca="1"/>
        <v>Double blind</v>
      </c>
      <c r="AA15" t="str">
        <f ca="1"/>
        <v>Unsure</v>
      </c>
      <c r="AB15" t="str">
        <f ca="1"/>
        <v>Unsure</v>
      </c>
      <c r="AC15" t="str">
        <f ca="1"/>
        <v>Single blind</v>
      </c>
      <c r="AD15" t="str">
        <f ca="1"/>
        <v>Single blind</v>
      </c>
      <c r="AE15" t="str">
        <f ca="1"/>
        <v>Not blinded</v>
      </c>
      <c r="AF15" t="str">
        <f ca="1"/>
        <v>Single blind</v>
      </c>
      <c r="AG15" t="str">
        <f ca="1"/>
        <v>Unsure</v>
      </c>
      <c r="AH15" t="str">
        <f ca="1"/>
        <v>Single blind</v>
      </c>
      <c r="AI15" t="str">
        <f ca="1"/>
        <v>Single blind</v>
      </c>
      <c r="AJ15" t="str">
        <f ca="1"/>
        <v>Single blind</v>
      </c>
      <c r="AK15" t="str">
        <f ca="1"/>
        <v>Single blind, Double blind (optional)</v>
      </c>
      <c r="AL15" t="str">
        <f ca="1"/>
        <v>Unsure</v>
      </c>
      <c r="AM15" t="str">
        <f ca="1"/>
        <v>Unsure</v>
      </c>
      <c r="AN15" t="str">
        <f ca="1"/>
        <v>Unsure</v>
      </c>
      <c r="AO15" t="str">
        <f ca="1"/>
        <v>Single blind</v>
      </c>
      <c r="AP15" t="str">
        <f ca="1"/>
        <v>Single blind</v>
      </c>
      <c r="AQ15" t="str">
        <f ca="1"/>
        <v>Unsure</v>
      </c>
      <c r="AR15" t="str">
        <f ca="1"/>
        <v>Double blind</v>
      </c>
      <c r="AS15" t="str">
        <f ca="1"/>
        <v>Single blind</v>
      </c>
      <c r="AT15" t="str">
        <f ca="1"/>
        <v>Double blind</v>
      </c>
      <c r="AU15" t="str">
        <f ca="1"/>
        <v>Unsure</v>
      </c>
      <c r="AV15" t="str">
        <f ca="1"/>
        <v>Single blind</v>
      </c>
      <c r="AW15" t="str">
        <f ca="1"/>
        <v>Unsure</v>
      </c>
      <c r="AX15" t="str">
        <f ca="1"/>
        <v>Unsure</v>
      </c>
      <c r="AY15" t="str">
        <f ca="1"/>
        <v>Single blind</v>
      </c>
      <c r="AZ15" t="str">
        <f ca="1"/>
        <v>Single blind</v>
      </c>
      <c r="BA15" t="str">
        <f ca="1"/>
        <v>Double blind</v>
      </c>
      <c r="BB15" t="str">
        <f ca="1"/>
        <v>Unsure</v>
      </c>
      <c r="BC15" t="str">
        <f ca="1"/>
        <v>Double blind</v>
      </c>
      <c r="BD15" t="str">
        <f ca="1"/>
        <v>Other (apppears to offer choice of single blind or double blind)</v>
      </c>
      <c r="BE15" t="str">
        <f ca="1"/>
        <v>Single Blind</v>
      </c>
      <c r="BF15" t="str">
        <f ca="1"/>
        <v>Double blind</v>
      </c>
      <c r="BG15" t="str">
        <f ca="1"/>
        <v>Unsure</v>
      </c>
      <c r="BH15" t="str">
        <f ca="1"/>
        <v>Unsure</v>
      </c>
      <c r="BI15" t="str">
        <f ca="1"/>
        <v>Unsure</v>
      </c>
      <c r="BJ15" t="str">
        <f ca="1"/>
        <v>Double blind</v>
      </c>
      <c r="BK15" t="str">
        <f ca="1"/>
        <v>Double blind</v>
      </c>
      <c r="BL15" t="str">
        <f ca="1"/>
        <v>Unsure</v>
      </c>
      <c r="BM15" t="str">
        <f ca="1"/>
        <v>Unsure</v>
      </c>
      <c r="BN15" t="str">
        <f ca="1"/>
        <v>Unsure</v>
      </c>
      <c r="BO15" t="str">
        <f ca="1"/>
        <v>Single blind</v>
      </c>
      <c r="BP15" t="str">
        <f ca="1"/>
        <v>Single blind</v>
      </c>
      <c r="BQ15" t="str">
        <f ca="1"/>
        <v>Single blind</v>
      </c>
      <c r="BR15" t="str">
        <f ca="1"/>
        <v>Unsure</v>
      </c>
      <c r="BS15" t="str">
        <f ca="1"/>
        <v>Double blind</v>
      </c>
      <c r="BT15" t="str">
        <f ca="1"/>
        <v>Single blind</v>
      </c>
      <c r="BU15" t="str">
        <f ca="1"/>
        <v>Unsure</v>
      </c>
      <c r="BV15" t="str">
        <f ca="1"/>
        <v>Double blind</v>
      </c>
      <c r="BW15" t="str">
        <f ca="1"/>
        <v>Double blind</v>
      </c>
      <c r="BX15" t="str">
        <f ca="1"/>
        <v>Double blind</v>
      </c>
      <c r="BY15" t="str">
        <f ca="1"/>
        <v>Single blind</v>
      </c>
      <c r="BZ15" t="str">
        <f ca="1"/>
        <v>Single blind</v>
      </c>
      <c r="CA15" t="str">
        <f ca="1"/>
        <v>Unsure</v>
      </c>
      <c r="CB15" t="str">
        <f ca="1"/>
        <v>Single blind</v>
      </c>
      <c r="CC15" t="str">
        <f ca="1"/>
        <v>Unsure</v>
      </c>
      <c r="CD15" t="str">
        <f ca="1"/>
        <v>Double blind</v>
      </c>
      <c r="CE15" t="str">
        <f ca="1"/>
        <v>Unsure</v>
      </c>
      <c r="CF15" t="str">
        <f ca="1"/>
        <v>Unsure</v>
      </c>
      <c r="CG15" t="str">
        <f ca="1"/>
        <v>Unsure</v>
      </c>
      <c r="CH15" t="str">
        <f ca="1"/>
        <v>Single-blind</v>
      </c>
      <c r="CI15" t="str">
        <f ca="1"/>
        <v>Double blind</v>
      </c>
      <c r="CJ15" t="str">
        <f ca="1"/>
        <v>Single blind</v>
      </c>
      <c r="CK15" t="str">
        <f ca="1"/>
        <v>Double blind</v>
      </c>
      <c r="CL15" t="str">
        <f ca="1"/>
        <v>Single blind</v>
      </c>
      <c r="CM15" t="str">
        <f ca="1"/>
        <v>Single blind</v>
      </c>
      <c r="CN15" t="str">
        <f ca="1"/>
        <v>Double blind</v>
      </c>
      <c r="CO15" t="str">
        <f ca="1"/>
        <v>Double blind</v>
      </c>
      <c r="CP15" t="str">
        <f ca="1"/>
        <v>Double blind</v>
      </c>
      <c r="CQ15" t="str">
        <f ca="1"/>
        <v>Double blind</v>
      </c>
      <c r="CR15" t="str">
        <f ca="1"/>
        <v>Double blind</v>
      </c>
      <c r="CS15" t="str">
        <f ca="1"/>
        <v>Other: author choice of single or double blind</v>
      </c>
      <c r="CT15" t="str">
        <f ca="1"/>
        <v>Double blind</v>
      </c>
      <c r="CU15" t="str">
        <f ca="1"/>
        <v>Double-blind</v>
      </c>
      <c r="CV15" t="str">
        <f ca="1"/>
        <v>Double blind</v>
      </c>
      <c r="CW15" t="str">
        <f ca="1"/>
        <v>Double blind</v>
      </c>
      <c r="CX15" t="str">
        <f ca="1"/>
        <v>Unsure</v>
      </c>
      <c r="CY15" t="str">
        <f ca="1"/>
        <v>Single blind</v>
      </c>
      <c r="CZ15" t="str">
        <f ca="1"/>
        <v>Unsure</v>
      </c>
      <c r="DA15" t="str">
        <f ca="1"/>
        <v>Unsure (at least single blind)</v>
      </c>
      <c r="DB15" t="str">
        <f ca="1"/>
        <v>Other: Single blind is standard (but authors can choose Double blind, and reviewers can sign their names if they wish)</v>
      </c>
      <c r="DC15" t="str">
        <f ca="1"/>
        <v>Other (Single blind is standard but authors can choose Double blind, and reviewers can sign their names if they wish)</v>
      </c>
      <c r="DD15" t="str">
        <f ca="1"/>
        <v>Other (Single blind is standard but authors can choose Double blind, and reviewers can sign their names if they wish)</v>
      </c>
      <c r="DE15" t="str">
        <f ca="1"/>
        <v>Other (Single blind is standard but authors can choose Double blind, and reviewers can sign their names if they wish)</v>
      </c>
      <c r="DF15" t="str">
        <f ca="1"/>
        <v>Other (Single blind is standard but authors can choose Double blind, and reviewers can sign their names if they wish)</v>
      </c>
      <c r="DG15" t="str">
        <f ca="1"/>
        <v>Other (Single blind is standard but authors can choose Double blind, and reviewers can sign their names if they wish)</v>
      </c>
      <c r="DH15" t="str">
        <f ca="1"/>
        <v>Other (Single blind is standard but authors can choose Double blind, and reviewers can sign their names if they wish)</v>
      </c>
      <c r="DI15" t="str">
        <f ca="1"/>
        <v>Other (Single blind is standard but authors can choose Double blind, and reviewers can sign their names if they wish)</v>
      </c>
      <c r="DJ15" t="str">
        <f ca="1"/>
        <v>Other (Single blind is standard but authors can choose Double blind, and reviewers can sign their names if they wish)</v>
      </c>
      <c r="DK15" t="str">
        <f ca="1"/>
        <v>Other (Single blind is standard but authors can choose Double blind, and reviewers can sign their names if they wish)</v>
      </c>
      <c r="DL15" t="str">
        <f ca="1"/>
        <v>Other (Single blind is standard but authors can choose Double blind, and reviewers can sign their names if they wish)</v>
      </c>
      <c r="DM15" t="str">
        <f ca="1"/>
        <v>Other (Single blind is standard but authors can choose Double blind, and reviewers can sign their names if they wish)</v>
      </c>
      <c r="DN15" t="str">
        <f ca="1"/>
        <v>Other (Single blind is standard but authors can choose Double blind, and reviewers can sign their names if they wish)</v>
      </c>
      <c r="DO15" t="str">
        <f ca="1"/>
        <v>Other (Single blind is standard but authors can choose Double blind, and reviewers can sign their names if they wish)</v>
      </c>
      <c r="DP15" t="str">
        <f ca="1"/>
        <v>Other (Single blind is standard but authors can choose Double blind, and reviewers can sign their names if they wish)</v>
      </c>
      <c r="DQ15" t="str">
        <f ca="1"/>
        <v>Unsure</v>
      </c>
      <c r="DR15" t="str">
        <f ca="1"/>
        <v>Unsure</v>
      </c>
      <c r="DS15" t="str">
        <f ca="1"/>
        <v>Unsure</v>
      </c>
      <c r="DT15" t="str">
        <f ca="1"/>
        <v>Unsure</v>
      </c>
      <c r="DU15" t="str">
        <f ca="1"/>
        <v>Unsure</v>
      </c>
      <c r="DV15" t="str">
        <f ca="1"/>
        <v>Unsure</v>
      </c>
      <c r="DW15" t="str">
        <f ca="1"/>
        <v>Double blind</v>
      </c>
      <c r="DX15" t="str">
        <f ca="1"/>
        <v>Single blind</v>
      </c>
      <c r="DY15" t="str">
        <f ca="1"/>
        <v>Single blind</v>
      </c>
      <c r="DZ15" t="str">
        <f ca="1"/>
        <v>Double blind</v>
      </c>
      <c r="EA15" t="str">
        <f ca="1"/>
        <v>Other (Triple blind)</v>
      </c>
      <c r="EB15" t="str">
        <f ca="1"/>
        <v>Unsure</v>
      </c>
      <c r="EC15" t="str">
        <f ca="1"/>
        <v>Unsure</v>
      </c>
      <c r="ED15" t="str">
        <f ca="1"/>
        <v>Single blind</v>
      </c>
      <c r="EE15" t="str">
        <f ca="1"/>
        <v>Unsure (reviewers anon, but not clear if author anon or not)</v>
      </c>
      <c r="EF15" t="str">
        <f ca="1"/>
        <v>Double blind</v>
      </c>
      <c r="EG15" t="str">
        <f ca="1"/>
        <v>Single blind</v>
      </c>
      <c r="EH15" t="str">
        <f ca="1"/>
        <v>Single blind</v>
      </c>
      <c r="EI15" t="str">
        <f ca="1"/>
        <v>Single blind</v>
      </c>
      <c r="EJ15" t="str">
        <f ca="1"/>
        <v>Single blind</v>
      </c>
      <c r="EK15" t="str">
        <f ca="1"/>
        <v>Single blind</v>
      </c>
      <c r="EL15" t="str">
        <f ca="1"/>
        <v>Single blind</v>
      </c>
      <c r="EM15" t="str">
        <f ca="1"/>
        <v>Single blind (Single blind peer review inferred: referee must disclose COI based on author relationship (knows identity) but typically referee identity is not disclosed)</v>
      </c>
      <c r="EN15" t="str">
        <f ca="1"/>
        <v>Double blind</v>
      </c>
      <c r="EO15" t="str">
        <f ca="1"/>
        <v>Double blind</v>
      </c>
      <c r="EP15" t="str">
        <f ca="1"/>
        <v>Double blind</v>
      </c>
      <c r="EQ15" t="str">
        <f ca="1"/>
        <v>Single blind</v>
      </c>
      <c r="ER15" t="str">
        <f ca="1"/>
        <v>Double blind</v>
      </c>
      <c r="ES15" t="str">
        <f ca="1"/>
        <v>Unsure</v>
      </c>
      <c r="ET15" t="str">
        <f ca="1"/>
        <v>Single blind</v>
      </c>
      <c r="EU15" t="str">
        <f ca="1"/>
        <v>Unsure</v>
      </c>
      <c r="EV15" t="str">
        <f ca="1"/>
        <v>Unsure</v>
      </c>
      <c r="EW15" t="str">
        <f ca="1"/>
        <v>Single blind</v>
      </c>
      <c r="EX15" t="str">
        <f ca="1"/>
        <v>Double blind</v>
      </c>
      <c r="EY15" t="str">
        <f ca="1"/>
        <v>Unsure</v>
      </c>
      <c r="EZ15" t="str">
        <f ca="1"/>
        <v>Double blind</v>
      </c>
      <c r="FA15" t="str">
        <f ca="1"/>
        <v>Double blind</v>
      </c>
      <c r="FB15" t="str">
        <f ca="1"/>
        <v>Double blind</v>
      </c>
      <c r="FC15" t="str">
        <f ca="1"/>
        <v>Unsure - but possibly double blinded as instructions to authors say "If you cite your own work in your paper, please do not blind that citation so that the reviewers can better assess what literature you are reviewing."</v>
      </c>
      <c r="FD15" t="str">
        <f ca="1"/>
        <v>Unsure</v>
      </c>
      <c r="FE15" t="str">
        <f ca="1"/>
        <v xml:space="preserve">Double blind </v>
      </c>
      <c r="FF15" t="str">
        <f ca="1"/>
        <v>Not blinded</v>
      </c>
      <c r="FG15" t="str">
        <f ca="1"/>
        <v>Single blind</v>
      </c>
      <c r="FH15" t="str">
        <f ca="1"/>
        <v>Unsure</v>
      </c>
      <c r="FI15" t="str">
        <f ca="1"/>
        <v>Unsure</v>
      </c>
      <c r="FJ15" t="str">
        <f ca="1"/>
        <v>Single blind</v>
      </c>
      <c r="FK15" t="str">
        <f ca="1"/>
        <v>Unsure</v>
      </c>
      <c r="FL15" t="str">
        <f ca="1"/>
        <v>Unsure</v>
      </c>
      <c r="FM15" t="str">
        <f ca="1"/>
        <v>Unsure</v>
      </c>
      <c r="FN15" t="str">
        <f ca="1"/>
        <v>Double blind</v>
      </c>
      <c r="FO15" t="str">
        <f ca="1"/>
        <v>Single blind (inferred; reviewers see author identity to know COI)</v>
      </c>
      <c r="FP15" t="str">
        <f ca="1"/>
        <v>Unsure</v>
      </c>
      <c r="FQ15" t="str">
        <f ca="1"/>
        <v>Unsure</v>
      </c>
      <c r="FR15" t="str">
        <f ca="1"/>
        <v>Unsure</v>
      </c>
      <c r="FS15" t="str">
        <f ca="1"/>
        <v>Double blind</v>
      </c>
      <c r="FT15" t="str">
        <f ca="1"/>
        <v>Double blind</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0</v>
      </c>
      <c r="RU15">
        <v>0</v>
      </c>
      <c r="RV15">
        <v>0</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0</v>
      </c>
      <c r="ADI15">
        <v>0</v>
      </c>
      <c r="ADJ15">
        <v>0</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v>
      </c>
      <c r="AEM15">
        <v>0</v>
      </c>
      <c r="AEN15">
        <v>0</v>
      </c>
      <c r="AEO15">
        <v>0</v>
      </c>
      <c r="AEP15">
        <v>0</v>
      </c>
      <c r="AEQ15">
        <v>0</v>
      </c>
      <c r="AER15">
        <v>0</v>
      </c>
      <c r="AES15">
        <v>0</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0</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0</v>
      </c>
      <c r="AJE15">
        <v>0</v>
      </c>
      <c r="AJF15">
        <v>0</v>
      </c>
      <c r="AJG15">
        <v>0</v>
      </c>
      <c r="AJH15">
        <v>0</v>
      </c>
      <c r="AJI15">
        <v>0</v>
      </c>
      <c r="AJJ15">
        <v>0</v>
      </c>
      <c r="AJK15">
        <v>0</v>
      </c>
      <c r="AJL15">
        <v>0</v>
      </c>
      <c r="AJM15">
        <v>0</v>
      </c>
      <c r="AJN15">
        <v>0</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0</v>
      </c>
      <c r="ALM15">
        <v>0</v>
      </c>
      <c r="ALN15">
        <v>0</v>
      </c>
      <c r="ALO15">
        <v>0</v>
      </c>
      <c r="ALP15">
        <v>0</v>
      </c>
      <c r="ALQ15">
        <v>0</v>
      </c>
    </row>
    <row r="16" spans="1:1005" ht="15.75" customHeight="1">
      <c r="A16" s="86" t="s">
        <v>378</v>
      </c>
      <c r="B16" s="87" t="s">
        <v>25</v>
      </c>
      <c r="C16" s="95" t="s">
        <v>64</v>
      </c>
      <c r="D16" s="87" t="s">
        <v>273</v>
      </c>
      <c r="E16" s="98" t="s">
        <v>405</v>
      </c>
      <c r="F16" s="93" t="str">
        <f t="array" ref="F16:ALQ16" ca="1">TRANSPOSE(Filtered!M2:M1005)</f>
        <v>https://journals.lww.com/academicmedicine/Pages/InstructionsforAuthors.aspx#peerreview</v>
      </c>
      <c r="G16" t="str">
        <f ca="1"/>
        <v>https://pubs.acs.org/paragonplus/submission/aamick/aamick_authguide.pdf
https://pubs.acs.org/publish/peer_reviews</v>
      </c>
      <c r="H16" s="93" t="str">
        <f ca="1"/>
        <v>https://pubs.acs.org/paragonplus/submission/achre4/achre4_authguide.pdf</v>
      </c>
      <c r="I16" t="str">
        <f ca="1"/>
        <v>https://pubs.acs.org/page/accacs/submission/reviewers.html and https://pubs.acs.org/userimages/ContentEditor/1218054468605/ethics.pdf</v>
      </c>
      <c r="J16" t="str">
        <f ca="1"/>
        <v>http://aom.org/Publications/AMJ/Information-for-Contributors.aspx, https://aom.org/Publications/AMR/Frequently-Asked-Questions.aspx#amrR7</v>
      </c>
      <c r="K16" s="93" t="str">
        <f ca="1"/>
        <v>https://pubs.acs.org/userimages/ContentEditor/1218054468605/ethics.pdf</v>
      </c>
      <c r="L16" s="93" t="str">
        <f ca="1"/>
        <v>https://application.wiley-vch.de/util/cta/euchems_ethicalguidelines.pdf</v>
      </c>
      <c r="M16" s="93" t="str">
        <f ca="1"/>
        <v>https://application.wiley-vch.de/util/cta/euchems_ethicalguidelines.pdf</v>
      </c>
      <c r="N16" s="93" t="str">
        <f ca="1"/>
        <v>https://wol-prod-cdn.literatumonline.com/pb-assets/assets/15214095/2089_guidelines-1510017322000.pdf</v>
      </c>
      <c r="O16" s="93" t="str">
        <f ca="1"/>
        <v>https://www.aeaweb.org/journals/aer/reviewers</v>
      </c>
      <c r="P16" s="93" t="str">
        <f ca="1"/>
        <v>https://ajps.org/guidelines-for-manuscripts/</v>
      </c>
      <c r="Q16" s="93" t="str">
        <f ca="1"/>
        <v>https://ajph.aphapublications.org/page/authors.html</v>
      </c>
      <c r="R16" s="93" t="str">
        <f ca="1"/>
        <v>https://www.apsanet.org/APSR-Submission-Guidelines</v>
      </c>
      <c r="S16" s="93" t="str">
        <f ca="1"/>
        <v>https://us.sagepub.com/en-us/nam/journal/american-sociological-review#submission-guidelines</v>
      </c>
      <c r="T16" t="str">
        <f ca="1"/>
        <v>https://authorservices.wiley.com/Reviewers/journal-reviewers/tools-and-resources/review-confidentiality-policy.html, https://onlinelibrary.wiley.com/page/journal/15213773/homepage/notice-to-authors</v>
      </c>
      <c r="U16" s="93" t="str">
        <f ca="1"/>
        <v>http://annals.org/aim/pages/authors</v>
      </c>
      <c r="V16" s="93" t="str">
        <f ca="1"/>
        <v>https://academic.oup.com/annonc/pages/General_Instructions</v>
      </c>
      <c r="W16" s="93" t="str">
        <f ca="1"/>
        <v>https://ard.bmj.com/pages/about/</v>
      </c>
      <c r="X16" s="93" t="str">
        <f ca="1"/>
        <v>https://www.elsevier.com/journals/annals-of-tourism-research/0160-7383?generatepdf=true</v>
      </c>
      <c r="Y16" s="93" t="str">
        <f ca="1"/>
        <v>https://www.elsevier.com/journals/applied-energy/0306-2619/guide-for-authors#20910</v>
      </c>
      <c r="Z16" s="93" t="str">
        <f ca="1"/>
        <v>https://academic.oup.com/applij/pages/General_Instructions</v>
      </c>
      <c r="AA16" s="93" t="str">
        <f ca="1"/>
        <v>https://aip.scitation.org/apl/info/policies</v>
      </c>
      <c r="AB16" t="str">
        <f ca="1"/>
        <v>https://www.aanda.org/doc_journal/instructions/aadoc.pdf (p 16)</v>
      </c>
      <c r="AC16" s="93" t="str">
        <f ca="1"/>
        <v>https://www.elsevier.com/journals/biomaterials/0142-9612?generatepdf=true</v>
      </c>
      <c r="AD16" s="93" t="str">
        <f ca="1"/>
        <v xml:space="preserve">http://www.bloodjournal.org/page/authors/author-guide/peer-review        </v>
      </c>
      <c r="AE16" s="93" t="str">
        <f ca="1"/>
        <v>https://www.bmj.com/about-bmj/resources-reviewers</v>
      </c>
      <c r="AF16" s="93" t="str">
        <f ca="1"/>
        <v>https://www.cell.com/reviewers</v>
      </c>
      <c r="AG16" s="93" t="str">
        <f ca="1"/>
        <v>http://aacrjournals.org/content/authors/editorial-process#peerrev</v>
      </c>
      <c r="AH16" s="93" t="str">
        <f ca="1"/>
        <v>https://www.cell.com/reviewers</v>
      </c>
      <c r="AI16" s="93" t="str">
        <f ca="1"/>
        <v>https://www.cell.com/reviewers</v>
      </c>
      <c r="AJ16" s="93" t="str">
        <f ca="1"/>
        <v>https://www.cell.com/reviewers</v>
      </c>
      <c r="AK16" s="93" t="str">
        <f ca="1"/>
        <v>http://www.rsc.org/journals-books-databases/journal-authors-reviewers/reviewer-responsibilities/</v>
      </c>
      <c r="AL16" s="93" t="str">
        <f ca="1"/>
        <v>https://pubs.acs.org/page/chreay/submission/reviewers.html</v>
      </c>
      <c r="AM16" s="93" t="str">
        <f ca="1"/>
        <v>http://www.rsc.org/journals-books-databases/journal-authors-reviewers/reviewer-responsibilities/</v>
      </c>
      <c r="AN16" s="93" t="str">
        <f ca="1"/>
        <v>https://pubs.acs.org/paragonplus/submission/cmatex/cmatex_scope.pdf</v>
      </c>
      <c r="AO16" s="93" t="str">
        <f ca="1"/>
        <v>https://www.ahajournals.org/pb-assets/Ethical%20ConductPolicyApril2017finalWeb.pdf</v>
      </c>
      <c r="AP16" s="93" t="str">
        <f ca="1"/>
        <v>https://www.ahajournals.org/pb-assets/Ethical%20ConductPolicyApril2017finalWeb.pdf</v>
      </c>
      <c r="AQ16" s="93" t="str">
        <f ca="1"/>
        <v>http://aacrjournals.org/content/authors/editorial-process#peerrev</v>
      </c>
      <c r="AR16" s="93" t="str">
        <f ca="1"/>
        <v>https://www.elsevier.com/journals/computers-and-education/0360-1315?generatepdf=true</v>
      </c>
      <c r="AS16" s="93" t="str">
        <f ca="1"/>
        <v>http://www.diabetesjournals.org/content/journal-policies#peerreview</v>
      </c>
      <c r="AT16" s="93" t="str">
        <f ca="1"/>
        <v>https://www.tandfonline.com/action/authorSubmission?journalCode=rdij20&amp;page=instructions#Peer_review</v>
      </c>
      <c r="AU16" s="93" t="str">
        <f ca="1"/>
        <v>https://www.econometricsociety.org/publications/econometrica/information-authors/editorial-procedures-and-policies#reviewprocess</v>
      </c>
      <c r="AV16" s="93" t="str">
        <f ca="1"/>
        <v>http://www.rsc.org/journals-books-databases/journal-authors-reviewers/reviewer-responsibilities/#review-procedure</v>
      </c>
      <c r="AW16" s="93" t="str">
        <f ca="1"/>
        <v xml:space="preserve">https://pubs.acs.org/paragonplus/submission/esthag/esthag_authguide.pdf                </v>
      </c>
      <c r="AX16" s="93" t="str">
        <f ca="1"/>
        <v>https://academic.oup.com/eurheartj/pages/General_Instructions#3.1</v>
      </c>
      <c r="AY16" s="93" t="str">
        <f ca="1"/>
        <v>https://www.europeanurology.com/content/resources-for-authors</v>
      </c>
      <c r="AZ16" s="93" t="str">
        <f ca="1"/>
        <v>https://www.gastrojournal.org/content/authorinfo</v>
      </c>
      <c r="BA16" s="93" t="str">
        <f ca="1"/>
        <v>https://uk.sagepub.com/en-gb/eur/gender-society/journal200793#submission-guidelines</v>
      </c>
      <c r="BB16" s="93" t="str">
        <f ca="1"/>
        <v>https://publications.agu.org/author-resource-center/steps-to-publication/</v>
      </c>
      <c r="BC16" s="93" t="str">
        <f ca="1"/>
        <v>https://www.elsevier.com/journals/global-environmental-change/0959-3780/guide-for-authors</v>
      </c>
      <c r="BD16" s="93" t="str">
        <f ca="1"/>
        <v>https://www.elsevier.com/journals/government-information-quarterly/0740-624X?generatepdf=true</v>
      </c>
      <c r="BE16" s="93" t="str">
        <f ca="1"/>
        <v>https://authors.bmj.com/policies/peer-review-terms-and-conditions/</v>
      </c>
      <c r="BF16" s="93" t="str">
        <f ca="1"/>
        <v>https://www.healthaffairs.org/help-for-authors</v>
      </c>
      <c r="BG16" s="93" t="str">
        <f ca="1"/>
        <v>https://aasldpubs.onlinelibrary.wiley.com/hub/journal/15273350/about/author-guidelines</v>
      </c>
      <c r="BH16" s="93" t="str">
        <f ca="1"/>
        <v>https://www.comsoc.org/publications/magazines/ieee-communications-magazine/magazine-reviewer</v>
      </c>
      <c r="BI16" s="93" t="str">
        <f ca="1"/>
        <v>https://www.comsoc.org/publications/journals/ieee-comst/guidelines-reviewers</v>
      </c>
      <c r="BJ16" s="93" t="str">
        <f ca="1"/>
        <v>http://cvpr2019.thecvf.com/</v>
      </c>
      <c r="BK16" s="93" t="str">
        <f ca="1"/>
        <v>http://iccv2019.thecvf.com/submission/timeline</v>
      </c>
      <c r="BL16" s="93" t="str">
        <f ca="1"/>
        <v>https://ieeeauthorcenter.ieee.org/peer-review-at-ieee/</v>
      </c>
      <c r="BM16" s="93" t="str">
        <f ca="1"/>
        <v>https://ieeeauthorcenter.ieee.org/peer-review-at-ieee/</v>
      </c>
      <c r="BN16" s="93" t="str">
        <f ca="1"/>
        <v>https://ieeeauthorcenter.ieee.org/peer-review-at-ieee/</v>
      </c>
      <c r="BO16" s="93" t="str">
        <f ca="1"/>
        <v>https://ieeeauthorcenter.ieee.org/peer-review-at-ieee/ethics-in-peer-review/</v>
      </c>
      <c r="BP16" s="93" t="str">
        <f ca="1"/>
        <v>https://ieeeauthorcenter.ieee.org/peer-review-at-ieee/ethics-in-peer-review/</v>
      </c>
      <c r="BQ16" s="93" t="str">
        <f ca="1"/>
        <v>https://www.cell.com/reviewers</v>
      </c>
      <c r="BR16" t="str">
        <f ca="1"/>
        <v/>
      </c>
      <c r="BS16" s="93" t="str">
        <f ca="1"/>
        <v>https://www.elsevier.com/journals/international-journal-of-production-economics/0925-5273?generatepdf=true</v>
      </c>
      <c r="BT16" s="93" t="str">
        <f ca="1"/>
        <v>https://jamanetwork.com/journals/jama/pages/instructions-for-authors</v>
      </c>
      <c r="BU16" s="93" t="str">
        <f ca="1"/>
        <v>https://www.jacionline.org/content/authorinfo</v>
      </c>
      <c r="BV16" s="93" t="str">
        <f ca="1"/>
        <v>https://www.elsevier.com/journals/journal-of-banking-and-finance/0378-4266/guide-for-authors</v>
      </c>
      <c r="BW16" s="93" t="str">
        <f ca="1"/>
        <v>https://www.springer.com/philosophy/ethics+and+moral+philosophy/journal/10551#</v>
      </c>
      <c r="BX16" s="93" t="str">
        <f ca="1"/>
        <v>https://www.elsevier.com/journals/journal-of-business-research/0148-2963/guide-for-authors</v>
      </c>
      <c r="BY16" s="93" t="str">
        <f ca="1"/>
        <v>https://www.elsevier.com/journals/journal-of-cleaner-production/0959-6526/guide-for-authors</v>
      </c>
      <c r="BZ16" s="93" t="str">
        <f ca="1"/>
        <v>http://ascopubs.org/jco/site/ifc/my-article-was-submitted.xhtml</v>
      </c>
      <c r="CA16" s="93" t="str">
        <f ca="1"/>
        <v>https://academic.oup.com/joc/pages/General_Instructions#Peer%20review</v>
      </c>
      <c r="CB16" s="93" t="str">
        <f ca="1"/>
        <v>https://publishingsupport.iopscience.iop.org/becoming-a-journal-reviewer/</v>
      </c>
      <c r="CC16" s="93" t="str">
        <f ca="1"/>
        <v>https://www.aeaweb.org/journals/jep/submissions</v>
      </c>
      <c r="CD16" t="str">
        <f ca="1"/>
        <v xml:space="preserve">https://www.apa.org/pubs/journals/edu/?tab=4, https://www.apa.org/pubs/journals/reviewer-instructions.pdf        </v>
      </c>
      <c r="CE16" s="93" t="str">
        <f ca="1"/>
        <v>https://www.elsevier.com/reviewers/how-to-review</v>
      </c>
      <c r="CF16" s="93" t="str">
        <f ca="1"/>
        <v>https://publications.agu.org/reviewer-resources/</v>
      </c>
      <c r="CG16" t="str">
        <f ca="1"/>
        <v/>
      </c>
      <c r="CH16" s="93" t="str">
        <f ca="1"/>
        <v>https://www.springer.com/physics/particle+and+nuclear+physics/journal/13130</v>
      </c>
      <c r="CI16" s="93" t="str">
        <f ca="1"/>
        <v>https://journals.sagepub.com/pb-assets/cmscontent/JOM/JOM_Style_Guide_revised_2017.pdf</v>
      </c>
      <c r="CJ16" s="93" t="str">
        <f ca="1"/>
        <v>http://www.rsc.org/journals-books-databases/journal-authors-reviewers/reviewer-responsibilities/#review-procedure</v>
      </c>
      <c r="CK16" s="93" t="str">
        <f ca="1"/>
        <v>https://www.journals.elsevier.com/journal-of-pragmatics/policies/peer-review-policy-for-the-journal-of-pragmatics</v>
      </c>
      <c r="CL16" s="93" t="str">
        <f ca="1"/>
        <v>http://pubs.acs.org/paragonplus/submission/jacsat/jacsat_authguide.pdf</v>
      </c>
      <c r="CM16" s="93" t="str">
        <f ca="1"/>
        <v>http://www.onlinejacc.org/content/73/2/A28</v>
      </c>
      <c r="CN16" s="93" t="str">
        <f ca="1"/>
        <v>https://www.springer.com/psychology/child+%26+school+psychology/journal/10964?detailsPage=pltci_1692324</v>
      </c>
      <c r="CO16" s="93" t="str">
        <f ca="1"/>
        <v>https://us.sagepub.com/en-us/nam/journal/journalism#PeerReviewPolicy</v>
      </c>
      <c r="CP16" s="93" t="str">
        <f ca="1"/>
        <v>https://www.tandfonline.com/action/authorSubmission?journalCode=rjop20&amp;page=instructions#Peer_review</v>
      </c>
      <c r="CQ16" s="93" t="str">
        <f ca="1"/>
        <v>https://www.tandfonline.com/action/authorSubmission?journalCode=rjos20&amp;page=instructions#Peer_review</v>
      </c>
      <c r="CR16" s="93" t="str">
        <f ca="1"/>
        <v>https://www.elsevier.com/journals/land-use-policy/0264-8377?generatepdf=true</v>
      </c>
      <c r="CS16" s="93" t="str">
        <f ca="1"/>
        <v>https://onlinelibrary.wiley.com/page/journal/14679922/homepage/forauthors.html</v>
      </c>
      <c r="CT16" s="93" t="str">
        <f ca="1"/>
        <v>https://www.elsevier.com/journals/lingua/0024-3841/guide-for-authors</v>
      </c>
      <c r="CU16" s="93" t="str">
        <f ca="1"/>
        <v>https://www.misq.org/skin/frontend/default/misq/pdf/ReviewerRole.pdf</v>
      </c>
      <c r="CV16" s="93" t="str">
        <f ca="1"/>
        <v>https://pubsonline.informs.org/page/mnsc/submission-guidelines</v>
      </c>
      <c r="CW16" s="93" t="str">
        <f ca="1"/>
        <v>https://uk.sagepub.com/en-gb/eur/journal/media-culture-society#submission-guidelines</v>
      </c>
      <c r="CX16" s="93" t="str">
        <f ca="1"/>
        <v>https://www.cell.com/molecular-cell/authors</v>
      </c>
      <c r="CY16" s="93" t="str">
        <f ca="1"/>
        <v>https://academic.oup.com/mnras/pages/General_Instructions#4%20Editorial%20review</v>
      </c>
      <c r="CZ16" s="93" t="str">
        <f ca="1"/>
        <v>https://pubs.acs.org/paragonplus/submission/nalefd/nalefd_authguide.pdf</v>
      </c>
      <c r="DA16" s="93" t="str">
        <f ca="1"/>
        <v>https://www.rsc.org/journals-books-databases/journal-authors-reviewers/reviewer-responsibilities/#review-procedure</v>
      </c>
      <c r="DB16" s="93" t="str">
        <f ca="1"/>
        <v>https://www.nature.com/authors/policies/peer_review.html</v>
      </c>
      <c r="DC16" s="93" t="str">
        <f ca="1"/>
        <v>https://www.nature.com/authors/policies/peer_review.html</v>
      </c>
      <c r="DD16" s="93" t="str">
        <f ca="1"/>
        <v>https://www.nature.com/authors/policies/peer_review.html</v>
      </c>
      <c r="DE16" s="93" t="str">
        <f ca="1"/>
        <v>https://www.nature.com/authors/policies/peer_review.html</v>
      </c>
      <c r="DF16" s="93" t="str">
        <f ca="1"/>
        <v>https://www.nature.com/authors/policies/peer_review.html</v>
      </c>
      <c r="DG16" s="93" t="str">
        <f ca="1"/>
        <v>https://www.nature.com/authors/policies/peer_review.html</v>
      </c>
      <c r="DH16" s="93" t="str">
        <f ca="1"/>
        <v>https://www.nature.com/authors/policies/peer_review.html</v>
      </c>
      <c r="DI16" s="93" t="str">
        <f ca="1"/>
        <v>https://www.nature.com/authors/policies/peer_review.html</v>
      </c>
      <c r="DJ16" s="93" t="str">
        <f ca="1"/>
        <v>https://www.nature.com/authors/policies/peer_review.html</v>
      </c>
      <c r="DK16" s="93" t="str">
        <f ca="1"/>
        <v>https://www.nature.com/authors/policies/peer_review.html</v>
      </c>
      <c r="DL16" s="93" t="str">
        <f ca="1"/>
        <v>https://www.nature.com/authors/policies/peer_review.html</v>
      </c>
      <c r="DM16" s="93" t="str">
        <f ca="1"/>
        <v>https://www.nature.com/authors/policies/peer_review.html</v>
      </c>
      <c r="DN16" s="93" t="str">
        <f ca="1"/>
        <v>https://www.nature.com/authors/policies/peer_review.html</v>
      </c>
      <c r="DO16" s="93" t="str">
        <f ca="1"/>
        <v>https://www.nature.com/authors/policies/peer_review.html</v>
      </c>
      <c r="DP16" s="93" t="str">
        <f ca="1"/>
        <v>https://www.nature.com/authors/policies/peer_review.html</v>
      </c>
      <c r="DQ16" s="93" t="str">
        <f ca="1"/>
        <v>https://www.nature.com/nrc/for-referees</v>
      </c>
      <c r="DR16" s="93" t="str">
        <f ca="1"/>
        <v>https://www.nature.com/nrg/for-referees</v>
      </c>
      <c r="DS16" s="93" t="str">
        <f ca="1"/>
        <v>https://www.nature.com/nrc/for-referees</v>
      </c>
      <c r="DT16" s="93" t="str">
        <f ca="1"/>
        <v>https://www.nature.com/nrg/for-referees</v>
      </c>
      <c r="DU16" s="93" t="str">
        <f ca="1"/>
        <v>https://www.nature.com/nrg/for-referees</v>
      </c>
      <c r="DV16" s="93" t="str">
        <f ca="1"/>
        <v>https://www.nature.com/nrg/for-referees</v>
      </c>
      <c r="DW16" s="93" t="str">
        <f ca="1"/>
        <v>https://nips.cc/Conferences/2019/CallForPapers</v>
      </c>
      <c r="DX16" s="93" t="str">
        <f ca="1"/>
        <v>https://www.elsevier.com/journals/neuroimage/1053-8119/guide-for-authors</v>
      </c>
      <c r="DY16" s="93" t="str">
        <f ca="1"/>
        <v>https://www.cell.com/reviewers</v>
      </c>
      <c r="DZ16" s="93" t="str">
        <f ca="1"/>
        <v>https://us.sagepub.com/en-us/nam/journal/new-media-society#PeerReviewPolicy</v>
      </c>
      <c r="EA16" s="93" t="str">
        <f ca="1"/>
        <v>https://onlinelibrary.wiley.com/page/journal/14680068/homepage/forauthors.html</v>
      </c>
      <c r="EB16" t="str">
        <f ca="1"/>
        <v/>
      </c>
      <c r="EC16" t="str">
        <f ca="1"/>
        <v/>
      </c>
      <c r="ED16" s="93" t="str">
        <f ca="1"/>
        <v>https://www.osapublishing.org/submit/review/peer_review.cfm#overview</v>
      </c>
      <c r="EE16" s="93" t="str">
        <f ca="1"/>
        <v>http://www.aappublications.org/content/pediatrics-reviewer-guidelines</v>
      </c>
      <c r="EF16" s="93" t="str">
        <f ca="1"/>
        <v>https://www.springer.com/philosophy/journal/11098</v>
      </c>
      <c r="EG16" s="93" t="str">
        <f ca="1"/>
        <v>https://journals.aps.org/prb/referees/guidelines-for-referees</v>
      </c>
      <c r="EH16" s="93" t="str">
        <f ca="1"/>
        <v>https://journals.aps.org/prd/authors/editorial-policies-practices#anonymity</v>
      </c>
      <c r="EI16" s="93" t="str">
        <f ca="1"/>
        <v>https://journals.aps.org/prl/authors/editorial-policies-practices#anonymity</v>
      </c>
      <c r="EJ16" s="93" t="str">
        <f ca="1"/>
        <v>https://journals.aps.org/prx/authors/editorial-policies-practices</v>
      </c>
      <c r="EK16" s="93" t="str">
        <f ca="1"/>
        <v>https://www.elsevier.com/journals/physics-letters-b/0370-2693/guide-for-authors</v>
      </c>
      <c r="EL16" s="93" t="str">
        <f ca="1"/>
        <v>https://journals.plos.org/plosone/s/editorial-and-peer-review-process</v>
      </c>
      <c r="EM16" s="93" t="str">
        <f ca="1"/>
        <v>https://www.pnas.org/page/authors/reviewers</v>
      </c>
      <c r="EN16" s="93" t="str">
        <f ca="1"/>
        <v>https://uk.sagepub.com/en-gb/eur/journal/progress-human-geography#EditorialPolicies</v>
      </c>
      <c r="EO16" s="93" t="str">
        <f ca="1"/>
        <v>https://academic.oup.com/poq/pages/general_instructions</v>
      </c>
      <c r="EP16" s="93" t="str">
        <f ca="1"/>
        <v>https://www.tandfonline.com/action/authorSubmission?show=instructions&amp;journalCode=cres20</v>
      </c>
      <c r="EQ16" s="93" t="str">
        <f ca="1"/>
        <v>https://www.elsevier.com/journals/renewable-and-sustainable-energy-reviews/1364-0321/guide-for-authors</v>
      </c>
      <c r="ER16" s="93" t="str">
        <f ca="1"/>
        <v>https://www.elsevier.com/journals/research-policy/0048-7333/guide-for-authors</v>
      </c>
      <c r="ES16" t="str">
        <f ca="1"/>
        <v/>
      </c>
      <c r="ET16" t="str">
        <f ca="1"/>
        <v>https://journals.aps.org/rmp/authors#review, https://journals.aps.org/peer-review-materials-policy</v>
      </c>
      <c r="EU16" s="93" t="str">
        <f ca="1"/>
        <v>http://www.sciencemag.org/authors/science-information-authors</v>
      </c>
      <c r="EV16" s="93" t="str">
        <f ca="1"/>
        <v>https://stm.sciencemag.org/content/science-translational-medicine-general-policies</v>
      </c>
      <c r="EW16" s="93" t="str">
        <f ca="1"/>
        <v>https://www.nature.com/srep/journal-policies/peer-review</v>
      </c>
      <c r="EX16" s="93" t="str">
        <f ca="1"/>
        <v>https://www.elsevier.com/journals/social-science-and-medicine/0277-9536/guide-for-authors</v>
      </c>
      <c r="EY16" t="str">
        <f ca="1"/>
        <v/>
      </c>
      <c r="EZ16" s="93" t="str">
        <f ca="1"/>
        <v>https://www.springer.com/philosophy/epistemology+and+philosophy+of+science/journal/11229</v>
      </c>
      <c r="FA16" s="93" t="str">
        <f ca="1"/>
        <v>https://www.journals.elsevier.com/system</v>
      </c>
      <c r="FB16" s="93" t="str">
        <f ca="1"/>
        <v>https://www.elsevier.com/journals/teaching-and-teacher-education/0742-051x/guide-for-authors</v>
      </c>
      <c r="FC16" s="93" t="str">
        <f ca="1"/>
        <v>https://www.tesol.org/read-and-publish/journals/tesol-journal</v>
      </c>
      <c r="FD16" t="str">
        <f ca="1"/>
        <v/>
      </c>
      <c r="FE16" t="str">
        <f ca="1"/>
        <v>No PR policy online - however PR model is mentioned in this release  https://www.cambridge.org/core/services/aop-file-manager/file/599b0ec93cc74f7313d1a5fc/Updated-CQ-statement.pdf</v>
      </c>
      <c r="FF16" s="93" t="str">
        <f ca="1"/>
        <v>https://community.cochrane.org/editorial-and-publishing-policy-resource/cochrane-review-management/cochrane-peer-review-policy</v>
      </c>
      <c r="FG16" s="93" t="str">
        <f ca="1"/>
        <v>https://www.springer.com/physics/particle+and+nuclear+physics/journal/10052</v>
      </c>
      <c r="FH16" s="93" t="str">
        <f ca="1"/>
        <v>https://www.jci.org/kiosks/authors#Editorial_Policies</v>
      </c>
      <c r="FI16" t="str">
        <f ca="1"/>
        <v/>
      </c>
      <c r="FJ16" t="str">
        <f ca="1"/>
        <v>https://pubs.acs.org/publish/peer_reviews, https://pubs.acs.org/userimages/ContentEditor/1218054468605/ethics.pdf</v>
      </c>
      <c r="FK16" s="93" t="str">
        <f ca="1"/>
        <v>https://www.thelancet.com/pb/assets/raw/Lancet/authors/lancet-information-for-authors.pdf</v>
      </c>
      <c r="FL16" s="93" t="str">
        <f ca="1"/>
        <v>https://els-jbs-prod-cdn.literatumonline.com/pb/assets/raw/Lancet/authors/tln-info-for-authors-1541596047120.pdf</v>
      </c>
      <c r="FM16" s="93" t="str">
        <f ca="1"/>
        <v>https://els-jbs-prod-cdn.literatumonline.com/pb/assets/raw/Lancet/authors/tlo-info-for-authors-1541596062097.pdf</v>
      </c>
      <c r="FN16" s="93" t="str">
        <f ca="1"/>
        <v xml:space="preserve">https://onlinelibrary.wiley.com/page/journal/15404781/homepage/forauthors.html#Manuscript                </v>
      </c>
      <c r="FO16" t="str">
        <f ca="1"/>
        <v>https://www.nejm.org/media-center/publication-process
https://www.nejm.org/about-nejm/editorial-policies</v>
      </c>
      <c r="FP16" s="93" t="str">
        <f ca="1"/>
        <v>https://academic.oup.com/qje/pages/Policies</v>
      </c>
      <c r="FQ16" t="str">
        <f ca="1"/>
        <v/>
      </c>
      <c r="FR16" t="str">
        <f ca="1"/>
        <v>http://rfssfs.org/advice-for-referees/, https://editorialexpress.com/cgi-bin/e-editor/e-review_v18.cgi?dbase=rfs&amp;stage=0&amp;stage_completed=&amp;user_id=&amp;sub_id=&amp;password=F7ObH75z</v>
      </c>
      <c r="FS16" s="93" t="str">
        <f ca="1"/>
        <v>https://www.elsevier.com/journals/tourism-management/0261-5177/guide-for-authors</v>
      </c>
      <c r="FT16" s="93" t="str">
        <f ca="1"/>
        <v>https://www.elsevier.com/journals/world-development/0305-750x/guide-for-authors</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0</v>
      </c>
      <c r="ALF16">
        <v>0</v>
      </c>
      <c r="ALG16">
        <v>0</v>
      </c>
      <c r="ALH16">
        <v>0</v>
      </c>
      <c r="ALI16">
        <v>0</v>
      </c>
      <c r="ALJ16">
        <v>0</v>
      </c>
      <c r="ALK16">
        <v>0</v>
      </c>
      <c r="ALL16">
        <v>0</v>
      </c>
      <c r="ALM16">
        <v>0</v>
      </c>
      <c r="ALN16">
        <v>0</v>
      </c>
      <c r="ALO16">
        <v>0</v>
      </c>
      <c r="ALP16">
        <v>0</v>
      </c>
      <c r="ALQ16">
        <v>0</v>
      </c>
    </row>
    <row r="17" spans="1:1005" ht="15.75" customHeight="1">
      <c r="A17" s="86" t="s">
        <v>378</v>
      </c>
      <c r="B17" s="87" t="s">
        <v>26</v>
      </c>
      <c r="C17" s="95" t="s">
        <v>65</v>
      </c>
      <c r="D17" s="87" t="s">
        <v>273</v>
      </c>
      <c r="E17" s="98" t="s">
        <v>669</v>
      </c>
      <c r="F17" s="93" t="str">
        <f t="array" ref="F17:ALQ17" ca="1">TRANSPOSE(Filtered!N2:N1005)</f>
        <v>https://journals.lww.com/academicmedicine/Documents/ReviewerFAQs_Sept2012_v1.pdf</v>
      </c>
      <c r="G17" t="str">
        <f ca="1"/>
        <v/>
      </c>
      <c r="H17" t="str">
        <f ca="1"/>
        <v/>
      </c>
      <c r="I17" t="str">
        <f ca="1"/>
        <v/>
      </c>
      <c r="J17" s="118" t="str">
        <f ca="1"/>
        <v>http://aom.org/uploadedFiles/Publications/AMJ/07_Colquitt_IrelandApr09FTE.pdf</v>
      </c>
      <c r="K17" s="118" t="str">
        <f ca="1"/>
        <v>https://pubs.acs.org/pb-assets/acspubs/Migrated/ancac3_revguide.pdf</v>
      </c>
      <c r="L17" t="str">
        <f ca="1"/>
        <v/>
      </c>
      <c r="M17" t="str">
        <f ca="1"/>
        <v/>
      </c>
      <c r="N17" t="str">
        <f ca="1"/>
        <v/>
      </c>
      <c r="O17" t="str">
        <f ca="1"/>
        <v/>
      </c>
      <c r="P17" t="str">
        <f ca="1"/>
        <v/>
      </c>
      <c r="Q17" t="str">
        <f ca="1"/>
        <v/>
      </c>
      <c r="R17" t="str">
        <f ca="1"/>
        <v/>
      </c>
      <c r="S17" t="str">
        <f ca="1"/>
        <v/>
      </c>
      <c r="T17" t="str">
        <f ca="1"/>
        <v/>
      </c>
      <c r="U17" t="str">
        <f ca="1"/>
        <v/>
      </c>
      <c r="V17" t="str">
        <f ca="1"/>
        <v/>
      </c>
      <c r="W17" t="str">
        <f ca="1"/>
        <v/>
      </c>
      <c r="X17" t="str">
        <f ca="1"/>
        <v/>
      </c>
      <c r="Y17" t="str">
        <f ca="1"/>
        <v/>
      </c>
      <c r="Z17" t="str">
        <f ca="1"/>
        <v/>
      </c>
      <c r="AA17" t="str">
        <f ca="1"/>
        <v/>
      </c>
      <c r="AB17" t="str">
        <f ca="1"/>
        <v/>
      </c>
      <c r="AC17" t="str">
        <f ca="1"/>
        <v/>
      </c>
      <c r="AD17" t="str">
        <f ca="1"/>
        <v/>
      </c>
      <c r="AE17" t="str">
        <f ca="1"/>
        <v/>
      </c>
      <c r="AF17" t="str">
        <f ca="1"/>
        <v/>
      </c>
      <c r="AG17" t="str">
        <f ca="1"/>
        <v>Not found</v>
      </c>
      <c r="AH17" t="str">
        <f ca="1"/>
        <v>Not found</v>
      </c>
      <c r="AI17" t="str">
        <f ca="1"/>
        <v>Not found</v>
      </c>
      <c r="AJ17" t="str">
        <f ca="1"/>
        <v>Not found</v>
      </c>
      <c r="AK17" t="str">
        <f ca="1"/>
        <v>Not found</v>
      </c>
      <c r="AL17" t="str">
        <f ca="1"/>
        <v>Not found</v>
      </c>
      <c r="AM17" t="str">
        <f ca="1"/>
        <v>Not found</v>
      </c>
      <c r="AN17" t="str">
        <f ca="1"/>
        <v/>
      </c>
      <c r="AO17" t="str">
        <f ca="1"/>
        <v/>
      </c>
      <c r="AP17" t="str">
        <f ca="1"/>
        <v/>
      </c>
      <c r="AQ17" t="str">
        <f ca="1"/>
        <v/>
      </c>
      <c r="AR17" t="str">
        <f ca="1"/>
        <v/>
      </c>
      <c r="AS17" t="str">
        <f ca="1"/>
        <v/>
      </c>
      <c r="AT17" t="str">
        <f ca="1"/>
        <v/>
      </c>
      <c r="AU17" t="str">
        <f ca="1"/>
        <v/>
      </c>
      <c r="AV17" t="str">
        <f ca="1"/>
        <v/>
      </c>
      <c r="AW17" t="str">
        <f ca="1"/>
        <v/>
      </c>
      <c r="AX17" t="str">
        <f ca="1"/>
        <v/>
      </c>
      <c r="AY17" t="str">
        <f ca="1"/>
        <v/>
      </c>
      <c r="AZ17" t="str">
        <f ca="1"/>
        <v/>
      </c>
      <c r="BA17" t="str">
        <f ca="1"/>
        <v/>
      </c>
      <c r="BB17" t="str">
        <f ca="1"/>
        <v/>
      </c>
      <c r="BC17" t="str">
        <f ca="1"/>
        <v/>
      </c>
      <c r="BD17" t="str">
        <f ca="1"/>
        <v/>
      </c>
      <c r="BE17" t="str">
        <f ca="1"/>
        <v/>
      </c>
      <c r="BF17" t="str">
        <f ca="1"/>
        <v/>
      </c>
      <c r="BG17" t="str">
        <f ca="1"/>
        <v/>
      </c>
      <c r="BH17" t="str">
        <f ca="1"/>
        <v/>
      </c>
      <c r="BI17" t="str">
        <f ca="1"/>
        <v/>
      </c>
      <c r="BJ17" t="str">
        <f ca="1"/>
        <v/>
      </c>
      <c r="BK17" t="str">
        <f ca="1"/>
        <v/>
      </c>
      <c r="BL17" t="str">
        <f ca="1"/>
        <v/>
      </c>
      <c r="BM17" t="str">
        <f ca="1"/>
        <v/>
      </c>
      <c r="BN17" t="str">
        <f ca="1"/>
        <v/>
      </c>
      <c r="BO17" t="str">
        <f ca="1"/>
        <v/>
      </c>
      <c r="BP17" t="str">
        <f ca="1"/>
        <v/>
      </c>
      <c r="BQ17" t="str">
        <f ca="1"/>
        <v/>
      </c>
      <c r="BR17" t="str">
        <f ca="1"/>
        <v/>
      </c>
      <c r="BS17" t="str">
        <f ca="1"/>
        <v>Not found</v>
      </c>
      <c r="BT17" t="str">
        <f ca="1"/>
        <v/>
      </c>
      <c r="BU17" t="str">
        <f ca="1"/>
        <v/>
      </c>
      <c r="BV17" t="str">
        <f ca="1"/>
        <v/>
      </c>
      <c r="BW17" t="str">
        <f ca="1"/>
        <v/>
      </c>
      <c r="BX17" t="str">
        <f ca="1"/>
        <v/>
      </c>
      <c r="BY17" t="str">
        <f ca="1"/>
        <v/>
      </c>
      <c r="BZ17" t="str">
        <f ca="1"/>
        <v/>
      </c>
      <c r="CA17" t="str">
        <f ca="1"/>
        <v/>
      </c>
      <c r="CB17" t="str">
        <f ca="1"/>
        <v/>
      </c>
      <c r="CC17" t="str">
        <f ca="1"/>
        <v/>
      </c>
      <c r="CD17" t="str">
        <f ca="1"/>
        <v/>
      </c>
      <c r="CE17" t="str">
        <f ca="1"/>
        <v/>
      </c>
      <c r="CF17" s="93" t="str">
        <f ca="1"/>
        <v>https://publications.agu.org/reviewer-resources/review-criteria</v>
      </c>
      <c r="CG17" t="str">
        <f ca="1"/>
        <v/>
      </c>
      <c r="CH17" t="str">
        <f ca="1"/>
        <v/>
      </c>
      <c r="CI17" t="str">
        <f ca="1"/>
        <v/>
      </c>
      <c r="CJ17" t="str">
        <f ca="1"/>
        <v/>
      </c>
      <c r="CK17" t="str">
        <f ca="1"/>
        <v/>
      </c>
      <c r="CL17" t="str">
        <f ca="1"/>
        <v/>
      </c>
      <c r="CM17" t="str">
        <f ca="1"/>
        <v/>
      </c>
      <c r="CN17" t="str">
        <f ca="1"/>
        <v/>
      </c>
      <c r="CO17" t="str">
        <f ca="1"/>
        <v/>
      </c>
      <c r="CP17" t="str">
        <f ca="1"/>
        <v/>
      </c>
      <c r="CQ17" t="str">
        <f ca="1"/>
        <v/>
      </c>
      <c r="CR17" t="str">
        <f ca="1"/>
        <v/>
      </c>
      <c r="CS17" t="str">
        <f ca="1"/>
        <v/>
      </c>
      <c r="CT17" t="str">
        <f ca="1"/>
        <v/>
      </c>
      <c r="CU17" t="str">
        <f ca="1"/>
        <v/>
      </c>
      <c r="CV17" t="str">
        <f ca="1"/>
        <v/>
      </c>
      <c r="CW17" t="str">
        <f ca="1"/>
        <v/>
      </c>
      <c r="CX17" t="str">
        <f ca="1"/>
        <v/>
      </c>
      <c r="CY17" t="str">
        <f ca="1"/>
        <v/>
      </c>
      <c r="CZ17" t="str">
        <f ca="1"/>
        <v/>
      </c>
      <c r="DA17" t="str">
        <f ca="1"/>
        <v/>
      </c>
      <c r="DB17" t="str">
        <f ca="1"/>
        <v/>
      </c>
      <c r="DC17" t="str">
        <f ca="1"/>
        <v/>
      </c>
      <c r="DD17" t="str">
        <f ca="1"/>
        <v/>
      </c>
      <c r="DE17" t="str">
        <f ca="1"/>
        <v/>
      </c>
      <c r="DF17" t="str">
        <f ca="1"/>
        <v/>
      </c>
      <c r="DG17" t="str">
        <f ca="1"/>
        <v>Not found</v>
      </c>
      <c r="DH17" t="str">
        <f ca="1"/>
        <v/>
      </c>
      <c r="DI17" t="str">
        <f ca="1"/>
        <v/>
      </c>
      <c r="DJ17" t="str">
        <f ca="1"/>
        <v/>
      </c>
      <c r="DK17" t="str">
        <f ca="1"/>
        <v/>
      </c>
      <c r="DL17" t="str">
        <f ca="1"/>
        <v/>
      </c>
      <c r="DM17" t="str">
        <f ca="1"/>
        <v/>
      </c>
      <c r="DN17" t="str">
        <f ca="1"/>
        <v/>
      </c>
      <c r="DO17" t="str">
        <f ca="1"/>
        <v/>
      </c>
      <c r="DP17" t="str">
        <f ca="1"/>
        <v/>
      </c>
      <c r="DQ17" t="str">
        <f ca="1"/>
        <v/>
      </c>
      <c r="DR17" t="str">
        <f ca="1"/>
        <v/>
      </c>
      <c r="DS17" t="str">
        <f ca="1"/>
        <v/>
      </c>
      <c r="DT17" t="str">
        <f ca="1"/>
        <v/>
      </c>
      <c r="DU17" t="str">
        <f ca="1"/>
        <v/>
      </c>
      <c r="DV17" t="str">
        <f ca="1"/>
        <v/>
      </c>
      <c r="DW17" t="str">
        <f ca="1"/>
        <v/>
      </c>
      <c r="DX17" t="str">
        <f ca="1"/>
        <v/>
      </c>
      <c r="DY17" t="str">
        <f ca="1"/>
        <v/>
      </c>
      <c r="DZ17" t="str">
        <f ca="1"/>
        <v/>
      </c>
      <c r="EA17" t="str">
        <f ca="1"/>
        <v/>
      </c>
      <c r="EB17" t="str">
        <f ca="1"/>
        <v/>
      </c>
      <c r="EC17" t="str">
        <f ca="1"/>
        <v/>
      </c>
      <c r="ED17" t="str">
        <f ca="1"/>
        <v/>
      </c>
      <c r="EE17" t="str">
        <f ca="1"/>
        <v/>
      </c>
      <c r="EF17" t="str">
        <f ca="1"/>
        <v/>
      </c>
      <c r="EG17" t="str">
        <f ca="1"/>
        <v/>
      </c>
      <c r="EH17" t="str">
        <f ca="1"/>
        <v/>
      </c>
      <c r="EI17" s="93" t="str">
        <f ca="1"/>
        <v>https://journals.aps.org/referees/referee-response-physical-review-letters</v>
      </c>
      <c r="EJ17" s="93" t="str">
        <f ca="1"/>
        <v>https://journals.aps.org/prx/referees/referee-response-physical-review-x</v>
      </c>
      <c r="EK17" t="str">
        <f ca="1"/>
        <v/>
      </c>
      <c r="EL17" t="str">
        <f ca="1"/>
        <v/>
      </c>
      <c r="EM17" t="str">
        <f ca="1"/>
        <v/>
      </c>
      <c r="EN17" t="str">
        <f ca="1"/>
        <v/>
      </c>
      <c r="EO17" t="str">
        <f ca="1"/>
        <v/>
      </c>
      <c r="EP17" t="str">
        <f ca="1"/>
        <v/>
      </c>
      <c r="EQ17" t="str">
        <f ca="1"/>
        <v/>
      </c>
      <c r="ER17" t="str">
        <f ca="1"/>
        <v/>
      </c>
      <c r="ES17" t="str">
        <f ca="1"/>
        <v/>
      </c>
      <c r="ET17" t="str">
        <f ca="1"/>
        <v/>
      </c>
      <c r="EU17" t="str">
        <f ca="1"/>
        <v/>
      </c>
      <c r="EV17" t="str">
        <f ca="1"/>
        <v/>
      </c>
      <c r="EW17" t="str">
        <f ca="1"/>
        <v/>
      </c>
      <c r="EX17" t="str">
        <f ca="1"/>
        <v/>
      </c>
      <c r="EY17" t="str">
        <f ca="1"/>
        <v/>
      </c>
      <c r="EZ17" t="str">
        <f ca="1"/>
        <v/>
      </c>
      <c r="FA17" t="str">
        <f ca="1"/>
        <v/>
      </c>
      <c r="FB17" t="str">
        <f ca="1"/>
        <v/>
      </c>
      <c r="FC17" t="str">
        <f ca="1"/>
        <v/>
      </c>
      <c r="FD17" t="str">
        <f ca="1"/>
        <v/>
      </c>
      <c r="FE17" t="str">
        <f ca="1"/>
        <v/>
      </c>
      <c r="FF17" t="str">
        <f ca="1"/>
        <v/>
      </c>
      <c r="FG17" t="str">
        <f ca="1"/>
        <v/>
      </c>
      <c r="FH17" t="str">
        <f ca="1"/>
        <v/>
      </c>
      <c r="FI17" t="str">
        <f ca="1"/>
        <v/>
      </c>
      <c r="FJ17" t="str">
        <f ca="1"/>
        <v/>
      </c>
      <c r="FK17" t="str">
        <f ca="1"/>
        <v/>
      </c>
      <c r="FL17" t="str">
        <f ca="1"/>
        <v/>
      </c>
      <c r="FM17" t="str">
        <f ca="1"/>
        <v/>
      </c>
      <c r="FN17" t="str">
        <f ca="1"/>
        <v/>
      </c>
      <c r="FO17" t="str">
        <f ca="1"/>
        <v/>
      </c>
      <c r="FP17" t="str">
        <f ca="1"/>
        <v/>
      </c>
      <c r="FQ17" t="str">
        <f ca="1"/>
        <v/>
      </c>
      <c r="FR17" t="str">
        <f ca="1"/>
        <v/>
      </c>
      <c r="FS17" t="str">
        <f ca="1"/>
        <v/>
      </c>
      <c r="FT17" t="str">
        <f ca="1"/>
        <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0</v>
      </c>
      <c r="AIV17">
        <v>0</v>
      </c>
      <c r="AIW17">
        <v>0</v>
      </c>
      <c r="AIX17">
        <v>0</v>
      </c>
      <c r="AIY17">
        <v>0</v>
      </c>
      <c r="AIZ17">
        <v>0</v>
      </c>
      <c r="AJA17">
        <v>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0</v>
      </c>
      <c r="ALO17">
        <v>0</v>
      </c>
      <c r="ALP17">
        <v>0</v>
      </c>
      <c r="ALQ17">
        <v>0</v>
      </c>
    </row>
    <row r="18" spans="1:1005" ht="15.75" customHeight="1">
      <c r="A18" s="86" t="s">
        <v>378</v>
      </c>
      <c r="B18" s="87" t="s">
        <v>27</v>
      </c>
      <c r="C18" s="95" t="s">
        <v>66</v>
      </c>
      <c r="D18" s="87" t="s">
        <v>273</v>
      </c>
      <c r="E18" s="98" t="s">
        <v>405</v>
      </c>
      <c r="F18" t="str">
        <f t="array" ref="F18:ALQ18" ca="1">TRANSPOSE(Filtered!O2:O1005)</f>
        <v/>
      </c>
      <c r="G18" t="str">
        <f ca="1"/>
        <v/>
      </c>
      <c r="H18" t="str">
        <f ca="1"/>
        <v/>
      </c>
      <c r="I18" t="str">
        <f ca="1"/>
        <v>Not specified</v>
      </c>
      <c r="J18" t="str">
        <f ca="1"/>
        <v/>
      </c>
      <c r="K18" t="str">
        <f ca="1"/>
        <v>Not specified</v>
      </c>
      <c r="L18" t="str">
        <f ca="1"/>
        <v/>
      </c>
      <c r="M18" t="str">
        <f ca="1"/>
        <v/>
      </c>
      <c r="N18" t="str">
        <f ca="1"/>
        <v>Not specified</v>
      </c>
      <c r="O18" t="str">
        <f ca="1"/>
        <v>Not specified</v>
      </c>
      <c r="P18" t="str">
        <f ca="1"/>
        <v>Not specified</v>
      </c>
      <c r="Q18" t="str">
        <f ca="1"/>
        <v/>
      </c>
      <c r="R18" t="str">
        <f ca="1"/>
        <v/>
      </c>
      <c r="S18" s="93" t="str">
        <f ca="1"/>
        <v>https://us.sagepub.com/en-us/nam/reviewer-rewards</v>
      </c>
      <c r="T18" t="str">
        <f ca="1"/>
        <v/>
      </c>
      <c r="U18" s="93" t="str">
        <f ca="1"/>
        <v>http://annals.org/aim/pages/authors</v>
      </c>
      <c r="V18" t="str">
        <f ca="1"/>
        <v/>
      </c>
      <c r="W18" s="93" t="str">
        <f ca="1"/>
        <v>https://authors.bmj.com/policies/peer-review-terms-and-conditions/</v>
      </c>
      <c r="X18" s="93" t="str">
        <f ca="1"/>
        <v>https://www.elsevier.com/reviewers/role#recognizing</v>
      </c>
      <c r="Y18" s="93" t="str">
        <f ca="1"/>
        <v>https://www.elsevier.com/reviewers/role#recognizing</v>
      </c>
      <c r="Z18" t="str">
        <f ca="1"/>
        <v/>
      </c>
      <c r="AA18" t="str">
        <f ca="1"/>
        <v/>
      </c>
      <c r="AB18" t="str">
        <f ca="1"/>
        <v/>
      </c>
      <c r="AC18" s="93" t="str">
        <f ca="1"/>
        <v>https://www.elsevier.com/reviewers/role#recognizing</v>
      </c>
      <c r="AD18" s="93" t="str">
        <f ca="1"/>
        <v>http://www.bloodjournal.org/page/authors/author-guide/peer-review</v>
      </c>
      <c r="AE18" s="93" t="str">
        <f ca="1"/>
        <v>https://authors.bmj.com/for-reviewers/reviewer-recognition/</v>
      </c>
      <c r="AF18" t="str">
        <f ca="1"/>
        <v/>
      </c>
      <c r="AG18" s="93" t="str">
        <f ca="1"/>
        <v>http://aacrjournals.org/site/Info/Reviewers.xhtml</v>
      </c>
      <c r="AH18" t="str">
        <f ca="1"/>
        <v>Not found</v>
      </c>
      <c r="AI18" t="str">
        <f ca="1"/>
        <v>Not found</v>
      </c>
      <c r="AJ18" t="str">
        <f ca="1"/>
        <v>Not found</v>
      </c>
      <c r="AK18" s="93" t="str">
        <f ca="1"/>
        <v>http://www.rsc.org/journals-books-databases/journal-authors-reviewers/reviewer-responsibilities/#becoming-reviewer</v>
      </c>
      <c r="AL18" t="str">
        <f ca="1"/>
        <v>Not found</v>
      </c>
      <c r="AM18" s="93" t="str">
        <f ca="1"/>
        <v>http://www.rsc.org/journals-books-databases/journal-authors-reviewers/reviewer-responsibilities/#becoming-reviewer</v>
      </c>
      <c r="AN18" t="str">
        <f ca="1"/>
        <v/>
      </c>
      <c r="AO18" t="str">
        <f ca="1"/>
        <v/>
      </c>
      <c r="AP18" t="str">
        <f ca="1"/>
        <v/>
      </c>
      <c r="AQ18" s="93" t="str">
        <f ca="1"/>
        <v>http://aacrjournals.org/site/Info/Reviewers.xhtml</v>
      </c>
      <c r="AR18" s="93" t="str">
        <f ca="1"/>
        <v>https://www.elsevier.com/reviewers/role#recognizing</v>
      </c>
      <c r="AS18" s="93" t="str">
        <f ca="1"/>
        <v>http://www.diabetesjournals.org/for-reviewers</v>
      </c>
      <c r="AT18" t="str">
        <f ca="1"/>
        <v/>
      </c>
      <c r="AU18" t="str">
        <f ca="1"/>
        <v/>
      </c>
      <c r="AV18" t="str">
        <f ca="1"/>
        <v/>
      </c>
      <c r="AW18" t="str">
        <f ca="1"/>
        <v/>
      </c>
      <c r="AX18" t="str">
        <f ca="1"/>
        <v/>
      </c>
      <c r="AY18" s="93" t="str">
        <f ca="1"/>
        <v>https://www.elsevier.com/reviewers/role#RRP</v>
      </c>
      <c r="AZ18" s="93" t="str">
        <f ca="1"/>
        <v>https://www.gastrojournal.org/content/authorinfo</v>
      </c>
      <c r="BA18" s="93" t="str">
        <f ca="1"/>
        <v>https://uk.sagepub.com/en-gb/eur/online-submission-peer-review-system</v>
      </c>
      <c r="BB18" s="93" t="str">
        <f ca="1"/>
        <v>https://publications.agu.org/reviewer-resources/</v>
      </c>
      <c r="BC18" s="93" t="str">
        <f ca="1"/>
        <v>https://www.elsevier.com/reviewers/role#recognizing</v>
      </c>
      <c r="BD18" t="str">
        <f ca="1"/>
        <v/>
      </c>
      <c r="BE18" t="str">
        <f ca="1"/>
        <v/>
      </c>
      <c r="BF18" s="93" t="str">
        <f ca="1"/>
        <v>https://www.healthaffairs.org/help-for-reviewers</v>
      </c>
      <c r="BG18" t="str">
        <f ca="1"/>
        <v/>
      </c>
      <c r="BH18" t="str">
        <f ca="1"/>
        <v/>
      </c>
      <c r="BI18" t="str">
        <f ca="1"/>
        <v/>
      </c>
      <c r="BJ18" t="str">
        <f ca="1"/>
        <v/>
      </c>
      <c r="BK18" t="str">
        <f ca="1"/>
        <v/>
      </c>
      <c r="BL18" t="str">
        <f ca="1"/>
        <v/>
      </c>
      <c r="BM18" t="str">
        <f ca="1"/>
        <v/>
      </c>
      <c r="BN18" t="str">
        <f ca="1"/>
        <v/>
      </c>
      <c r="BO18" t="str">
        <f ca="1"/>
        <v/>
      </c>
      <c r="BP18" t="str">
        <f ca="1"/>
        <v/>
      </c>
      <c r="BQ18" t="str">
        <f ca="1"/>
        <v/>
      </c>
      <c r="BR18" t="str">
        <f ca="1"/>
        <v/>
      </c>
      <c r="BS18" s="93" t="str">
        <f ca="1"/>
        <v>https://www.elsevier.com/reviewers/role#RRP</v>
      </c>
      <c r="BT18" t="str">
        <f ca="1"/>
        <v/>
      </c>
      <c r="BU18" t="str">
        <f ca="1"/>
        <v/>
      </c>
      <c r="BV18" s="93" t="str">
        <f ca="1"/>
        <v>https://www.elsevier.com/reviewers/role#RRP</v>
      </c>
      <c r="BW18" s="93" t="str">
        <f ca="1"/>
        <v>https://www.springer.com/philosophy/ethics+and+moral+philosophy/journal/10551#</v>
      </c>
      <c r="BX18" s="93" t="str">
        <f ca="1"/>
        <v>https://www.elsevier.com/reviewers/role#recognizing</v>
      </c>
      <c r="BY18" s="93" t="str">
        <f ca="1"/>
        <v>https://www.elsevier.com/reviewers/role#RRP</v>
      </c>
      <c r="BZ18" s="93" t="str">
        <f ca="1"/>
        <v>http://ascopubs.org/reviewers</v>
      </c>
      <c r="CA18" t="str">
        <f ca="1"/>
        <v/>
      </c>
      <c r="CB18" s="93" t="str">
        <f ca="1"/>
        <v>https://publishingsupport.iopscience.iop.org/becoming-a-journal-reviewer/</v>
      </c>
      <c r="CC18" t="str">
        <f ca="1"/>
        <v/>
      </c>
      <c r="CD18" t="str">
        <f ca="1"/>
        <v/>
      </c>
      <c r="CE18" s="93" t="str">
        <f ca="1"/>
        <v>https://www.elsevier.com/reviewers/role#recognizing</v>
      </c>
      <c r="CF18" s="93" t="str">
        <f ca="1"/>
        <v>https://publications.agu.org/reviewer-resources/</v>
      </c>
      <c r="CG18" s="93" t="str">
        <f ca="1"/>
        <v>https://www.elsevier.com/reviewers/role#recognizing</v>
      </c>
      <c r="CH18" t="str">
        <f ca="1"/>
        <v/>
      </c>
      <c r="CI18" s="93" t="str">
        <f ca="1"/>
        <v>https://us.sagepub.com/en-us/nam/reviewer-rewards</v>
      </c>
      <c r="CJ18" s="93" t="str">
        <f ca="1"/>
        <v>http://www.rsc.org/journals-books-databases/journal-authors-reviewers/reviewer-responsibilities/#review-procedure</v>
      </c>
      <c r="CK18" t="str">
        <f ca="1"/>
        <v/>
      </c>
      <c r="CL18" t="str">
        <f ca="1"/>
        <v/>
      </c>
      <c r="CM18" t="str">
        <f ca="1"/>
        <v/>
      </c>
      <c r="CN18" t="str">
        <f ca="1"/>
        <v/>
      </c>
      <c r="CO18" s="93" t="str">
        <f ca="1"/>
        <v>https://us.sagepub.com/en-us/nam/reviewer-rewards</v>
      </c>
      <c r="CP18" t="str">
        <f ca="1"/>
        <v/>
      </c>
      <c r="CQ18" t="str">
        <f ca="1"/>
        <v/>
      </c>
      <c r="CR18" s="93" t="str">
        <f ca="1"/>
        <v>https://www.elsevier.com/reviewers/role#recognizing</v>
      </c>
      <c r="CS18" t="str">
        <f ca="1"/>
        <v/>
      </c>
      <c r="CT18" s="93" t="str">
        <f ca="1"/>
        <v>https://www.elsevier.com/reviewers/role#RRP</v>
      </c>
      <c r="CU18" t="str">
        <f ca="1"/>
        <v/>
      </c>
      <c r="CV18" t="str">
        <f ca="1"/>
        <v/>
      </c>
      <c r="CW18" t="str">
        <f ca="1"/>
        <v/>
      </c>
      <c r="CX18" t="str">
        <f ca="1"/>
        <v/>
      </c>
      <c r="CY18" s="93" t="str">
        <f ca="1"/>
        <v>https://academic.oup.com/mnras/pages/General_Instructions#4%20Editorial%20review</v>
      </c>
      <c r="CZ18" t="str">
        <f ca="1"/>
        <v/>
      </c>
      <c r="DA18" s="93" t="str">
        <f ca="1"/>
        <v>http://www.rsc.org/journals-books-databases/journal-authors-reviewers/reviewer-responsibilities/#peer-review-help</v>
      </c>
      <c r="DB18" t="str">
        <f ca="1"/>
        <v/>
      </c>
      <c r="DC18" s="93" t="str">
        <f ca="1"/>
        <v>https://www.nature.com/authors/policies/peer_review.html</v>
      </c>
      <c r="DD18" s="93" t="str">
        <f ca="1"/>
        <v>https://www.nature.com/authors/policies/peer_review.html</v>
      </c>
      <c r="DE18" s="93" t="str">
        <f ca="1"/>
        <v>https://www.nature.com/authors/policies/peer_review.html</v>
      </c>
      <c r="DF18" s="93" t="str">
        <f ca="1"/>
        <v>https://www.nature.com/authors/policies/peer_review.html</v>
      </c>
      <c r="DG18" s="93" t="str">
        <f ca="1"/>
        <v>https://www.nature.com/ncomms/journal-policies/guide-to-referees</v>
      </c>
      <c r="DH18" s="93" t="str">
        <f ca="1"/>
        <v>https://www.nature.com/authors/policies/peer_review.html</v>
      </c>
      <c r="DI18" s="93" t="str">
        <f ca="1"/>
        <v>https://www.nature.com/authors/policies/peer_review.html</v>
      </c>
      <c r="DJ18" s="93" t="str">
        <f ca="1"/>
        <v>https://www.nature.com/authors/policies/peer_review.html</v>
      </c>
      <c r="DK18" s="93" t="str">
        <f ca="1"/>
        <v>https://www.nature.com/authors/policies/peer_review.html</v>
      </c>
      <c r="DL18" s="93" t="str">
        <f ca="1"/>
        <v>https://www.nature.com/authors/policies/peer_review.html</v>
      </c>
      <c r="DM18" s="93" t="str">
        <f ca="1"/>
        <v>https://www.nature.com/authors/policies/peer_review.html</v>
      </c>
      <c r="DN18" s="93" t="str">
        <f ca="1"/>
        <v>https://www.nature.com/authors/policies/peer_review.html</v>
      </c>
      <c r="DO18" s="93" t="str">
        <f ca="1"/>
        <v>https://www.nature.com/authors/policies/peer_review.html</v>
      </c>
      <c r="DP18" s="93" t="str">
        <f ca="1"/>
        <v>https://www.nature.com/authors/policies/peer_review.html</v>
      </c>
      <c r="DQ18" t="str">
        <f ca="1"/>
        <v/>
      </c>
      <c r="DR18" t="str">
        <f ca="1"/>
        <v/>
      </c>
      <c r="DS18" t="str">
        <f ca="1"/>
        <v/>
      </c>
      <c r="DT18" t="str">
        <f ca="1"/>
        <v/>
      </c>
      <c r="DU18" t="str">
        <f ca="1"/>
        <v/>
      </c>
      <c r="DV18" t="str">
        <f ca="1"/>
        <v/>
      </c>
      <c r="DW18" t="str">
        <f ca="1"/>
        <v/>
      </c>
      <c r="DX18" s="93" t="str">
        <f ca="1"/>
        <v>https://www.elsevier.com/reviewers/role#RRP</v>
      </c>
      <c r="DY18" t="str">
        <f ca="1"/>
        <v/>
      </c>
      <c r="DZ18" t="str">
        <f ca="1"/>
        <v/>
      </c>
      <c r="EA18" s="93" t="str">
        <f ca="1"/>
        <v>https://authorservices.wiley.com/Reviewers/journal-reviewers/recognition-for-reviewers/index.html</v>
      </c>
      <c r="EB18" t="str">
        <f ca="1"/>
        <v/>
      </c>
      <c r="EC18" t="str">
        <f ca="1"/>
        <v/>
      </c>
      <c r="ED18" s="93" t="str">
        <f ca="1"/>
        <v>https://www.osapublishing.org/oe/submit/review/outstandingreviewers.cfm</v>
      </c>
      <c r="EE18" t="str">
        <f ca="1"/>
        <v/>
      </c>
      <c r="EF18" t="str">
        <f ca="1"/>
        <v/>
      </c>
      <c r="EG18" t="str">
        <f ca="1"/>
        <v/>
      </c>
      <c r="EH18" t="str">
        <f ca="1"/>
        <v/>
      </c>
      <c r="EI18" t="str">
        <f ca="1"/>
        <v/>
      </c>
      <c r="EJ18" t="str">
        <f ca="1"/>
        <v/>
      </c>
      <c r="EK18" t="str">
        <f ca="1"/>
        <v/>
      </c>
      <c r="EL18" t="str">
        <f ca="1"/>
        <v/>
      </c>
      <c r="EM18" s="93" t="str">
        <f ca="1"/>
        <v>https://www.pnas.org/content/115/52/E12466</v>
      </c>
      <c r="EN18" s="93" t="str">
        <f ca="1"/>
        <v>https://uk.sagepub.com/en-gb/eur/get-credit-for-your-reviews</v>
      </c>
      <c r="EO18" t="str">
        <f ca="1"/>
        <v/>
      </c>
      <c r="EP18" t="str">
        <f ca="1"/>
        <v/>
      </c>
      <c r="EQ18" s="93" t="str">
        <f ca="1"/>
        <v>https://www.elsevier.com/reviewers/role#RRP</v>
      </c>
      <c r="ER18" s="93" t="str">
        <f ca="1"/>
        <v>https://www.elsevier.com/reviewers/role#RRP</v>
      </c>
      <c r="ES18" t="str">
        <f ca="1"/>
        <v/>
      </c>
      <c r="ET18" t="str">
        <f ca="1"/>
        <v/>
      </c>
      <c r="EU18" t="str">
        <f ca="1"/>
        <v/>
      </c>
      <c r="EV18" t="str">
        <f ca="1"/>
        <v/>
      </c>
      <c r="EW18" t="str">
        <f ca="1"/>
        <v/>
      </c>
      <c r="EX18" t="str">
        <f ca="1"/>
        <v/>
      </c>
      <c r="EY18" t="str">
        <f ca="1"/>
        <v/>
      </c>
      <c r="EZ18" t="str">
        <f ca="1"/>
        <v/>
      </c>
      <c r="FA18" s="93" t="str">
        <f ca="1"/>
        <v xml:space="preserve">https://www.elsevier.com/reviewers/role#recognizing </v>
      </c>
      <c r="FB18" t="str">
        <f ca="1"/>
        <v/>
      </c>
      <c r="FC18" s="93" t="str">
        <f ca="1"/>
        <v>https://authorservices.wiley.com/Reviewers/journal-reviewers/recognition-for-reviewers/index.html</v>
      </c>
      <c r="FD18" t="str">
        <f ca="1"/>
        <v/>
      </c>
      <c r="FE18" t="str">
        <f ca="1"/>
        <v/>
      </c>
      <c r="FF18" t="str">
        <f ca="1"/>
        <v>Reviewers are listed online, eg: https://ari.cochrane.org/our-reviews/peer-reviewers/previous-peer-reviewers</v>
      </c>
      <c r="FG18" t="str">
        <f ca="1"/>
        <v/>
      </c>
      <c r="FH18" t="str">
        <f ca="1"/>
        <v/>
      </c>
      <c r="FI18" s="93" t="str">
        <f ca="1"/>
        <v>https://authorservices.wiley.com/Reviewers/journal-reviewers/recognition-for-reviewers/index.html</v>
      </c>
      <c r="FJ18" t="str">
        <f ca="1"/>
        <v/>
      </c>
      <c r="FK18" t="str">
        <f ca="1"/>
        <v/>
      </c>
      <c r="FL18" t="str">
        <f ca="1"/>
        <v/>
      </c>
      <c r="FM18" t="str">
        <f ca="1"/>
        <v/>
      </c>
      <c r="FN18" s="93" t="str">
        <f ca="1"/>
        <v>https://authorservices.wiley.com/Reviewers/journal-reviewers/recognition-for-reviewers/index.html</v>
      </c>
      <c r="FO18" t="str">
        <f ca="1"/>
        <v/>
      </c>
      <c r="FP18" t="str">
        <f ca="1"/>
        <v/>
      </c>
      <c r="FQ18" t="str">
        <f ca="1"/>
        <v/>
      </c>
      <c r="FR18" t="str">
        <f ca="1"/>
        <v/>
      </c>
      <c r="FS18" s="93" t="str">
        <f ca="1"/>
        <v>https://www.elsevier.com/reviewers/role#RRP</v>
      </c>
      <c r="FT18" s="93" t="str">
        <f ca="1"/>
        <v xml:space="preserve">https://www.elsevier.com/reviewers/role#recognizing </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c r="ALO18">
        <v>0</v>
      </c>
      <c r="ALP18">
        <v>0</v>
      </c>
      <c r="ALQ18">
        <v>0</v>
      </c>
    </row>
    <row r="19" spans="1:1005" ht="15.75" customHeight="1">
      <c r="A19" s="86" t="s">
        <v>378</v>
      </c>
      <c r="B19" s="87" t="s">
        <v>28</v>
      </c>
      <c r="C19" s="201" t="s">
        <v>789</v>
      </c>
      <c r="D19" s="87" t="s">
        <v>790</v>
      </c>
      <c r="E19" s="202"/>
      <c r="F19" t="str">
        <f t="array" ref="F19:ALQ19" ca="1">TRANSPOSE(Filtered!P2:P1005)</f>
        <v>Unsure</v>
      </c>
      <c r="G19" t="str">
        <f ca="1"/>
        <v>Unsure</v>
      </c>
      <c r="H19" t="str">
        <f ca="1"/>
        <v>Unsure</v>
      </c>
      <c r="I19" t="str">
        <f ca="1"/>
        <v>Unsure</v>
      </c>
      <c r="J19" s="28" t="str">
        <f ca="1"/>
        <v>Unsure</v>
      </c>
      <c r="K19" s="28" t="str">
        <f ca="1"/>
        <v>Unsure</v>
      </c>
      <c r="L19" t="str">
        <f ca="1"/>
        <v>Unsure</v>
      </c>
      <c r="M19" t="str">
        <f ca="1"/>
        <v>Unsure</v>
      </c>
      <c r="N19" t="str">
        <f ca="1"/>
        <v>Unsure</v>
      </c>
      <c r="O19" t="str">
        <f ca="1"/>
        <v>Unsure</v>
      </c>
      <c r="P19" t="str">
        <f ca="1"/>
        <v>Unsure</v>
      </c>
      <c r="Q19" t="str">
        <f ca="1"/>
        <v>Unsure</v>
      </c>
      <c r="R19" t="str">
        <f ca="1"/>
        <v>Unsure</v>
      </c>
      <c r="S19" t="str">
        <f ca="1"/>
        <v>Yes</v>
      </c>
      <c r="T19" t="str">
        <f ca="1"/>
        <v>Unsure</v>
      </c>
      <c r="U19" t="str">
        <f ca="1"/>
        <v>Unsure</v>
      </c>
      <c r="V19" t="str">
        <f ca="1"/>
        <v>Unsure</v>
      </c>
      <c r="W19" t="str">
        <f ca="1"/>
        <v>Unsure</v>
      </c>
      <c r="X19" t="str">
        <f ca="1"/>
        <v>Yes</v>
      </c>
      <c r="Y19" t="str">
        <f ca="1"/>
        <v>Unsure</v>
      </c>
      <c r="Z19" t="str">
        <f ca="1"/>
        <v>Unsure</v>
      </c>
      <c r="AA19" t="str">
        <f ca="1"/>
        <v>Unsure</v>
      </c>
      <c r="AB19" t="str">
        <f ca="1"/>
        <v>Unsure</v>
      </c>
      <c r="AC19" t="str">
        <f ca="1"/>
        <v>Yes</v>
      </c>
      <c r="AD19" t="str">
        <f ca="1"/>
        <v>No</v>
      </c>
      <c r="AE19" t="str">
        <f ca="1"/>
        <v>Unsure</v>
      </c>
      <c r="AF19" t="str">
        <f ca="1"/>
        <v>Unsure</v>
      </c>
      <c r="AG19" t="str">
        <f ca="1"/>
        <v>Unsure</v>
      </c>
      <c r="AH19" t="str">
        <f ca="1"/>
        <v>Unsure</v>
      </c>
      <c r="AI19" t="str">
        <f ca="1"/>
        <v>Unsure</v>
      </c>
      <c r="AJ19" t="str">
        <f ca="1"/>
        <v>Unsure</v>
      </c>
      <c r="AK19" t="str">
        <f ca="1"/>
        <v>Yes - Publons</v>
      </c>
      <c r="AL19" t="str">
        <f ca="1"/>
        <v>Unsure</v>
      </c>
      <c r="AM19" t="str">
        <f ca="1"/>
        <v>Yes - Publons</v>
      </c>
      <c r="AN19" t="str">
        <f ca="1"/>
        <v>Unsure</v>
      </c>
      <c r="AO19" t="str">
        <f ca="1"/>
        <v>Unsure</v>
      </c>
      <c r="AP19" t="str">
        <f ca="1"/>
        <v>Unsure</v>
      </c>
      <c r="AQ19" t="str">
        <f ca="1"/>
        <v>Unsure</v>
      </c>
      <c r="AR19" t="str">
        <f ca="1"/>
        <v>Unsure</v>
      </c>
      <c r="AS19" t="str">
        <f ca="1"/>
        <v>Unsure</v>
      </c>
      <c r="AT19" t="str">
        <f ca="1"/>
        <v>Unsure</v>
      </c>
      <c r="AU19" t="str">
        <f ca="1"/>
        <v>Unsure</v>
      </c>
      <c r="AV19" t="str">
        <f ca="1"/>
        <v>No</v>
      </c>
      <c r="AW19" t="str">
        <f ca="1"/>
        <v>Unsure</v>
      </c>
      <c r="AX19" t="str">
        <f ca="1"/>
        <v>Unsure</v>
      </c>
      <c r="AY19" t="str">
        <f ca="1"/>
        <v>Unsure</v>
      </c>
      <c r="AZ19" t="str">
        <f ca="1"/>
        <v>No</v>
      </c>
      <c r="BA19" t="str">
        <f ca="1"/>
        <v>Yes</v>
      </c>
      <c r="BB19" t="str">
        <f ca="1"/>
        <v>No</v>
      </c>
      <c r="BC19" t="str">
        <f ca="1"/>
        <v xml:space="preserve">No - Under "Peer Reviewer activity deposited into open database" -&gt; Peer Reviewer activity IS deposited into a database by Elsevier, but it is NOT open. This applies across the Elsevier platform. See https://www.elsevier.com/reviewers/role#recognizing </v>
      </c>
      <c r="BD19" t="str">
        <f ca="1"/>
        <v>Unsure</v>
      </c>
      <c r="BE19" t="str">
        <f ca="1"/>
        <v>Unsure</v>
      </c>
      <c r="BF19" t="str">
        <f ca="1"/>
        <v>Unsure</v>
      </c>
      <c r="BG19" t="str">
        <f ca="1"/>
        <v>Unsure</v>
      </c>
      <c r="BH19" t="str">
        <f ca="1"/>
        <v>Unsure</v>
      </c>
      <c r="BI19" t="str">
        <f ca="1"/>
        <v>Unsure</v>
      </c>
      <c r="BJ19" t="str">
        <f ca="1"/>
        <v>Unsure</v>
      </c>
      <c r="BK19" t="str">
        <f ca="1"/>
        <v>Unsure</v>
      </c>
      <c r="BL19" t="str">
        <f ca="1"/>
        <v>Unsure</v>
      </c>
      <c r="BM19" t="str">
        <f ca="1"/>
        <v>Unsure</v>
      </c>
      <c r="BN19" t="str">
        <f ca="1"/>
        <v>Unsure</v>
      </c>
      <c r="BO19" t="str">
        <f ca="1"/>
        <v>Unsure</v>
      </c>
      <c r="BP19" t="str">
        <f ca="1"/>
        <v>Unsure</v>
      </c>
      <c r="BQ19" t="str">
        <f ca="1"/>
        <v>Unsure</v>
      </c>
      <c r="BR19" t="str">
        <f ca="1"/>
        <v>Unsure</v>
      </c>
      <c r="BS19" t="str">
        <f ca="1"/>
        <v>Unsure</v>
      </c>
      <c r="BT19" t="str">
        <f ca="1"/>
        <v>Unsure</v>
      </c>
      <c r="BU19" t="str">
        <f ca="1"/>
        <v/>
      </c>
      <c r="BV19" t="str">
        <f ca="1"/>
        <v/>
      </c>
      <c r="BW19" t="str">
        <f ca="1"/>
        <v>Yes</v>
      </c>
      <c r="BX19" t="str">
        <f ca="1"/>
        <v>Yes</v>
      </c>
      <c r="BY19" t="str">
        <f ca="1"/>
        <v>Yes</v>
      </c>
      <c r="BZ19" t="str">
        <f ca="1"/>
        <v>No</v>
      </c>
      <c r="CA19" t="str">
        <f ca="1"/>
        <v>Unsure</v>
      </c>
      <c r="CB19" t="str">
        <f ca="1"/>
        <v>Yes</v>
      </c>
      <c r="CC19" t="str">
        <f ca="1"/>
        <v>Unsure</v>
      </c>
      <c r="CD19" t="str">
        <f ca="1"/>
        <v>Unsure</v>
      </c>
      <c r="CE19" t="str">
        <f ca="1"/>
        <v>Unsure: Peer Reviewer activity IS deposited into a database by Elsevier, but it is NOT open. This applies across the Elsevier platform. See https://www.elsevier.com/reviewers/role#recognizing</v>
      </c>
      <c r="CF19" t="str">
        <f ca="1"/>
        <v>Yes</v>
      </c>
      <c r="CG19" t="str">
        <f ca="1"/>
        <v>Unsure</v>
      </c>
      <c r="CH19" t="str">
        <f ca="1"/>
        <v>Unsure</v>
      </c>
      <c r="CI19" t="str">
        <f ca="1"/>
        <v>Yes</v>
      </c>
      <c r="CJ19" t="str">
        <f ca="1"/>
        <v>Yes</v>
      </c>
      <c r="CK19" t="str">
        <f ca="1"/>
        <v>Unsure</v>
      </c>
      <c r="CL19" t="str">
        <f ca="1"/>
        <v>Unsure</v>
      </c>
      <c r="CM19" t="str">
        <f ca="1"/>
        <v>Unsure</v>
      </c>
      <c r="CN19" t="str">
        <f ca="1"/>
        <v>Unsure</v>
      </c>
      <c r="CO19" t="str">
        <f ca="1"/>
        <v>Yes</v>
      </c>
      <c r="CP19" t="str">
        <f ca="1"/>
        <v>Unsure</v>
      </c>
      <c r="CQ19" t="str">
        <f ca="1"/>
        <v>Unsure</v>
      </c>
      <c r="CR19" t="str">
        <f ca="1"/>
        <v>Unsure</v>
      </c>
      <c r="CS19" t="str">
        <f ca="1"/>
        <v>Unsure</v>
      </c>
      <c r="CT19" t="str">
        <f ca="1"/>
        <v>Unsure</v>
      </c>
      <c r="CU19" t="str">
        <f ca="1"/>
        <v>Unsure</v>
      </c>
      <c r="CV19" t="str">
        <f ca="1"/>
        <v>Unsure</v>
      </c>
      <c r="CW19" t="str">
        <f ca="1"/>
        <v>No</v>
      </c>
      <c r="CX19" t="str">
        <f ca="1"/>
        <v>Unsure</v>
      </c>
      <c r="CY19" t="str">
        <f ca="1"/>
        <v>Unsure</v>
      </c>
      <c r="CZ19" t="str">
        <f ca="1"/>
        <v>Unsure</v>
      </c>
      <c r="DA19" t="str">
        <f ca="1"/>
        <v>No</v>
      </c>
      <c r="DB19" t="str">
        <f ca="1"/>
        <v>Unsure</v>
      </c>
      <c r="DC19" t="str">
        <f ca="1"/>
        <v>Unsure</v>
      </c>
      <c r="DD19" t="str">
        <f ca="1"/>
        <v>Unsure</v>
      </c>
      <c r="DE19" t="str">
        <f ca="1"/>
        <v>Unsure</v>
      </c>
      <c r="DF19" t="str">
        <f ca="1"/>
        <v>Unsure</v>
      </c>
      <c r="DG19" t="str">
        <f ca="1"/>
        <v>Unsure</v>
      </c>
      <c r="DH19" t="str">
        <f ca="1"/>
        <v>Unsure</v>
      </c>
      <c r="DI19" t="str">
        <f ca="1"/>
        <v>Unsure</v>
      </c>
      <c r="DJ19" t="str">
        <f ca="1"/>
        <v>Unsure</v>
      </c>
      <c r="DK19" t="str">
        <f ca="1"/>
        <v>Unsure</v>
      </c>
      <c r="DL19" t="str">
        <f ca="1"/>
        <v>Unsure</v>
      </c>
      <c r="DM19" t="str">
        <f ca="1"/>
        <v>Unsure</v>
      </c>
      <c r="DN19" t="str">
        <f ca="1"/>
        <v>Unsure</v>
      </c>
      <c r="DO19" t="str">
        <f ca="1"/>
        <v>Unsure</v>
      </c>
      <c r="DP19" t="str">
        <f ca="1"/>
        <v>Unsure</v>
      </c>
      <c r="DQ19" t="str">
        <f ca="1"/>
        <v>Unsure</v>
      </c>
      <c r="DR19" t="str">
        <f ca="1"/>
        <v>Unsure</v>
      </c>
      <c r="DS19" t="str">
        <f ca="1"/>
        <v>Unsure</v>
      </c>
      <c r="DT19" t="str">
        <f ca="1"/>
        <v>Unsure</v>
      </c>
      <c r="DU19" t="str">
        <f ca="1"/>
        <v>Unsure</v>
      </c>
      <c r="DV19" t="str">
        <f ca="1"/>
        <v>Unsure</v>
      </c>
      <c r="DW19" t="str">
        <f ca="1"/>
        <v/>
      </c>
      <c r="DX19" t="str">
        <f ca="1"/>
        <v>Unsure</v>
      </c>
      <c r="DY19" t="str">
        <f ca="1"/>
        <v>Unsure</v>
      </c>
      <c r="DZ19" t="str">
        <f ca="1"/>
        <v>Unsure</v>
      </c>
      <c r="EA19" t="str">
        <f ca="1"/>
        <v>Yes</v>
      </c>
      <c r="EB19" t="str">
        <f ca="1"/>
        <v>Unsure</v>
      </c>
      <c r="EC19" t="str">
        <f ca="1"/>
        <v>Unsure</v>
      </c>
      <c r="ED19" t="str">
        <f ca="1"/>
        <v>Unsure</v>
      </c>
      <c r="EE19" t="str">
        <f ca="1"/>
        <v>Unsure</v>
      </c>
      <c r="EF19" t="str">
        <f ca="1"/>
        <v>Unsure</v>
      </c>
      <c r="EG19" t="str">
        <f ca="1"/>
        <v>Unsure</v>
      </c>
      <c r="EH19" t="str">
        <f ca="1"/>
        <v>Unsure</v>
      </c>
      <c r="EI19" t="str">
        <f ca="1"/>
        <v>Unsure</v>
      </c>
      <c r="EJ19" t="str">
        <f ca="1"/>
        <v>Unsure</v>
      </c>
      <c r="EK19" t="str">
        <f ca="1"/>
        <v>Unsure</v>
      </c>
      <c r="EL19" t="str">
        <f ca="1"/>
        <v>Unsure</v>
      </c>
      <c r="EM19" t="str">
        <f ca="1"/>
        <v>Unsure</v>
      </c>
      <c r="EN19" t="str">
        <f ca="1"/>
        <v>Yes</v>
      </c>
      <c r="EO19" t="str">
        <f ca="1"/>
        <v>Unsure</v>
      </c>
      <c r="EP19" t="str">
        <f ca="1"/>
        <v>Unsure</v>
      </c>
      <c r="EQ19" t="str">
        <f ca="1"/>
        <v>Unsure</v>
      </c>
      <c r="ER19" t="str">
        <f ca="1"/>
        <v>Unsure</v>
      </c>
      <c r="ES19" t="str">
        <f ca="1"/>
        <v>Unsure</v>
      </c>
      <c r="ET19" t="str">
        <f ca="1"/>
        <v>No</v>
      </c>
      <c r="EU19" t="str">
        <f ca="1"/>
        <v>No</v>
      </c>
      <c r="EV19" t="str">
        <f ca="1"/>
        <v>No</v>
      </c>
      <c r="EW19" t="str">
        <f ca="1"/>
        <v>No</v>
      </c>
      <c r="EX19" t="str">
        <f ca="1"/>
        <v>Unsure</v>
      </c>
      <c r="EY19" t="str">
        <f ca="1"/>
        <v>Unsure</v>
      </c>
      <c r="EZ19" t="str">
        <f ca="1"/>
        <v>Unsure</v>
      </c>
      <c r="FA19" t="str">
        <f ca="1"/>
        <v xml:space="preserve">Unsure: Peer Reviewer activity IS deposited into a database by Elsevier, but it is NOT open. This applies across the Elsevier platform. </v>
      </c>
      <c r="FB19" t="str">
        <f ca="1"/>
        <v>Unsure</v>
      </c>
      <c r="FC19" t="str">
        <f ca="1"/>
        <v>Yes</v>
      </c>
      <c r="FD19" t="str">
        <f ca="1"/>
        <v>Unsure</v>
      </c>
      <c r="FE19" t="str">
        <f ca="1"/>
        <v>Unsure</v>
      </c>
      <c r="FF19" t="str">
        <f ca="1"/>
        <v>Unsure</v>
      </c>
      <c r="FG19" t="str">
        <f ca="1"/>
        <v>Unsure</v>
      </c>
      <c r="FH19" t="str">
        <f ca="1"/>
        <v>Unsure</v>
      </c>
      <c r="FI19" t="str">
        <f ca="1"/>
        <v>Yes</v>
      </c>
      <c r="FJ19" t="str">
        <f ca="1"/>
        <v/>
      </c>
      <c r="FK19" t="str">
        <f ca="1"/>
        <v>Unsure</v>
      </c>
      <c r="FL19" t="str">
        <f ca="1"/>
        <v>Unsure</v>
      </c>
      <c r="FM19" t="str">
        <f ca="1"/>
        <v>Unsure</v>
      </c>
      <c r="FN19" t="str">
        <f ca="1"/>
        <v>Yes -- both Publons and ORCID</v>
      </c>
      <c r="FO19" t="str">
        <f ca="1"/>
        <v>Unsure</v>
      </c>
      <c r="FP19" t="str">
        <f ca="1"/>
        <v>Unsure</v>
      </c>
      <c r="FQ19" t="str">
        <f ca="1"/>
        <v>Unsure</v>
      </c>
      <c r="FR19" t="str">
        <f ca="1"/>
        <v/>
      </c>
      <c r="FS19" t="str">
        <f ca="1"/>
        <v>No</v>
      </c>
      <c r="FT19" t="str">
        <f ca="1"/>
        <v>No: Peer Reviewer activity IS deposited into a database by Elsevier, but it is NOT open. This applies across the Elsevier platform.</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0</v>
      </c>
      <c r="AES19">
        <v>0</v>
      </c>
      <c r="AET19">
        <v>0</v>
      </c>
      <c r="AEU19">
        <v>0</v>
      </c>
      <c r="AEV19">
        <v>0</v>
      </c>
      <c r="AEW19">
        <v>0</v>
      </c>
      <c r="AEX19">
        <v>0</v>
      </c>
      <c r="AEY19">
        <v>0</v>
      </c>
      <c r="AEZ19">
        <v>0</v>
      </c>
      <c r="AFA19">
        <v>0</v>
      </c>
      <c r="AFB19">
        <v>0</v>
      </c>
      <c r="AFC19">
        <v>0</v>
      </c>
      <c r="AFD19">
        <v>0</v>
      </c>
      <c r="AFE19">
        <v>0</v>
      </c>
      <c r="AFF19">
        <v>0</v>
      </c>
      <c r="AFG19">
        <v>0</v>
      </c>
      <c r="AFH19">
        <v>0</v>
      </c>
      <c r="AFI19">
        <v>0</v>
      </c>
      <c r="AFJ19">
        <v>0</v>
      </c>
      <c r="AFK19">
        <v>0</v>
      </c>
      <c r="AFL19">
        <v>0</v>
      </c>
      <c r="AFM19">
        <v>0</v>
      </c>
      <c r="AFN19">
        <v>0</v>
      </c>
      <c r="AFO19">
        <v>0</v>
      </c>
      <c r="AFP19">
        <v>0</v>
      </c>
      <c r="AFQ19">
        <v>0</v>
      </c>
      <c r="AFR19">
        <v>0</v>
      </c>
      <c r="AFS19">
        <v>0</v>
      </c>
      <c r="AFT19">
        <v>0</v>
      </c>
      <c r="AFU19">
        <v>0</v>
      </c>
      <c r="AFV19">
        <v>0</v>
      </c>
      <c r="AFW19">
        <v>0</v>
      </c>
      <c r="AFX19">
        <v>0</v>
      </c>
      <c r="AFY19">
        <v>0</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v>
      </c>
      <c r="AIO19">
        <v>0</v>
      </c>
      <c r="AIP19">
        <v>0</v>
      </c>
      <c r="AIQ19">
        <v>0</v>
      </c>
      <c r="AIR19">
        <v>0</v>
      </c>
      <c r="AIS19">
        <v>0</v>
      </c>
      <c r="AIT19">
        <v>0</v>
      </c>
      <c r="AIU19">
        <v>0</v>
      </c>
      <c r="AIV19">
        <v>0</v>
      </c>
      <c r="AIW19">
        <v>0</v>
      </c>
      <c r="AIX19">
        <v>0</v>
      </c>
      <c r="AIY19">
        <v>0</v>
      </c>
      <c r="AIZ19">
        <v>0</v>
      </c>
      <c r="AJA19">
        <v>0</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c r="ALO19">
        <v>0</v>
      </c>
      <c r="ALP19">
        <v>0</v>
      </c>
      <c r="ALQ19">
        <v>0</v>
      </c>
    </row>
    <row r="20" spans="1:1005" ht="15.75" customHeight="1">
      <c r="A20" s="86" t="s">
        <v>378</v>
      </c>
      <c r="B20" s="87" t="s">
        <v>29</v>
      </c>
      <c r="C20" s="95" t="s">
        <v>68</v>
      </c>
      <c r="D20" s="87" t="s">
        <v>97</v>
      </c>
      <c r="E20" s="202" t="s">
        <v>799</v>
      </c>
      <c r="F20" t="str">
        <f t="array" ref="F20:ALQ20" ca="1">TRANSPOSE(Filtered!Q2:Q1005)</f>
        <v>Not specified</v>
      </c>
      <c r="G20" t="str">
        <f ca="1"/>
        <v>Authors select a new journal; manuscript Transfer
 simplifies and shortens manuscript submission to another ACS journal, as all the coauthors,
 suggested reviewers, manuscript files, and responses to submission questions are copied to the
 new submission.</v>
      </c>
      <c r="H20" t="str">
        <f ca="1"/>
        <v>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I20" t="str">
        <f ca="1"/>
        <v>If the manuscript has been peer reviewed, the reviews and the reviewer identities will be transferred to the next journal. If authors do not wish to share the reviews, they should decline the offer to transfer the submission. Sharing the editor’s decision letter and manuscript reviews, if available, may shorten the decision time in the next journal. However, the editor of the next journal may still elect to send the manuscript out for additional peer review. The ACS editor’s decision letter is always shared with the next journal. If authors do not wish to share the editor’s decision letter, they should decline the offer to transfer the submission.</v>
      </c>
      <c r="J20" t="str">
        <f ca="1"/>
        <v/>
      </c>
      <c r="K20" t="str">
        <f ca="1"/>
        <v>[To other ACS journals] If the manuscript has been peer reviewed, the reviews and the reviewer identities will be transferred to the next journal. If authors do not wish to share the reviews, they should decline the offer to transfer the submission.</v>
      </c>
      <c r="L20" t="str">
        <f ca="1"/>
        <v/>
      </c>
      <c r="M20" t="str">
        <f ca="1"/>
        <v/>
      </c>
      <c r="N20" t="str">
        <f ca="1"/>
        <v/>
      </c>
      <c r="O20" t="str">
        <f ca="1"/>
        <v/>
      </c>
      <c r="P20" t="str">
        <f ca="1"/>
        <v/>
      </c>
      <c r="Q20" t="str">
        <f ca="1"/>
        <v/>
      </c>
      <c r="R20" t="str">
        <f ca="1"/>
        <v/>
      </c>
      <c r="S20" t="str">
        <f ca="1"/>
        <v/>
      </c>
      <c r="T20" t="str">
        <f ca="1"/>
        <v/>
      </c>
      <c r="U20" t="str">
        <f ca="1"/>
        <v/>
      </c>
      <c r="V20" t="str">
        <f ca="1"/>
        <v/>
      </c>
      <c r="W20" t="str">
        <f ca="1"/>
        <v>Authors are given the option of nominating other journals from BMJ to which they would like their manuscript passed if it is rejected for publication by their first choice.</v>
      </c>
      <c r="X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Y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Z20" t="str">
        <f ca="1"/>
        <v>Not specified</v>
      </c>
      <c r="AA20" t="str">
        <f ca="1"/>
        <v>If your manuscript is not accepted for publication in APL, an editor may recommend a transfer to AIP Advances for immediate consideration. AIP Advances is a peer-reviewed, fully open access journal covering all areas of the physical sciences. Articles published in the journal are always freely accessible to download without a subscription. If you choose to transfer your manuscript to AIP Advances, all reviewer reports and editor recommendations will be transferred along with the manuscript. Once transferred, your article may be published online within 14 days, depending on the initial reviewer feedback and editor’s decision. This option may save you up to eight months because you do not have to resubmit your manuscript for review. For more information about AIP Advances, visit http://aip.scitation.org/journal/adv.</v>
      </c>
      <c r="AB20" t="str">
        <f ca="1"/>
        <v>Not specified</v>
      </c>
      <c r="AC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AD20" t="str">
        <f ca="1"/>
        <v>Not specified</v>
      </c>
      <c r="AE20" s="93" t="str">
        <f ca="1"/>
        <v>Internal transfer: “Authors are given the option of nominating other journals from BMJ to which they would like their manuscript passed if it is rejected for publication by their first choice. This may result in the paper being resubmitted to other journals from BMJ in succession. If the author of the manuscript you reviewed has taken up this option, your review will be passed on to the editor(s) of the nominated journal(s) along with the manuscript and you might be invited to review a revised version. If the article is selected for publication in another journal from BMJ, your review may also be published (depending on the editorial policy of the journal in question). You will be contacted for your permission before this happens.” — https://authors.bmj.com/policies/peer-review-terms-and-conditions/ &amp; External transfer: “For rejected research papers, we expect that authors will keep the identity and comments of peer reviewers confidential. They may, however, share the peer review comments (though not peer reviewer names) in confidence with other journals. — https://www.bmj.com/about-bmj/publishing-model</v>
      </c>
      <c r="AF20" t="str">
        <f ca="1"/>
        <v>Relationship between Cell Press Journals
Cosubmission
If you think your paper might be suitable for two Cell Press journals, you can submit the paper for joint consideration. To do this, upload your manuscript to one of the journals. In your cover letter, indicate that you are seeking co-consideration and mention the name of the other journal. Each journal will evaluate the paper independently. If both journals decide to review the paper, they will agree on reviewers and will make independent decisions based on feedback from those reviewers.
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AG20" t="str">
        <f ca="1"/>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AH20" t="str">
        <f ca="1"/>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AI20" t="str">
        <f ca="1"/>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AJ20" t="str">
        <f ca="1"/>
        <v>Internal: Peer review reports may be shared by author when transferring to another journal in CellPress family or direct transfer may be invited by the editor. “The following materials will be made available to your new target journal: … The reviewer identities (note: reviewer identities are not transferred for EBiomedicine)… The peer review comments provided to you and cover comments to editor”</v>
      </c>
      <c r="AK20" t="str">
        <f ca="1"/>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AL20" t="str">
        <f ca="1"/>
        <v>Internal: “Sometimes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AM20" t="str">
        <f ca="1"/>
        <v>Internal: “When a paper is to be rejected from one Royal Society of Chemistry journal, then we would offer the author(s) the option to transfer the paper to one of our other journals for consideration, when this is appropriate….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v>
      </c>
      <c r="AN20" t="str">
        <f ca="1"/>
        <v>Sometimes an ACS journal editor finds that a submitted manuscript is more suitable for a different ACS journal. The Manuscript Transfer Service allows the author(s) to transfer the manuscript and submission details to another ACS journal without restarting the entire submission process… For manuscripts that have been peer reviewed, the reviews, reviewer identities, and ACS editor’s decision letter will also be provided to the next journal… If authors do not wish to share the reviews, they should decline the offer to transfer the submission.</v>
      </c>
      <c r="AO20" t="str">
        <f ca="1"/>
        <v/>
      </c>
      <c r="AP20" t="str">
        <f ca="1"/>
        <v/>
      </c>
      <c r="AQ20" t="str">
        <f ca="1"/>
        <v>Internal: “For authors of Research Articles that have been declined for publication at an AACR journal, the AACR offers the corresponding author the option to easily transfer his or her manuscript files and supporting information, such as peer review comments and reviewer identities, to a second AACR journal of his or her choice for consideration.”</v>
      </c>
      <c r="AR20" s="93" t="str">
        <f ca="1"/>
        <v>Internal: “This journal is part of our Article Transfer Service.” - Author guide (PDF link in notes) &amp;&amp; “Elsevier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v>
      </c>
      <c r="AS20" t="str">
        <f ca="1"/>
        <v/>
      </c>
      <c r="AT20" t="str">
        <f ca="1"/>
        <v/>
      </c>
      <c r="AU20" t="str">
        <f ca="1"/>
        <v>Internal: “If an Econometric Society journal forwards to us a request from an author to transfer the editorial file of an Econometrica submission (listing our reference number for the submission and the title), we will send the material to the journal, i.e., (i) the referee reports; (ii) decision letter; and - with the additional permission of individual referees - (iii) referees' names and (iv) cover letters. We ask the journals to honor our
 "conflict of interest" policies saying that referee reports on an author's paper should not be seen by co-editors”</v>
      </c>
      <c r="AV20" t="str">
        <f ca="1"/>
        <v>When a paper is to be rejected from one Royal Society of Chemistry journal, then we would offer the author(s) the option to transfer the paper to one of our other journals for consideration, when this is appropriate. This offer may occur during the initial assessment of a manuscript or after reports on it have been received from reviewers. As part of the peer review process, the reviewers are asked to comment whether the manuscript would be more appropriate for one of our other journals. If the manuscript already has reports from reviewers then the author will be asked to upload the revised files. These files should include a summary of any new work added and a point by point response to the reviewers’ comments. Authors should be aware that the reviewers’ comments are transferred to the editor of the receiving journal together with the manuscript files. On submission to the new journal, the manuscript will then be assessed by an editor as to whether further peer review will be necessary. The transfer process also reduces the burden on reviewers. A paper that has been rejected may be submitted by the author to another journal where it would undergo evaluation again. By transferring between journals here we would be able to consider the reports received already, although some additional review may be necessary. Full peer review is not always necessary thereby reducing the number of reviews required and allowing a decision to be reached more quickly.</v>
      </c>
      <c r="AW20" t="str">
        <f ca="1"/>
        <v>Once a transfer is accepted, authors will then complete the submission to the new journal in ACS Paragon Plus. During the submission process, they will have the opportunity to revise the manuscript and address comments received from editors or reviewers. Requirements of the new journal may be different, so authors should also check the Author Guidelines for the new journal and make any needed revisions in order to conform to those requirements. Please keep in mind that the reviews, reviewer identities, and decision letter will all be transferred to the new journal. Authors are encouraged to identify changes made to the manuscript in a cover letter for the new journal.</v>
      </c>
      <c r="AX20" t="str">
        <f ca="1"/>
        <v>If a manuscript is peer-reviewed by an ESC journal, yet deemed more appropriate for another specialty journal, and if the authors agree to their manuscript being shared within the ESC Journal Family, there will be no need for resubmission and the applicable reviewer comments will normally also be transferred, resulting in a reduced time to a decision.</v>
      </c>
      <c r="AY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AZ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A20" t="str">
        <f ca="1"/>
        <v/>
      </c>
      <c r="BB20" t="str">
        <f ca="1"/>
        <v>Not specified</v>
      </c>
      <c r="BC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D20" t="str">
        <f ca="1"/>
        <v>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v>
      </c>
      <c r="BE20" t="str">
        <f ca="1"/>
        <v>BMJ and the British Society of Gastroenterology have a facility for transferring manuscripts among their gastroenterology and hepatology journals. Authors submitting to the flagship journal Gut can choose Frontline Gastroenterology or BMJ Open Gastroenterology as an ‘alternate journal’. Once authors agree for their manuscript to be transferred to another BMJ journal, all versions of the manuscript, any supplementary files and peer review comments will automatically be transferred on the author’s behalf. Please note that there is no guarantee of acceptance. Contact the editorial team for more information or assistance.</v>
      </c>
      <c r="BF20" t="str">
        <f ca="1"/>
        <v/>
      </c>
      <c r="BG20" t="str">
        <f ca="1"/>
        <v/>
      </c>
      <c r="BH20" t="str">
        <f ca="1"/>
        <v/>
      </c>
      <c r="BI20" t="str">
        <f ca="1"/>
        <v/>
      </c>
      <c r="BJ20" t="str">
        <f ca="1"/>
        <v/>
      </c>
      <c r="BK20" t="str">
        <f ca="1"/>
        <v/>
      </c>
      <c r="BL20" t="str">
        <f ca="1"/>
        <v/>
      </c>
      <c r="BM20" t="str">
        <f ca="1"/>
        <v/>
      </c>
      <c r="BN20" t="str">
        <f ca="1"/>
        <v/>
      </c>
      <c r="BO20" t="str">
        <f ca="1"/>
        <v/>
      </c>
      <c r="BP20" t="str">
        <f ca="1"/>
        <v/>
      </c>
      <c r="BQ20" s="93" t="str">
        <f ca="1"/>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BR20" t="str">
        <f ca="1"/>
        <v/>
      </c>
      <c r="BS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T20" t="str">
        <f ca="1"/>
        <v>At the time of manuscript submission, authors may preselect the option to have their manuscript and reviewers' comments automatically referred to one of the JAMA Network specialty journals if the manuscript is not accepted by JAMA.</v>
      </c>
      <c r="BU20" t="str">
        <f ca="1"/>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BV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W20" t="str">
        <f ca="1"/>
        <v/>
      </c>
      <c r="BX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Y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BZ20" t="str">
        <f ca="1"/>
        <v/>
      </c>
      <c r="CA20" t="str">
        <f ca="1"/>
        <v/>
      </c>
      <c r="CB20" t="str">
        <f ca="1"/>
        <v>"As part of our service to authors, IOP Publishing offers a free article transfer service with each of our journals. If your submission to your initial journal of choice is unsuccessful, we may suggest another one of our titles for you to consider, which we believe is a more suitable home for your research. If you accept this suggestion, we will transfer all information relating to your article to the new journal (including referee reports if available), so your submission can be considered for publication by the new journal without delay."</v>
      </c>
      <c r="CC20" t="str">
        <f ca="1"/>
        <v/>
      </c>
      <c r="CD20" t="str">
        <f ca="1"/>
        <v>Unsure</v>
      </c>
      <c r="CE20" t="str">
        <f ca="1"/>
        <v>via Elsevier’s Article Transfer Service (ATS)</v>
      </c>
      <c r="CF20" t="str">
        <f ca="1"/>
        <v/>
      </c>
      <c r="CG20" t="str">
        <f ca="1"/>
        <v/>
      </c>
      <c r="CH20" t="str">
        <f ca="1"/>
        <v>"The Transfer Desk is our manuscript transfer service, which provides you with a convenient way of resubmitting your manuscript to a more suitable journal…."</v>
      </c>
      <c r="CI20" t="str">
        <f ca="1"/>
        <v>Unsure</v>
      </c>
      <c r="CJ20" t="str">
        <f ca="1"/>
        <v>"...Authors should be aware that the reviewers’ comments are transferred to the editor of the receiving journal together with the manuscript files. On submission to the new journal, the manuscript will then be assessed by an editor as to whether further peer review will be necessary."</v>
      </c>
      <c r="CK20" t="str">
        <f ca="1"/>
        <v>via Elsevier’s Article Transfer Service (ATS)</v>
      </c>
      <c r="CL20" t="str">
        <f ca="1"/>
        <v>"...For manuscripts that have been peer reviewed, the reviews, reviewer identities, and ACS editor’s decision letter will also be provided to the next journal."</v>
      </c>
      <c r="CM20" t="str">
        <f ca="1"/>
        <v/>
      </c>
      <c r="CN20" t="str">
        <f ca="1"/>
        <v/>
      </c>
      <c r="CO20" t="str">
        <f ca="1"/>
        <v/>
      </c>
      <c r="CP20" t="str">
        <f ca="1"/>
        <v/>
      </c>
      <c r="CQ20" t="str">
        <f ca="1"/>
        <v/>
      </c>
      <c r="CR20" t="str">
        <f ca="1"/>
        <v>via Elsevier’s Article Transfer Service (ATS)</v>
      </c>
      <c r="CS20" t="str">
        <f ca="1"/>
        <v/>
      </c>
      <c r="CT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CU20" t="str">
        <f ca="1"/>
        <v/>
      </c>
      <c r="CV20" t="str">
        <f ca="1"/>
        <v/>
      </c>
      <c r="CW20" t="str">
        <f ca="1"/>
        <v/>
      </c>
      <c r="CX20" t="str">
        <f ca="1"/>
        <v>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CY20" t="str">
        <f ca="1"/>
        <v/>
      </c>
      <c r="CZ20" t="str">
        <f ca="1"/>
        <v>Reviewers should give estimates of the scientific value of the work, together with some basis for their opinion. They should indicate whether the writing is clear, concise, and relevant. Personal comments should be avoided. Reviewers should realize that their reports may be transmitted by the authors to editors of other ACS journals. Existing Reviews Will Be Shared: If the manuscript has been peer reviewed, the reviews and the reviewer identities will be transferred to the next journal. If authors do not wish to share the reviews, they should decline the offer to transfer the submission.</v>
      </c>
      <c r="DA20" t="str">
        <f ca="1"/>
        <v>When a paper is to be rejected from one Royal Society of Chemistry journal, then we would offer the author(s) the option to transfer the paper to one of our other journals for consideration, when this is appropriate.</v>
      </c>
      <c r="DB20" t="str">
        <f ca="1"/>
        <v>In case a manuscript is transferred between Nature journals, all referee names along with their comments are transferred.</v>
      </c>
      <c r="DC20" t="str">
        <f ca="1"/>
        <v>In case a manuscript is transferred between Nature journals, all referee names along with their comments are transferred.</v>
      </c>
      <c r="DD20" t="str">
        <f ca="1"/>
        <v>In case a manuscript is transferred between Nature journals, all referee names along with their comments are transferred.</v>
      </c>
      <c r="DE20" t="str">
        <f ca="1"/>
        <v>In case a manuscript is transferred between Nature journals, all referee names along with their comments are transferred.</v>
      </c>
      <c r="DF20" t="str">
        <f ca="1"/>
        <v>In case a manuscript is transferred between Nature journals, all referee names along with their comments are transferred.</v>
      </c>
      <c r="DG20" t="str">
        <f ca="1"/>
        <v>In case a manuscript is transferred between Nature journals, all referee names along with their comments are transferred.</v>
      </c>
      <c r="DH20" t="str">
        <f ca="1"/>
        <v>In case a manuscript is transferred between Nature journals, all referee names along with their comments are transferred.</v>
      </c>
      <c r="DI20" t="str">
        <f ca="1"/>
        <v>In case a manuscript is transferred between Nature journals, all referee names along with their comments are transferred.</v>
      </c>
      <c r="DJ20" t="str">
        <f ca="1"/>
        <v>In case a manuscript is transferred between Nature journals, all referee names along with their comments are transferred.</v>
      </c>
      <c r="DK20" t="str">
        <f ca="1"/>
        <v>In case a manuscript is transferred between Nature journals, all referee names along with their comments are transferred.</v>
      </c>
      <c r="DL20" t="str">
        <f ca="1"/>
        <v>In case a manuscript is transferred between Nature journals, all referee names along with their comments are transferred.</v>
      </c>
      <c r="DM20" t="str">
        <f ca="1"/>
        <v>In case a manuscript is transferred between Nature journals, all referee names along with their comments are transferred.</v>
      </c>
      <c r="DN20" t="str">
        <f ca="1"/>
        <v>In case a manuscript is transferred between Nature journals, all referee names along with their comments are transferred.</v>
      </c>
      <c r="DO20" t="str">
        <f ca="1"/>
        <v>In case a manuscript is transferred between Nature journals, all referee names along with their comments are transferred.</v>
      </c>
      <c r="DP20" t="str">
        <f ca="1"/>
        <v>In case a manuscript is transferred between Nature journals, all referee names along with their comments are transferred.</v>
      </c>
      <c r="DQ20" t="str">
        <f ca="1"/>
        <v/>
      </c>
      <c r="DR20" t="str">
        <f ca="1"/>
        <v/>
      </c>
      <c r="DS20" t="str">
        <f ca="1"/>
        <v/>
      </c>
      <c r="DT20" t="str">
        <f ca="1"/>
        <v/>
      </c>
      <c r="DU20" t="str">
        <f ca="1"/>
        <v/>
      </c>
      <c r="DV20" t="str">
        <f ca="1"/>
        <v/>
      </c>
      <c r="DW20" t="str">
        <f ca="1"/>
        <v/>
      </c>
      <c r="DX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DY20" t="str">
        <f ca="1"/>
        <v>Transfer of Papers between Cell Press Journals
 We know it can be time consuming to serially submit your paper to multiple journals, restarting the review process each time. Cell Press publishes many journals, and we give you the opportunity to transfer your paper, along with the reviews and the reviewers' identities, from one journal to another. If you have questions about the suitability of your paper for transfer, please contact the editor of the receiving journal. If you have general questions about the transfer process, please refer to our FAQs on article transfers. Often, the Editor of the target journal will be able to reach a decision based on the existing reviews. Occasionally, the Editor may seek comments from additional reviewers. If you transfer your paper using our online system, you will have a chance to edit your files before they are sent to the receiving journal. You can always submit your paper to another Cell Press journal without mentioning the first review process. In this case, the manuscript will be evaluated as a regular new submission.</v>
      </c>
      <c r="DZ20" t="str">
        <f ca="1"/>
        <v/>
      </c>
      <c r="EA20" t="str">
        <f ca="1"/>
        <v/>
      </c>
      <c r="EB20" t="str">
        <f ca="1"/>
        <v/>
      </c>
      <c r="EC20" t="str">
        <f ca="1"/>
        <v/>
      </c>
      <c r="ED20" t="str">
        <f ca="1"/>
        <v/>
      </c>
      <c r="EE20" t="str">
        <f ca="1"/>
        <v>Transfers to Hospital Pediatrics: If your manuscript is not accepted by Pediatrics and the editors feel the topic is appropriate for Hospital Pediatrics, you will receive an email indicating that your manuscript is ready to transfer, along with additional instructions on how to proceed. Please note that if your manuscript has been reviewed by Pediatricsreviewers, those reviews will transfer to Hospital Pediatrics along with your manuscript. Your manuscript will undergo additional peer review by Hospital Pediatrics reviewers and editors. If you have any questions about this transfer, please contact the editorial office at PediatricsEditorial@aap.org.</v>
      </c>
      <c r="EF20" t="str">
        <f ca="1"/>
        <v/>
      </c>
      <c r="EG20" t="str">
        <f ca="1"/>
        <v>If a manuscript submitted to Physical Review B is on a topic not within its purview, but may be suitable for another Physical Review journal, the editors may transfer the paper to the appropriate journal and inform the author(s) of that transfer.</v>
      </c>
      <c r="EH20" t="str">
        <f ca="1"/>
        <v>If a manuscript submitted to Physical Review D is on a topic not within its purview, but may be suitable for another Physical Review journal, the editors may transfer the paper to the appropriate journal and inform the author(s) of that transfer.</v>
      </c>
      <c r="EI20" t="str">
        <f ca="1"/>
        <v/>
      </c>
      <c r="EJ20" t="str">
        <f ca="1"/>
        <v>Relationship to the other Physical Review journals
 Although a member of the Physical Review family of journals, Physical Review X is editorially independent of the other journals. Its editors make their own decisions on manuscripts under consideration by the journal.
 Procedurally, the Physical Review family journals, including Physical Review Letters and Physical Review X, allow transfer of a manuscript from one journal to another to take place, provided that the topic of the manuscript fits within the scope of the latter journal. However, the editors of that journal will make their own decision on the disposition of the transferred manuscript.
 Under this general policy, the editors of Physical Review X may reject the transferred manuscript without external review if they judge that the manuscript does not fulfill the journal's stringent acceptance criteria. Since the scope of Physical Review X is intended to be broader than what is currently covered by the other Physical Review journals, it is natural that Physical Review X may reconsider papers that have been rejected by the other Physical Review journals primarily for the reason of unmatched scope. In such cases, the editors of Physical Review X may seek external review of the transferred manuscript before reaching a final decision. In rare occasions and if the manuscript has been thoroughly vetted technically by the journal from which it is transferred, the editors of Physical Review X may accept the transferred manuscript for publication without additional external review, typically after consultation with the journal's editorial board.</v>
      </c>
      <c r="EK20" t="str">
        <f ca="1"/>
        <v>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EL20" t="str">
        <f ca="1"/>
        <v>Authors can request that submissions (with referee reports, if relevant) rejected from one PLOS journal be transferred to another PLOS journal for further consideration there. Manuscripts will never be transferred between the journals without an author’s consent.
 We trust that reviewers for any PLOS journal are willing to have their reviews considered by the editors of another PLOS journal.</v>
      </c>
      <c r="EM20" t="str">
        <f ca="1"/>
        <v>Not specified</v>
      </c>
      <c r="EN20" t="str">
        <f ca="1"/>
        <v/>
      </c>
      <c r="EO20" t="str">
        <f ca="1"/>
        <v/>
      </c>
      <c r="EP20" t="str">
        <f ca="1"/>
        <v/>
      </c>
      <c r="EQ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ER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ES20" t="str">
        <f ca="1"/>
        <v/>
      </c>
      <c r="ET20" t="str">
        <f ca="1"/>
        <v/>
      </c>
      <c r="EU20" t="str">
        <f ca="1"/>
        <v xml:space="preserve">Authors submitting to Science may elect to transfer to one of our other journals should the manuscript not be selected for publication at Science. Science editors will not see this choice until after the decision is made, and authors will be given the opportunity to confirm the choice before transfer is initiated. If a manuscript is rejected from Science with the option of transfer, we would be happy to transfer your submission from Science with no reformatting required. </v>
      </c>
      <c r="EV20" t="str">
        <f ca="1"/>
        <v/>
      </c>
      <c r="EW20" t="str">
        <f ca="1"/>
        <v>(1) Referee reports, whether signed or not, are subsequently shared with the other reviewers and with other Nature Research journals if the manuscript were to be transferred and (2) Reviewers may be asked to comment on the criticisms of other reviewers and on further revisions of the manuscript and identified reviewers may find these discussions more challenging.</v>
      </c>
      <c r="EX20" t="str">
        <f ca="1"/>
        <v>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v>
      </c>
      <c r="EY20" t="str">
        <f ca="1"/>
        <v/>
      </c>
      <c r="EZ20" t="str">
        <f ca="1"/>
        <v/>
      </c>
      <c r="FA20" t="str">
        <f ca="1"/>
        <v>Heliyon Partner Journal
 This journal has partnered with Heliyon, an open access journal from Elsevier publishing quality peer reviewed research across all disciplines. Heliyon’s team of experts provides editorial excellence, fast publication, and high visibility for your paper. Authors can quickly and easily transfer their research from a Partner Journal to Heliyon without the need to edit, reformat or resubmit.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FB20" t="str">
        <f ca="1"/>
        <v>Internal transfer: "Article transfer service This journal is part of our Article Transfer Service. This means that if the Editor feels your article is more suitable in one of our other participating journals, then you may be asked to consider transferring the article to one of those. If you agree, your article will be transferred automatically on your behalf with no need to reformat. Please note that your article will be reviewed again by the new journal. More information"</v>
      </c>
      <c r="FC20" t="str">
        <f ca="1"/>
        <v/>
      </c>
      <c r="FD20" t="str">
        <f ca="1"/>
        <v/>
      </c>
      <c r="FE20" t="str">
        <f ca="1"/>
        <v/>
      </c>
      <c r="FF20" t="str">
        <f ca="1"/>
        <v/>
      </c>
      <c r="FG20" t="str">
        <f ca="1"/>
        <v/>
      </c>
      <c r="FH20" t="str">
        <f ca="1"/>
        <v/>
      </c>
      <c r="FI20" t="str">
        <f ca="1"/>
        <v/>
      </c>
      <c r="FJ20" t="str">
        <f ca="1"/>
        <v>Manuscript Transfer
 If your submission is declined for publication by this journal, the editors might deem your work to be
 better suited for another ACS Publications journal and suggest that the authors consider transferring the
 submission. Manuscript Transfer simplifies and shortens the process of submitting to another ACS
 journal, as all the coauthors, suggested reviewers, manuscript files, and responses to submission
 questions are copied by ACS Paragon Plus to the new draft submission. Authors are free to accept or
 decline the transfer offer.
 Note that each journal is editorially independent. Transferring a manuscript is not a guarantee that the
 manuscript will be accepted, as the final publication decision will belong to the editor of the next
 journal</v>
      </c>
      <c r="FK20" t="str">
        <f ca="1"/>
        <v>Internal: "If your paper is rejected by The Lancet, we might judge it suitable to pass to other editors in the Lancet-group for consideration or to editors of other relevant journals within Elsevier’s portfolio"</v>
      </c>
      <c r="FL20" t="str">
        <f ca="1"/>
        <v>If your paper is rejected by The Lancet Neurology, we might judge it suitable to pass to other editors in the Lancet-group for consideration or to editors of other relevant journals within Elsevier’s portfolio</v>
      </c>
      <c r="FM20" t="str">
        <f ca="1"/>
        <v>If your paper is rejected by The Lancet Oncology, we might judge it suitable to pass it on to other editors in the Lancet-group for consideration, or to editors of other relevant journals within Elsevier's portfolio</v>
      </c>
      <c r="FN20" t="str">
        <f ca="1"/>
        <v/>
      </c>
      <c r="FO20" t="str">
        <f ca="1"/>
        <v/>
      </c>
      <c r="FP20" t="str">
        <f ca="1"/>
        <v/>
      </c>
      <c r="FQ20" t="str">
        <f ca="1"/>
        <v/>
      </c>
      <c r="FR20" t="str">
        <f ca="1"/>
        <v/>
      </c>
      <c r="FS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FT20" t="str">
        <f ca="1"/>
        <v>Elsevier authors can transfer their article submission from one journal to another for free if they are rejected, without the need to reformat, and often without needing further peer review. For this reason, reviewers are informed about the service and are asked for their consent for transferring their review report along with the manuscript to the receiver journal. Reviewers are given the option to reveal their identity to the editor of the receiver journal or stay anonymous. The benefits of manuscript review cascades are twofold: Reviewers are not asked to review the same manuscript several times for different journals. Authors do not need to spend additional time reformatting their manuscript.</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v>
      </c>
      <c r="ABD20">
        <v>0</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v>
      </c>
      <c r="AEE20">
        <v>0</v>
      </c>
      <c r="AEF20">
        <v>0</v>
      </c>
      <c r="AEG20">
        <v>0</v>
      </c>
      <c r="AEH20">
        <v>0</v>
      </c>
      <c r="AEI20">
        <v>0</v>
      </c>
      <c r="AEJ20">
        <v>0</v>
      </c>
      <c r="AEK20">
        <v>0</v>
      </c>
      <c r="AEL20">
        <v>0</v>
      </c>
      <c r="AEM20">
        <v>0</v>
      </c>
      <c r="AEN20">
        <v>0</v>
      </c>
      <c r="AEO20">
        <v>0</v>
      </c>
      <c r="AEP20">
        <v>0</v>
      </c>
      <c r="AEQ20">
        <v>0</v>
      </c>
      <c r="AER20">
        <v>0</v>
      </c>
      <c r="AES20">
        <v>0</v>
      </c>
      <c r="AET20">
        <v>0</v>
      </c>
      <c r="AEU20">
        <v>0</v>
      </c>
      <c r="AEV20">
        <v>0</v>
      </c>
      <c r="AEW20">
        <v>0</v>
      </c>
      <c r="AEX20">
        <v>0</v>
      </c>
      <c r="AEY20">
        <v>0</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0</v>
      </c>
      <c r="AGJ20">
        <v>0</v>
      </c>
      <c r="AGK20">
        <v>0</v>
      </c>
      <c r="AGL20">
        <v>0</v>
      </c>
      <c r="AGM20">
        <v>0</v>
      </c>
      <c r="AGN20">
        <v>0</v>
      </c>
      <c r="AGO20">
        <v>0</v>
      </c>
      <c r="AGP20">
        <v>0</v>
      </c>
      <c r="AGQ20">
        <v>0</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v>
      </c>
      <c r="AHP20">
        <v>0</v>
      </c>
      <c r="AHQ20">
        <v>0</v>
      </c>
      <c r="AHR20">
        <v>0</v>
      </c>
      <c r="AHS20">
        <v>0</v>
      </c>
      <c r="AHT20">
        <v>0</v>
      </c>
      <c r="AHU20">
        <v>0</v>
      </c>
      <c r="AHV20">
        <v>0</v>
      </c>
      <c r="AHW20">
        <v>0</v>
      </c>
      <c r="AHX20">
        <v>0</v>
      </c>
      <c r="AHY20">
        <v>0</v>
      </c>
      <c r="AHZ20">
        <v>0</v>
      </c>
      <c r="AIA20">
        <v>0</v>
      </c>
      <c r="AIB20">
        <v>0</v>
      </c>
      <c r="AIC20">
        <v>0</v>
      </c>
      <c r="AID20">
        <v>0</v>
      </c>
      <c r="AIE20">
        <v>0</v>
      </c>
      <c r="AIF20">
        <v>0</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v>
      </c>
      <c r="AIZ20">
        <v>0</v>
      </c>
      <c r="AJA20">
        <v>0</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0</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c r="ALO20">
        <v>0</v>
      </c>
      <c r="ALP20">
        <v>0</v>
      </c>
      <c r="ALQ20">
        <v>0</v>
      </c>
    </row>
    <row r="21" spans="1:1005" ht="42">
      <c r="A21" s="86" t="s">
        <v>378</v>
      </c>
      <c r="B21" s="87" t="s">
        <v>30</v>
      </c>
      <c r="C21" s="95" t="s">
        <v>69</v>
      </c>
      <c r="D21" s="87" t="s">
        <v>273</v>
      </c>
      <c r="E21" s="98" t="s">
        <v>843</v>
      </c>
      <c r="F21" t="str">
        <f t="array" ref="F21:ALQ21" ca="1">TRANSPOSE(Filtered!R2:R1005)</f>
        <v>Not specified</v>
      </c>
      <c r="G21" s="93" t="str">
        <f ca="1"/>
        <v>https://pubs.acs.org/paragonplus/submission/aamick/aamick_authguide.pdf</v>
      </c>
      <c r="H21" t="str">
        <f ca="1"/>
        <v>https://pubs.acs.org/paragonplus/submission/achre4/achre4_authguide.pdf, https://pubs.acs.org/page/policy/manuscript_transfer/index.html</v>
      </c>
      <c r="I21" s="93" t="str">
        <f ca="1"/>
        <v>https://pubs.acs.org/page/policy/manuscript_transfer/index.html</v>
      </c>
      <c r="J21" t="str">
        <f ca="1"/>
        <v/>
      </c>
      <c r="K21" s="93" t="str">
        <f ca="1"/>
        <v>https://pubs.acs.org/page/policy/manuscript_transfer/index.html</v>
      </c>
      <c r="L21" t="str">
        <f ca="1"/>
        <v/>
      </c>
      <c r="M21" t="str">
        <f ca="1"/>
        <v/>
      </c>
      <c r="N21" t="str">
        <f ca="1"/>
        <v/>
      </c>
      <c r="O21" t="str">
        <f ca="1"/>
        <v/>
      </c>
      <c r="P21" t="str">
        <f ca="1"/>
        <v/>
      </c>
      <c r="Q21" t="str">
        <f ca="1"/>
        <v/>
      </c>
      <c r="R21" t="str">
        <f ca="1"/>
        <v/>
      </c>
      <c r="S21" t="str">
        <f ca="1"/>
        <v/>
      </c>
      <c r="T21" t="str">
        <f ca="1"/>
        <v/>
      </c>
      <c r="U21" t="str">
        <f ca="1"/>
        <v/>
      </c>
      <c r="V21" t="str">
        <f ca="1"/>
        <v/>
      </c>
      <c r="W21" s="93" t="str">
        <f ca="1"/>
        <v>https://authors.bmj.com/policies/peer-review-terms-and-conditions/</v>
      </c>
      <c r="X21" s="93" t="str">
        <f ca="1"/>
        <v>https://www.elsevier.com/reviewers/what-is-peer-review</v>
      </c>
      <c r="Y21" s="93" t="str">
        <f ca="1"/>
        <v>https://www.elsevier.com/reviewers/what-is-peer-review</v>
      </c>
      <c r="Z21" t="str">
        <f ca="1"/>
        <v/>
      </c>
      <c r="AA21" s="93" t="str">
        <f ca="1"/>
        <v>https://aip.scitation.org/apl/info/policies</v>
      </c>
      <c r="AB21" t="str">
        <f ca="1"/>
        <v/>
      </c>
      <c r="AC21" s="93" t="str">
        <f ca="1"/>
        <v>https://www.elsevier.com/reviewers/what-is-peer-review</v>
      </c>
      <c r="AD21" t="str">
        <f ca="1"/>
        <v/>
      </c>
      <c r="AE21" s="93" t="str">
        <f ca="1"/>
        <v>https://authors.bmj.com/policies/peer-review-terms-and-conditions/</v>
      </c>
      <c r="AF21" s="93" t="str">
        <f ca="1"/>
        <v>https://www.cell.com/cancer-cell/articletransfer</v>
      </c>
      <c r="AG21" s="93" t="str">
        <f ca="1"/>
        <v>http://aacrjournals.org/content/authors/manuscript-transfer</v>
      </c>
      <c r="AH21" s="93" t="str">
        <f ca="1"/>
        <v>https://www.cell.com/cell/articletransfer</v>
      </c>
      <c r="AI21" s="93" t="str">
        <f ca="1"/>
        <v>https://www.cell.com/cell-metabolism/articletransfer</v>
      </c>
      <c r="AJ21" s="93" t="str">
        <f ca="1"/>
        <v>https://www.cell.com/cell-stem-cell/articletransfer</v>
      </c>
      <c r="AK21" s="93" t="str">
        <f ca="1"/>
        <v>http://www.rsc.org/journals-books-databases/journal-authors-reviewers/processes-policies/#transfers</v>
      </c>
      <c r="AL21" s="93" t="str">
        <f ca="1"/>
        <v>https://pubs.acs.org/page/policy/manuscript_transfer/index.html</v>
      </c>
      <c r="AM21" s="93" t="str">
        <f ca="1"/>
        <v>http://www.rsc.org/journals-books-databases/journal-authors-reviewers/processes-policies/#transfers</v>
      </c>
      <c r="AN21" s="93" t="str">
        <f ca="1"/>
        <v>https://pubs.acs.org/page/policy/manuscript_transfer/index.html</v>
      </c>
      <c r="AO21" t="str">
        <f ca="1"/>
        <v/>
      </c>
      <c r="AP21" t="str">
        <f ca="1"/>
        <v/>
      </c>
      <c r="AQ21" s="93" t="str">
        <f ca="1"/>
        <v>http://aacrjournals.org/content/authors/manuscript-transfer</v>
      </c>
      <c r="AR21" s="93" t="str">
        <f ca="1"/>
        <v>https://www.elsevier.com/reviewers/what-is-peer-review</v>
      </c>
      <c r="AS21" t="str">
        <f ca="1"/>
        <v/>
      </c>
      <c r="AT21" t="str">
        <f ca="1"/>
        <v/>
      </c>
      <c r="AU21" s="93" t="str">
        <f ca="1"/>
        <v>https://www.econometricsociety.org/publications/econometrica/information-authors/editorial-procedures-and-policies#sharing</v>
      </c>
      <c r="AV21" s="93" t="str">
        <f ca="1"/>
        <v>https://www.rsc.org/journals-books-databases/journal-authors-reviewers/processes-policies/#transfers</v>
      </c>
      <c r="AW21" s="93" t="str">
        <f ca="1"/>
        <v>https://pubs.acs.org/paragonplus/submission/esthag/esthag_authguide.pdf</v>
      </c>
      <c r="AX21" s="93" t="str">
        <f ca="1"/>
        <v>https://academic.oup.com/eurheartj/pages/Manuscript_Sharing</v>
      </c>
      <c r="AY21" s="93" t="str">
        <f ca="1"/>
        <v>https://www.elsevier.com/reviewers/what-is-peer-review</v>
      </c>
      <c r="AZ21" s="93" t="str">
        <f ca="1"/>
        <v>https://www.elsevier.com/reviewers/what-is-peer-review</v>
      </c>
      <c r="BA21" t="str">
        <f ca="1"/>
        <v/>
      </c>
      <c r="BB21" t="str">
        <f ca="1"/>
        <v/>
      </c>
      <c r="BC21" s="93" t="str">
        <f ca="1"/>
        <v>https://www.elsevier.com/reviewers/what-is-peer-review</v>
      </c>
      <c r="BD21" s="93" t="str">
        <f ca="1"/>
        <v>https://www.journals.elsevier.com/government-information-quarterly/announcements</v>
      </c>
      <c r="BE21" s="93" t="str">
        <f ca="1"/>
        <v>https://gut.bmj.com/pages/authors/#manuscript_transfer</v>
      </c>
      <c r="BF21" t="str">
        <f ca="1"/>
        <v/>
      </c>
      <c r="BG21" t="str">
        <f ca="1"/>
        <v/>
      </c>
      <c r="BH21" t="str">
        <f ca="1"/>
        <v/>
      </c>
      <c r="BI21" t="str">
        <f ca="1"/>
        <v/>
      </c>
      <c r="BJ21" t="str">
        <f ca="1"/>
        <v/>
      </c>
      <c r="BK21" t="str">
        <f ca="1"/>
        <v/>
      </c>
      <c r="BL21" t="str">
        <f ca="1"/>
        <v/>
      </c>
      <c r="BM21" t="str">
        <f ca="1"/>
        <v/>
      </c>
      <c r="BN21" t="str">
        <f ca="1"/>
        <v/>
      </c>
      <c r="BO21" t="str">
        <f ca="1"/>
        <v/>
      </c>
      <c r="BP21" t="str">
        <f ca="1"/>
        <v/>
      </c>
      <c r="BQ21" t="str">
        <f ca="1"/>
        <v>https://www.cell.com/immunity/authors
https://www.cell.com/immunity/articletransfer</v>
      </c>
      <c r="BR21" t="str">
        <f ca="1"/>
        <v/>
      </c>
      <c r="BS21" s="93" t="str">
        <f ca="1"/>
        <v>https://www.elsevier.com/reviewers/what-is-peer-review</v>
      </c>
      <c r="BT21" s="93" t="str">
        <f ca="1"/>
        <v>https://jamanetwork.com/journals/jama/pages/instructions-for-authors</v>
      </c>
      <c r="BU21" s="93" t="str">
        <f ca="1"/>
        <v>https://www.elsevier.com/authors/journal-authors/submit-your-paper/submit-and-revise/article-transfer-service</v>
      </c>
      <c r="BV21" s="93" t="str">
        <f ca="1"/>
        <v>https://www.elsevier.com/reviewers/what-is-peer-review</v>
      </c>
      <c r="BW21" t="str">
        <f ca="1"/>
        <v/>
      </c>
      <c r="BX21" s="93" t="str">
        <f ca="1"/>
        <v>https://www.elsevier.com/reviewers/what-is-peer-review</v>
      </c>
      <c r="BY21" s="93" t="str">
        <f ca="1"/>
        <v>https://www.elsevier.com/reviewers/what-is-peer-review</v>
      </c>
      <c r="BZ21" t="str">
        <f ca="1"/>
        <v/>
      </c>
      <c r="CA21" t="str">
        <f ca="1"/>
        <v/>
      </c>
      <c r="CB21" s="93" t="str">
        <f ca="1"/>
        <v>https://publishingsupport.iopscience.iop.org/questions/article-transfer-service/</v>
      </c>
      <c r="CC21" t="str">
        <f ca="1"/>
        <v/>
      </c>
      <c r="CD21" t="str">
        <f ca="1"/>
        <v/>
      </c>
      <c r="CE21" s="93" t="str">
        <f ca="1"/>
        <v>https://www.elsevier.com/authors/journal-authors/submit-your-paper/submit-and-revise/article-transfer-service</v>
      </c>
      <c r="CF21" t="str">
        <f ca="1"/>
        <v/>
      </c>
      <c r="CG21" t="str">
        <f ca="1"/>
        <v/>
      </c>
      <c r="CH21" s="93" t="str">
        <f ca="1"/>
        <v>https://www.springer.com/us/authors-editors/journal-author/the-springer-transfer-desk</v>
      </c>
      <c r="CI21" t="str">
        <f ca="1"/>
        <v/>
      </c>
      <c r="CJ21" s="93" t="str">
        <f ca="1"/>
        <v>http://www.rsc.org/journals-books-databases/journal-authors-reviewers/processes-policies/#transfers</v>
      </c>
      <c r="CK21" s="93" t="str">
        <f ca="1"/>
        <v>https://www.elsevier.com/authors/journal-authors/submit-your-paper/submit-and-revise/article-transfer-service</v>
      </c>
      <c r="CL21" s="93" t="str">
        <f ca="1"/>
        <v>https://pubs.acs.org/page/policy/manuscript_transfer/index.html</v>
      </c>
      <c r="CM21" t="str">
        <f ca="1"/>
        <v/>
      </c>
      <c r="CN21" t="str">
        <f ca="1"/>
        <v/>
      </c>
      <c r="CO21" t="str">
        <f ca="1"/>
        <v/>
      </c>
      <c r="CP21" t="str">
        <f ca="1"/>
        <v/>
      </c>
      <c r="CQ21" t="str">
        <f ca="1"/>
        <v/>
      </c>
      <c r="CR21" s="93" t="str">
        <f ca="1"/>
        <v>https://www.elsevier.com/authors/journal-authors/submit-your-paper/submit-and-revise/article-transfer-service</v>
      </c>
      <c r="CS21" t="str">
        <f ca="1"/>
        <v/>
      </c>
      <c r="CT21" s="93" t="str">
        <f ca="1"/>
        <v>https://www.elsevier.com/reviewers/what-is-peer-review</v>
      </c>
      <c r="CU21" t="str">
        <f ca="1"/>
        <v/>
      </c>
      <c r="CV21" t="str">
        <f ca="1"/>
        <v/>
      </c>
      <c r="CW21" t="str">
        <f ca="1"/>
        <v/>
      </c>
      <c r="CX21" s="93" t="str">
        <f ca="1"/>
        <v>https://www.cell.com/molecular-cell/authors</v>
      </c>
      <c r="CY21" t="str">
        <f ca="1"/>
        <v/>
      </c>
      <c r="CZ21" s="93" t="str">
        <f ca="1"/>
        <v>https://pubs.acs.org/page/policy/manuscript_transfer/index.html</v>
      </c>
      <c r="DA21" t="str">
        <f ca="1"/>
        <v>When a paper is to be rejected from one Royal Society of Chemistry journal, then we would offer the author(s) the option to transfer the paper to one of our other journals for consideration, when this is appropriate.</v>
      </c>
      <c r="DB21" s="93" t="str">
        <f ca="1"/>
        <v>https://www.nature.com/authors/author_resources/transfer_manuscripts.html</v>
      </c>
      <c r="DC21" s="93" t="str">
        <f ca="1"/>
        <v>https://www.nature.com/authors/author_resources/transfer_manuscripts.html</v>
      </c>
      <c r="DD21" s="93" t="str">
        <f ca="1"/>
        <v>https://www.nature.com/authors/author_resources/transfer_manuscripts.html</v>
      </c>
      <c r="DE21" s="93" t="str">
        <f ca="1"/>
        <v>https://www.nature.com/authors/author_resources/transfer_manuscripts.html</v>
      </c>
      <c r="DF21" s="93" t="str">
        <f ca="1"/>
        <v>https://www.nature.com/authors/author_resources/transfer_manuscripts.html</v>
      </c>
      <c r="DG21" s="93" t="str">
        <f ca="1"/>
        <v>https://www.nature.com/authors/author_resources/transfer_manuscripts.html</v>
      </c>
      <c r="DH21" s="93" t="str">
        <f ca="1"/>
        <v>https://www.nature.com/authors/author_resources/transfer_manuscripts.html</v>
      </c>
      <c r="DI21" s="93" t="str">
        <f ca="1"/>
        <v>https://www.nature.com/authors/author_resources/transfer_manuscripts.html</v>
      </c>
      <c r="DJ21" s="93" t="str">
        <f ca="1"/>
        <v>https://www.nature.com/authors/author_resources/transfer_manuscripts.html</v>
      </c>
      <c r="DK21" s="93" t="str">
        <f ca="1"/>
        <v>https://www.nature.com/authors/author_resources/transfer_manuscripts.html</v>
      </c>
      <c r="DL21" s="93" t="str">
        <f ca="1"/>
        <v>https://www.nature.com/authors/author_resources/transfer_manuscripts.html</v>
      </c>
      <c r="DM21" s="93" t="str">
        <f ca="1"/>
        <v>https://www.nature.com/authors/author_resources/transfer_manuscripts.html</v>
      </c>
      <c r="DN21" s="93" t="str">
        <f ca="1"/>
        <v>https://www.nature.com/authors/author_resources/transfer_manuscripts.html</v>
      </c>
      <c r="DO21" s="93" t="str">
        <f ca="1"/>
        <v>https://www.nature.com/authors/author_resources/transfer_manuscripts.html</v>
      </c>
      <c r="DP21" s="93" t="str">
        <f ca="1"/>
        <v>https://www.nature.com/authors/author_resources/transfer_manuscripts.html</v>
      </c>
      <c r="DQ21" t="str">
        <f ca="1"/>
        <v/>
      </c>
      <c r="DR21" t="str">
        <f ca="1"/>
        <v/>
      </c>
      <c r="DS21" t="str">
        <f ca="1"/>
        <v/>
      </c>
      <c r="DT21" t="str">
        <f ca="1"/>
        <v/>
      </c>
      <c r="DU21" t="str">
        <f ca="1"/>
        <v/>
      </c>
      <c r="DV21" t="str">
        <f ca="1"/>
        <v/>
      </c>
      <c r="DW21" t="str">
        <f ca="1"/>
        <v/>
      </c>
      <c r="DX21" s="93" t="str">
        <f ca="1"/>
        <v>https://www.elsevier.com/reviewers/what-is-peer-review</v>
      </c>
      <c r="DY21" s="93" t="str">
        <f ca="1"/>
        <v>https://www.cell.com/neuron/authors</v>
      </c>
      <c r="DZ21" t="str">
        <f ca="1"/>
        <v/>
      </c>
      <c r="EA21" t="str">
        <f ca="1"/>
        <v/>
      </c>
      <c r="EB21" t="str">
        <f ca="1"/>
        <v/>
      </c>
      <c r="EC21" t="str">
        <f ca="1"/>
        <v/>
      </c>
      <c r="ED21" t="str">
        <f ca="1"/>
        <v/>
      </c>
      <c r="EE21" s="93" t="str">
        <f ca="1"/>
        <v>http://www.aappublications.org/content/pediatrics-author-guidelines</v>
      </c>
      <c r="EF21" t="str">
        <f ca="1"/>
        <v/>
      </c>
      <c r="EG21" s="93" t="str">
        <f ca="1"/>
        <v>https://journals.aps.org/prb/authors/editorial-policies-practices#guide</v>
      </c>
      <c r="EH21" s="93" t="str">
        <f ca="1"/>
        <v>https://journals.aps.org/prd/authors/editorial-policies-practices#sub</v>
      </c>
      <c r="EI21" t="str">
        <f ca="1"/>
        <v/>
      </c>
      <c r="EJ21" s="93" t="str">
        <f ca="1"/>
        <v>https://journals.aps.org/prx/authors/editorial-policies-practices</v>
      </c>
      <c r="EK21" s="93" t="str">
        <f ca="1"/>
        <v>https://www.elsevier.com/journals/physics-letters-b/0370-2693/guide-for-authors</v>
      </c>
      <c r="EL21" s="93" t="str">
        <f ca="1"/>
        <v>https://journals.plos.org/plosone/s/editorial-and-peer-review-process</v>
      </c>
      <c r="EM21" t="str">
        <f ca="1"/>
        <v>Not specified</v>
      </c>
      <c r="EN21" t="str">
        <f ca="1"/>
        <v/>
      </c>
      <c r="EO21" t="str">
        <f ca="1"/>
        <v/>
      </c>
      <c r="EP21" t="str">
        <f ca="1"/>
        <v/>
      </c>
      <c r="EQ21" s="93" t="str">
        <f ca="1"/>
        <v>https://www.elsevier.com/reviewers/what-is-peer-review</v>
      </c>
      <c r="ER21" s="93" t="str">
        <f ca="1"/>
        <v>https://www.elsevier.com/reviewers/what-is-peer-review</v>
      </c>
      <c r="ES21" t="str">
        <f ca="1"/>
        <v/>
      </c>
      <c r="ET21" t="str">
        <f ca="1"/>
        <v/>
      </c>
      <c r="EU21" s="93" t="str">
        <f ca="1"/>
        <v>https://www.sciencemag.org/authors/science-information-authors</v>
      </c>
      <c r="EV21" t="str">
        <f ca="1"/>
        <v/>
      </c>
      <c r="EW21" s="93" t="str">
        <f ca="1"/>
        <v>https://www.nature.com/authors/author_resources/transfer_manuscripts.html</v>
      </c>
      <c r="EX21" s="93" t="str">
        <f ca="1"/>
        <v>https://www.elsevier.com/journals/social-science-and-medicine/0277-9536/guide-for-authors</v>
      </c>
      <c r="EY21" t="str">
        <f ca="1"/>
        <v/>
      </c>
      <c r="EZ21" t="str">
        <f ca="1"/>
        <v/>
      </c>
      <c r="FA21" t="str">
        <f ca="1"/>
        <v/>
      </c>
      <c r="FB21" s="93" t="str">
        <f ca="1"/>
        <v>https://www.elsevier.com/journals/teaching-and-teacher-education/0742-051x/guide-for-authors</v>
      </c>
      <c r="FC21" t="str">
        <f ca="1"/>
        <v/>
      </c>
      <c r="FD21" t="str">
        <f ca="1"/>
        <v/>
      </c>
      <c r="FE21" t="str">
        <f ca="1"/>
        <v/>
      </c>
      <c r="FF21" t="str">
        <f ca="1"/>
        <v/>
      </c>
      <c r="FG21" t="str">
        <f ca="1"/>
        <v/>
      </c>
      <c r="FH21" t="str">
        <f ca="1"/>
        <v/>
      </c>
      <c r="FI21" t="str">
        <f ca="1"/>
        <v/>
      </c>
      <c r="FJ21" s="93" t="str">
        <f ca="1"/>
        <v>http://pubs.acs.org/paragonplus/submission/jpclcd/jpclcd_authguide.pdf</v>
      </c>
      <c r="FK21" s="93" t="str">
        <f ca="1"/>
        <v>https://www.thelancet.com/pb/assets/raw/Lancet/authors/lancet-information-for-authors.pdf</v>
      </c>
      <c r="FL21" s="93" t="str">
        <f ca="1"/>
        <v>https://els-jbs-prod-cdn.literatumonline.com/pb/assets/raw/Lancet/authors/tln-info-for-authors-1541596047120.pdf</v>
      </c>
      <c r="FM21" s="93" t="str">
        <f ca="1"/>
        <v>https://els-jbs-prod-cdn.literatumonline.com/pb/assets/raw/Lancet/authors/tlo-info-for-authors-1541596062097.pdf</v>
      </c>
      <c r="FN21" t="str">
        <f ca="1"/>
        <v/>
      </c>
      <c r="FO21" t="str">
        <f ca="1"/>
        <v/>
      </c>
      <c r="FP21" t="str">
        <f ca="1"/>
        <v/>
      </c>
      <c r="FQ21" t="str">
        <f ca="1"/>
        <v/>
      </c>
      <c r="FR21" t="str">
        <f ca="1"/>
        <v/>
      </c>
      <c r="FS21" s="93" t="str">
        <f ca="1"/>
        <v>https://www.elsevier.com/reviewers/what-is-peer-review</v>
      </c>
      <c r="FT21" s="93" t="str">
        <f ca="1"/>
        <v>https://www.elsevier.com/reviewers/what-is-peer-review</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row>
    <row r="22" spans="1:1005" ht="196">
      <c r="A22" s="325" t="s">
        <v>912</v>
      </c>
      <c r="B22" s="326" t="s">
        <v>31</v>
      </c>
      <c r="C22" s="328" t="s">
        <v>913</v>
      </c>
      <c r="D22" s="631" t="s">
        <v>915</v>
      </c>
      <c r="E22" s="329" t="s">
        <v>916</v>
      </c>
      <c r="F22" t="str">
        <f t="array" ref="F22:ALQ22" ca="1">TRANSPOSE(Filtered!S2:S1005)</f>
        <v>Not specified</v>
      </c>
      <c r="G22" t="str">
        <f ca="1"/>
        <v>Not specified</v>
      </c>
      <c r="H22" t="str">
        <f ca="1"/>
        <v>Not specified</v>
      </c>
      <c r="I22" t="str">
        <f ca="1"/>
        <v>Not specified</v>
      </c>
      <c r="J22" t="str">
        <f ca="1"/>
        <v>Not specified</v>
      </c>
      <c r="K22" t="str">
        <f ca="1"/>
        <v>Not specified</v>
      </c>
      <c r="L22" t="str">
        <f ca="1"/>
        <v>Not specified</v>
      </c>
      <c r="M22" t="str">
        <f ca="1"/>
        <v>Not specified</v>
      </c>
      <c r="N22" t="str">
        <f ca="1"/>
        <v>Not specified</v>
      </c>
      <c r="O22" t="str">
        <f ca="1"/>
        <v>Not specified</v>
      </c>
      <c r="P22" t="str">
        <f ca="1"/>
        <v>Not specified</v>
      </c>
      <c r="Q22" t="str">
        <f ca="1"/>
        <v>Not specified</v>
      </c>
      <c r="R22" t="str">
        <f ca="1"/>
        <v>Not specified</v>
      </c>
      <c r="S22" t="str">
        <f ca="1"/>
        <v>Not specified</v>
      </c>
      <c r="T22" t="str">
        <f ca="1"/>
        <v>Not specified</v>
      </c>
      <c r="U22" t="str">
        <f ca="1"/>
        <v>Not specified</v>
      </c>
      <c r="V22" t="str">
        <f ca="1"/>
        <v>Not specified</v>
      </c>
      <c r="W22" t="str">
        <f ca="1"/>
        <v>Not specified</v>
      </c>
      <c r="X22" t="str">
        <f ca="1"/>
        <v>Not specified</v>
      </c>
      <c r="Y22" t="str">
        <f ca="1"/>
        <v>Not specified</v>
      </c>
      <c r="Z22" t="str">
        <f ca="1"/>
        <v>No</v>
      </c>
      <c r="AA22" t="str">
        <f ca="1"/>
        <v>Not specified</v>
      </c>
      <c r="AB22" t="str">
        <f ca="1"/>
        <v>Not specified</v>
      </c>
      <c r="AC22" t="str">
        <f ca="1"/>
        <v>No</v>
      </c>
      <c r="AD22" t="str">
        <f ca="1"/>
        <v>Not specified</v>
      </c>
      <c r="AE22" t="str">
        <f ca="1"/>
        <v>Conditional; Free to read (not paywalled)</v>
      </c>
      <c r="AF22" t="str">
        <f ca="1"/>
        <v>Not specified</v>
      </c>
      <c r="AG22" t="str">
        <f ca="1"/>
        <v>Not specified</v>
      </c>
      <c r="AH22" t="str">
        <f ca="1"/>
        <v>Not specified</v>
      </c>
      <c r="AI22" t="str">
        <f ca="1"/>
        <v>Not specified</v>
      </c>
      <c r="AJ22" t="str">
        <f ca="1"/>
        <v>Not specified</v>
      </c>
      <c r="AK22" t="str">
        <f ca="1"/>
        <v>No</v>
      </c>
      <c r="AL22" t="str">
        <f ca="1"/>
        <v>Not specified</v>
      </c>
      <c r="AM22" t="str">
        <f ca="1"/>
        <v>No</v>
      </c>
      <c r="AN22" t="str">
        <f ca="1"/>
        <v>Not specified</v>
      </c>
      <c r="AO22" t="str">
        <f ca="1"/>
        <v>Not specified</v>
      </c>
      <c r="AP22" t="str">
        <f ca="1"/>
        <v>Not specified</v>
      </c>
      <c r="AQ22" t="str">
        <f ca="1"/>
        <v>Not specified</v>
      </c>
      <c r="AR22" t="str">
        <f ca="1"/>
        <v>Not specified</v>
      </c>
      <c r="AS22" t="str">
        <f ca="1"/>
        <v>Not specified</v>
      </c>
      <c r="AT22" t="str">
        <f ca="1"/>
        <v>Not specified</v>
      </c>
      <c r="AU22" t="str">
        <f ca="1"/>
        <v>Not specified</v>
      </c>
      <c r="AV22" t="str">
        <f ca="1"/>
        <v>Conditional</v>
      </c>
      <c r="AW22" t="str">
        <f ca="1"/>
        <v>Not specified</v>
      </c>
      <c r="AX22" t="str">
        <f ca="1"/>
        <v>Not specified</v>
      </c>
      <c r="AY22" t="str">
        <f ca="1"/>
        <v>Not specified</v>
      </c>
      <c r="AZ22" t="str">
        <f ca="1"/>
        <v>No</v>
      </c>
      <c r="BA22" t="str">
        <f ca="1"/>
        <v>Not specified</v>
      </c>
      <c r="BB22" t="str">
        <f ca="1"/>
        <v>Not specified</v>
      </c>
      <c r="BC22" t="str">
        <f ca="1"/>
        <v>Not specified</v>
      </c>
      <c r="BD22" t="str">
        <f ca="1"/>
        <v>Not specified</v>
      </c>
      <c r="BE22" t="str">
        <f ca="1"/>
        <v>No</v>
      </c>
      <c r="BF22" t="str">
        <f ca="1"/>
        <v>No</v>
      </c>
      <c r="BG22" t="str">
        <f ca="1"/>
        <v/>
      </c>
      <c r="BH22" t="str">
        <f ca="1"/>
        <v>Not specified</v>
      </c>
      <c r="BI22" t="str">
        <f ca="1"/>
        <v>Not specified</v>
      </c>
      <c r="BJ22" t="str">
        <f ca="1"/>
        <v>No</v>
      </c>
      <c r="BK22" t="str">
        <f ca="1"/>
        <v>No</v>
      </c>
      <c r="BL22" t="str">
        <f ca="1"/>
        <v>Not specified</v>
      </c>
      <c r="BM22" t="str">
        <f ca="1"/>
        <v>Not specified</v>
      </c>
      <c r="BN22" t="str">
        <f ca="1"/>
        <v>Not specified</v>
      </c>
      <c r="BO22" t="str">
        <f ca="1"/>
        <v>Not specified</v>
      </c>
      <c r="BP22" t="str">
        <f ca="1"/>
        <v>Not specified</v>
      </c>
      <c r="BQ22" t="str">
        <f ca="1"/>
        <v>Not specified</v>
      </c>
      <c r="BR22" t="str">
        <f ca="1"/>
        <v/>
      </c>
      <c r="BS22" t="str">
        <f ca="1"/>
        <v>No</v>
      </c>
      <c r="BT22" t="str">
        <f ca="1"/>
        <v>No</v>
      </c>
      <c r="BU22" t="str">
        <f ca="1"/>
        <v>Not specified</v>
      </c>
      <c r="BV22" t="str">
        <f ca="1"/>
        <v>No</v>
      </c>
      <c r="BW22" t="str">
        <f ca="1"/>
        <v>Not specified</v>
      </c>
      <c r="BX22" t="str">
        <f ca="1"/>
        <v>Not specified</v>
      </c>
      <c r="BY22" t="str">
        <f ca="1"/>
        <v>Not specified</v>
      </c>
      <c r="BZ22" t="str">
        <f ca="1"/>
        <v>Not specified</v>
      </c>
      <c r="CA22" t="str">
        <f ca="1"/>
        <v>Not specified</v>
      </c>
      <c r="CB22" t="str">
        <f ca="1"/>
        <v>No</v>
      </c>
      <c r="CC22" t="str">
        <f ca="1"/>
        <v>Not specified</v>
      </c>
      <c r="CD22" t="str">
        <f ca="1"/>
        <v>Not specified</v>
      </c>
      <c r="CE22" t="str">
        <f ca="1"/>
        <v>Not specified</v>
      </c>
      <c r="CF22" t="str">
        <f ca="1"/>
        <v>Not specified</v>
      </c>
      <c r="CG22" t="str">
        <f ca="1"/>
        <v>Not specified</v>
      </c>
      <c r="CH22" t="str">
        <f ca="1"/>
        <v>Not specified</v>
      </c>
      <c r="CI22" t="str">
        <f ca="1"/>
        <v>Not specified</v>
      </c>
      <c r="CJ22" t="str">
        <f ca="1"/>
        <v>Not specified</v>
      </c>
      <c r="CK22" t="str">
        <f ca="1"/>
        <v>Not specified</v>
      </c>
      <c r="CL22" t="str">
        <f ca="1"/>
        <v>Not specified</v>
      </c>
      <c r="CM22" t="str">
        <f ca="1"/>
        <v>Not specified</v>
      </c>
      <c r="CN22" t="str">
        <f ca="1"/>
        <v>Not specified</v>
      </c>
      <c r="CO22" t="str">
        <f ca="1"/>
        <v>Not specified</v>
      </c>
      <c r="CP22" t="str">
        <f ca="1"/>
        <v>Not specified</v>
      </c>
      <c r="CQ22" t="str">
        <f ca="1"/>
        <v>Not specified</v>
      </c>
      <c r="CR22" t="str">
        <f ca="1"/>
        <v>Not specified</v>
      </c>
      <c r="CS22" t="str">
        <f ca="1"/>
        <v>Not specified</v>
      </c>
      <c r="CT22" t="str">
        <f ca="1"/>
        <v>Not specified</v>
      </c>
      <c r="CU22" t="str">
        <f ca="1"/>
        <v>Not specified</v>
      </c>
      <c r="CV22" t="str">
        <f ca="1"/>
        <v>Not specified</v>
      </c>
      <c r="CW22" t="str">
        <f ca="1"/>
        <v>Not specified</v>
      </c>
      <c r="CX22" t="str">
        <f ca="1"/>
        <v>Not specified</v>
      </c>
      <c r="CY22" t="str">
        <f ca="1"/>
        <v>Not specified</v>
      </c>
      <c r="CZ22" t="str">
        <f ca="1"/>
        <v>Not specified</v>
      </c>
      <c r="DA22" t="str">
        <f ca="1"/>
        <v>No</v>
      </c>
      <c r="DB22" t="str">
        <f ca="1"/>
        <v>No</v>
      </c>
      <c r="DC22" t="str">
        <f ca="1"/>
        <v>Not specified</v>
      </c>
      <c r="DD22" t="str">
        <f ca="1"/>
        <v>Not specified</v>
      </c>
      <c r="DE22" t="str">
        <f ca="1"/>
        <v>Not specified</v>
      </c>
      <c r="DF22" t="str">
        <f ca="1"/>
        <v>Not specified</v>
      </c>
      <c r="DG22" t="str">
        <f ca="1"/>
        <v>Optional</v>
      </c>
      <c r="DH22" t="str">
        <f ca="1"/>
        <v>Not specified</v>
      </c>
      <c r="DI22" t="str">
        <f ca="1"/>
        <v>Not specified</v>
      </c>
      <c r="DJ22" t="str">
        <f ca="1"/>
        <v>Not specified</v>
      </c>
      <c r="DK22" t="str">
        <f ca="1"/>
        <v>Not specified</v>
      </c>
      <c r="DL22" t="str">
        <f ca="1"/>
        <v>Not specified</v>
      </c>
      <c r="DM22" t="str">
        <f ca="1"/>
        <v>Not specified</v>
      </c>
      <c r="DN22" t="str">
        <f ca="1"/>
        <v>Not specified</v>
      </c>
      <c r="DO22" t="str">
        <f ca="1"/>
        <v>Not specified</v>
      </c>
      <c r="DP22" t="str">
        <f ca="1"/>
        <v>Not specified</v>
      </c>
      <c r="DQ22" t="str">
        <f ca="1"/>
        <v>Not specified</v>
      </c>
      <c r="DR22" t="str">
        <f ca="1"/>
        <v>Not specified</v>
      </c>
      <c r="DS22" t="str">
        <f ca="1"/>
        <v>Not specified</v>
      </c>
      <c r="DT22" t="str">
        <f ca="1"/>
        <v>Not specified</v>
      </c>
      <c r="DU22" t="str">
        <f ca="1"/>
        <v>Not specified</v>
      </c>
      <c r="DV22" t="str">
        <f ca="1"/>
        <v>Not specified</v>
      </c>
      <c r="DW22" t="str">
        <f ca="1"/>
        <v>Mandatory</v>
      </c>
      <c r="DX22" t="str">
        <f ca="1"/>
        <v>No</v>
      </c>
      <c r="DY22" t="str">
        <f ca="1"/>
        <v>Not specified</v>
      </c>
      <c r="DZ22" t="str">
        <f ca="1"/>
        <v>Not specified</v>
      </c>
      <c r="EA22" t="str">
        <f ca="1"/>
        <v>Not specified</v>
      </c>
      <c r="EB22" t="str">
        <f ca="1"/>
        <v>Not specified</v>
      </c>
      <c r="EC22" t="str">
        <f ca="1"/>
        <v>Not specified</v>
      </c>
      <c r="ED22" t="str">
        <f ca="1"/>
        <v>Not specified</v>
      </c>
      <c r="EE22" t="str">
        <f ca="1"/>
        <v>Not specified</v>
      </c>
      <c r="EF22" t="str">
        <f ca="1"/>
        <v>Not specified</v>
      </c>
      <c r="EG22" t="str">
        <f ca="1"/>
        <v>No</v>
      </c>
      <c r="EH22" t="str">
        <f ca="1"/>
        <v>No</v>
      </c>
      <c r="EI22" t="str">
        <f ca="1"/>
        <v>No</v>
      </c>
      <c r="EJ22" t="str">
        <f ca="1"/>
        <v>No</v>
      </c>
      <c r="EK22" t="str">
        <f ca="1"/>
        <v>Not specified</v>
      </c>
      <c r="EL22" t="str">
        <f ca="1"/>
        <v>Not specified</v>
      </c>
      <c r="EM22" t="str">
        <f ca="1"/>
        <v>Not specified</v>
      </c>
      <c r="EN22" t="str">
        <f ca="1"/>
        <v>Not specified</v>
      </c>
      <c r="EO22" t="str">
        <f ca="1"/>
        <v>Not specified</v>
      </c>
      <c r="EP22" t="str">
        <f ca="1"/>
        <v>Not specified</v>
      </c>
      <c r="EQ22" t="str">
        <f ca="1"/>
        <v>Not specified</v>
      </c>
      <c r="ER22" t="str">
        <f ca="1"/>
        <v>Not specified</v>
      </c>
      <c r="ES22" t="str">
        <f ca="1"/>
        <v>Not specified</v>
      </c>
      <c r="ET22" t="str">
        <f ca="1"/>
        <v>No</v>
      </c>
      <c r="EU22" t="str">
        <f ca="1"/>
        <v>No</v>
      </c>
      <c r="EV22" t="str">
        <f ca="1"/>
        <v>No</v>
      </c>
      <c r="EW22" t="str">
        <f ca="1"/>
        <v>Not specified</v>
      </c>
      <c r="EX22" t="str">
        <f ca="1"/>
        <v>Not specified</v>
      </c>
      <c r="EY22" t="str">
        <f ca="1"/>
        <v>Not specified</v>
      </c>
      <c r="EZ22" t="str">
        <f ca="1"/>
        <v>Not specified</v>
      </c>
      <c r="FA22" t="str">
        <f ca="1"/>
        <v>Not specified</v>
      </c>
      <c r="FB22" t="str">
        <f ca="1"/>
        <v>Not specified</v>
      </c>
      <c r="FC22" t="str">
        <f ca="1"/>
        <v>Not specified</v>
      </c>
      <c r="FD22" t="str">
        <f ca="1"/>
        <v>Not specified</v>
      </c>
      <c r="FE22" t="str">
        <f ca="1"/>
        <v>Not specified</v>
      </c>
      <c r="FF22" t="str">
        <f ca="1"/>
        <v>No</v>
      </c>
      <c r="FG22" t="str">
        <f ca="1"/>
        <v>Not specified</v>
      </c>
      <c r="FH22" t="str">
        <f ca="1"/>
        <v>Not specified</v>
      </c>
      <c r="FI22" t="str">
        <f ca="1"/>
        <v>Not specified</v>
      </c>
      <c r="FJ22" t="str">
        <f ca="1"/>
        <v>Not specified</v>
      </c>
      <c r="FK22" t="str">
        <f ca="1"/>
        <v>Not specified</v>
      </c>
      <c r="FL22" t="str">
        <f ca="1"/>
        <v>Not specified</v>
      </c>
      <c r="FM22" t="str">
        <f ca="1"/>
        <v>Not specified</v>
      </c>
      <c r="FN22" t="str">
        <f ca="1"/>
        <v>Not specified</v>
      </c>
      <c r="FO22" t="str">
        <f ca="1"/>
        <v>Not specified</v>
      </c>
      <c r="FP22" t="str">
        <f ca="1"/>
        <v/>
      </c>
      <c r="FQ22" t="str">
        <f ca="1"/>
        <v>Not specified</v>
      </c>
      <c r="FR22" t="str">
        <f ca="1"/>
        <v>Not specified</v>
      </c>
      <c r="FS22" t="str">
        <f ca="1"/>
        <v>Not specified</v>
      </c>
      <c r="FT22" t="str">
        <f ca="1"/>
        <v>No</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0</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0</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v>0</v>
      </c>
      <c r="SN22">
        <v>0</v>
      </c>
      <c r="SO22">
        <v>0</v>
      </c>
      <c r="SP22">
        <v>0</v>
      </c>
      <c r="SQ22">
        <v>0</v>
      </c>
      <c r="SR22">
        <v>0</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0</v>
      </c>
      <c r="YX22">
        <v>0</v>
      </c>
      <c r="YY22">
        <v>0</v>
      </c>
      <c r="YZ22">
        <v>0</v>
      </c>
      <c r="ZA22">
        <v>0</v>
      </c>
      <c r="ZB22">
        <v>0</v>
      </c>
      <c r="ZC22">
        <v>0</v>
      </c>
      <c r="ZD22">
        <v>0</v>
      </c>
      <c r="ZE22">
        <v>0</v>
      </c>
      <c r="ZF22">
        <v>0</v>
      </c>
      <c r="ZG22">
        <v>0</v>
      </c>
      <c r="ZH22">
        <v>0</v>
      </c>
      <c r="ZI22">
        <v>0</v>
      </c>
      <c r="ZJ22">
        <v>0</v>
      </c>
      <c r="ZK22">
        <v>0</v>
      </c>
      <c r="ZL22">
        <v>0</v>
      </c>
      <c r="ZM22">
        <v>0</v>
      </c>
      <c r="ZN22">
        <v>0</v>
      </c>
      <c r="ZO22">
        <v>0</v>
      </c>
      <c r="ZP22">
        <v>0</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v>
      </c>
      <c r="AAY22">
        <v>0</v>
      </c>
      <c r="AAZ22">
        <v>0</v>
      </c>
      <c r="ABA22">
        <v>0</v>
      </c>
      <c r="ABB22">
        <v>0</v>
      </c>
      <c r="ABC22">
        <v>0</v>
      </c>
      <c r="ABD22">
        <v>0</v>
      </c>
      <c r="ABE22">
        <v>0</v>
      </c>
      <c r="ABF22">
        <v>0</v>
      </c>
      <c r="ABG22">
        <v>0</v>
      </c>
      <c r="ABH22">
        <v>0</v>
      </c>
      <c r="ABI22">
        <v>0</v>
      </c>
      <c r="ABJ22">
        <v>0</v>
      </c>
      <c r="ABK22">
        <v>0</v>
      </c>
      <c r="ABL22">
        <v>0</v>
      </c>
      <c r="ABM22">
        <v>0</v>
      </c>
      <c r="ABN22">
        <v>0</v>
      </c>
      <c r="ABO22">
        <v>0</v>
      </c>
      <c r="ABP22">
        <v>0</v>
      </c>
      <c r="ABQ22">
        <v>0</v>
      </c>
      <c r="ABR22">
        <v>0</v>
      </c>
      <c r="ABS22">
        <v>0</v>
      </c>
      <c r="ABT22">
        <v>0</v>
      </c>
      <c r="ABU22">
        <v>0</v>
      </c>
      <c r="ABV22">
        <v>0</v>
      </c>
      <c r="ABW22">
        <v>0</v>
      </c>
      <c r="ABX22">
        <v>0</v>
      </c>
      <c r="ABY22">
        <v>0</v>
      </c>
      <c r="ABZ22">
        <v>0</v>
      </c>
      <c r="ACA22">
        <v>0</v>
      </c>
      <c r="ACB22">
        <v>0</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0</v>
      </c>
      <c r="AEG22">
        <v>0</v>
      </c>
      <c r="AEH22">
        <v>0</v>
      </c>
      <c r="AEI22">
        <v>0</v>
      </c>
      <c r="AEJ22">
        <v>0</v>
      </c>
      <c r="AEK22">
        <v>0</v>
      </c>
      <c r="AEL22">
        <v>0</v>
      </c>
      <c r="AEM22">
        <v>0</v>
      </c>
      <c r="AEN22">
        <v>0</v>
      </c>
      <c r="AEO22">
        <v>0</v>
      </c>
      <c r="AEP22">
        <v>0</v>
      </c>
      <c r="AEQ22">
        <v>0</v>
      </c>
      <c r="AER22">
        <v>0</v>
      </c>
      <c r="AES22">
        <v>0</v>
      </c>
      <c r="AET22">
        <v>0</v>
      </c>
      <c r="AEU22">
        <v>0</v>
      </c>
      <c r="AEV22">
        <v>0</v>
      </c>
      <c r="AEW22">
        <v>0</v>
      </c>
      <c r="AEX22">
        <v>0</v>
      </c>
      <c r="AEY22">
        <v>0</v>
      </c>
      <c r="AEZ22">
        <v>0</v>
      </c>
      <c r="AFA22">
        <v>0</v>
      </c>
      <c r="AFB22">
        <v>0</v>
      </c>
      <c r="AFC22">
        <v>0</v>
      </c>
      <c r="AFD22">
        <v>0</v>
      </c>
      <c r="AFE22">
        <v>0</v>
      </c>
      <c r="AFF22">
        <v>0</v>
      </c>
      <c r="AFG22">
        <v>0</v>
      </c>
      <c r="AFH22">
        <v>0</v>
      </c>
      <c r="AFI22">
        <v>0</v>
      </c>
      <c r="AFJ22">
        <v>0</v>
      </c>
      <c r="AFK22">
        <v>0</v>
      </c>
      <c r="AFL22">
        <v>0</v>
      </c>
      <c r="AFM22">
        <v>0</v>
      </c>
      <c r="AFN22">
        <v>0</v>
      </c>
      <c r="AFO22">
        <v>0</v>
      </c>
      <c r="AFP22">
        <v>0</v>
      </c>
      <c r="AFQ22">
        <v>0</v>
      </c>
      <c r="AFR22">
        <v>0</v>
      </c>
      <c r="AFS22">
        <v>0</v>
      </c>
      <c r="AFT22">
        <v>0</v>
      </c>
      <c r="AFU22">
        <v>0</v>
      </c>
      <c r="AFV22">
        <v>0</v>
      </c>
      <c r="AFW22">
        <v>0</v>
      </c>
      <c r="AFX22">
        <v>0</v>
      </c>
      <c r="AFY22">
        <v>0</v>
      </c>
      <c r="AFZ22">
        <v>0</v>
      </c>
      <c r="AGA22">
        <v>0</v>
      </c>
      <c r="AGB22">
        <v>0</v>
      </c>
      <c r="AGC22">
        <v>0</v>
      </c>
      <c r="AGD22">
        <v>0</v>
      </c>
      <c r="AGE22">
        <v>0</v>
      </c>
      <c r="AGF22">
        <v>0</v>
      </c>
      <c r="AGG22">
        <v>0</v>
      </c>
      <c r="AGH22">
        <v>0</v>
      </c>
      <c r="AGI22">
        <v>0</v>
      </c>
      <c r="AGJ22">
        <v>0</v>
      </c>
      <c r="AGK22">
        <v>0</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v>
      </c>
      <c r="AHO22">
        <v>0</v>
      </c>
      <c r="AHP22">
        <v>0</v>
      </c>
      <c r="AHQ22">
        <v>0</v>
      </c>
      <c r="AHR22">
        <v>0</v>
      </c>
      <c r="AHS22">
        <v>0</v>
      </c>
      <c r="AHT22">
        <v>0</v>
      </c>
      <c r="AHU22">
        <v>0</v>
      </c>
      <c r="AHV22">
        <v>0</v>
      </c>
      <c r="AHW22">
        <v>0</v>
      </c>
      <c r="AHX22">
        <v>0</v>
      </c>
      <c r="AHY22">
        <v>0</v>
      </c>
      <c r="AHZ22">
        <v>0</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v>
      </c>
      <c r="AIV22">
        <v>0</v>
      </c>
      <c r="AIW22">
        <v>0</v>
      </c>
      <c r="AIX22">
        <v>0</v>
      </c>
      <c r="AIY22">
        <v>0</v>
      </c>
      <c r="AIZ22">
        <v>0</v>
      </c>
      <c r="AJA22">
        <v>0</v>
      </c>
      <c r="AJB22">
        <v>0</v>
      </c>
      <c r="AJC22">
        <v>0</v>
      </c>
      <c r="AJD22">
        <v>0</v>
      </c>
      <c r="AJE22">
        <v>0</v>
      </c>
      <c r="AJF22">
        <v>0</v>
      </c>
      <c r="AJG22">
        <v>0</v>
      </c>
      <c r="AJH22">
        <v>0</v>
      </c>
      <c r="AJI22">
        <v>0</v>
      </c>
      <c r="AJJ22">
        <v>0</v>
      </c>
      <c r="AJK22">
        <v>0</v>
      </c>
      <c r="AJL22">
        <v>0</v>
      </c>
      <c r="AJM22">
        <v>0</v>
      </c>
      <c r="AJN22">
        <v>0</v>
      </c>
      <c r="AJO22">
        <v>0</v>
      </c>
      <c r="AJP22">
        <v>0</v>
      </c>
      <c r="AJQ22">
        <v>0</v>
      </c>
      <c r="AJR22">
        <v>0</v>
      </c>
      <c r="AJS22">
        <v>0</v>
      </c>
      <c r="AJT22">
        <v>0</v>
      </c>
      <c r="AJU22">
        <v>0</v>
      </c>
      <c r="AJV22">
        <v>0</v>
      </c>
      <c r="AJW22">
        <v>0</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c r="ALO22">
        <v>0</v>
      </c>
      <c r="ALP22">
        <v>0</v>
      </c>
      <c r="ALQ22">
        <v>0</v>
      </c>
    </row>
    <row r="23" spans="1:1005" ht="70">
      <c r="A23" s="325" t="s">
        <v>912</v>
      </c>
      <c r="B23" s="332" t="s">
        <v>33</v>
      </c>
      <c r="C23" s="334" t="s">
        <v>71</v>
      </c>
      <c r="D23" s="632"/>
      <c r="E23" s="329" t="s">
        <v>921</v>
      </c>
      <c r="F23" t="str">
        <f t="array" ref="F23:ALQ23" ca="1">TRANSPOSE(Filtered!T2:T1005)</f>
        <v>Not specified</v>
      </c>
      <c r="G23" t="str">
        <f ca="1"/>
        <v>Not specified</v>
      </c>
      <c r="H23" t="str">
        <f ca="1"/>
        <v>Not specified</v>
      </c>
      <c r="I23" t="str">
        <f ca="1"/>
        <v>Not specified</v>
      </c>
      <c r="J23" t="str">
        <f ca="1"/>
        <v>Not specified</v>
      </c>
      <c r="K23" t="str">
        <f ca="1"/>
        <v>Not specified</v>
      </c>
      <c r="L23" t="str">
        <f ca="1"/>
        <v>Not specified</v>
      </c>
      <c r="M23" t="str">
        <f ca="1"/>
        <v>Not specified</v>
      </c>
      <c r="N23" t="str">
        <f ca="1"/>
        <v/>
      </c>
      <c r="O23" t="str">
        <f ca="1"/>
        <v>Not specified</v>
      </c>
      <c r="P23" t="str">
        <f ca="1"/>
        <v>Not specified</v>
      </c>
      <c r="Q23" t="str">
        <f ca="1"/>
        <v>Not specified</v>
      </c>
      <c r="R23" t="str">
        <f ca="1"/>
        <v>Not specified</v>
      </c>
      <c r="S23" t="str">
        <f ca="1"/>
        <v>Not specified</v>
      </c>
      <c r="T23" t="str">
        <f ca="1"/>
        <v>Not specified</v>
      </c>
      <c r="U23" t="str">
        <f ca="1"/>
        <v>Not specified</v>
      </c>
      <c r="V23" t="str">
        <f ca="1"/>
        <v>Not specified</v>
      </c>
      <c r="W23" t="str">
        <f ca="1"/>
        <v>Not specified</v>
      </c>
      <c r="X23" t="str">
        <f ca="1"/>
        <v>Not specified</v>
      </c>
      <c r="Y23" t="str">
        <f ca="1"/>
        <v>Not specified</v>
      </c>
      <c r="Z23" t="str">
        <f ca="1"/>
        <v>Not specified</v>
      </c>
      <c r="AA23" t="str">
        <f ca="1"/>
        <v>Not specified</v>
      </c>
      <c r="AB23" t="str">
        <f ca="1"/>
        <v>Not specified</v>
      </c>
      <c r="AC23" t="str">
        <f ca="1"/>
        <v>No</v>
      </c>
      <c r="AD23" t="str">
        <f ca="1"/>
        <v>Not specified</v>
      </c>
      <c r="AE23" t="str">
        <f ca="1"/>
        <v>Conditional; Free to read (not paywalled)</v>
      </c>
      <c r="AF23" t="str">
        <f ca="1"/>
        <v>Not specified</v>
      </c>
      <c r="AG23" t="str">
        <f ca="1"/>
        <v>Not specified</v>
      </c>
      <c r="AH23" t="str">
        <f ca="1"/>
        <v>Not specified</v>
      </c>
      <c r="AI23" t="str">
        <f ca="1"/>
        <v>Not specified</v>
      </c>
      <c r="AJ23" t="str">
        <f ca="1"/>
        <v>Not specified</v>
      </c>
      <c r="AK23" t="str">
        <f ca="1"/>
        <v>Not specified</v>
      </c>
      <c r="AL23" t="str">
        <f ca="1"/>
        <v>Not specified</v>
      </c>
      <c r="AM23" t="str">
        <f ca="1"/>
        <v>Not specified</v>
      </c>
      <c r="AN23" t="str">
        <f ca="1"/>
        <v>Not specified</v>
      </c>
      <c r="AO23" t="str">
        <f ca="1"/>
        <v>Not specified</v>
      </c>
      <c r="AP23" t="str">
        <f ca="1"/>
        <v>Not specified</v>
      </c>
      <c r="AQ23" t="str">
        <f ca="1"/>
        <v>Not specified</v>
      </c>
      <c r="AR23" t="str">
        <f ca="1"/>
        <v>Not specified</v>
      </c>
      <c r="AS23" t="str">
        <f ca="1"/>
        <v>Not specified</v>
      </c>
      <c r="AT23" t="str">
        <f ca="1"/>
        <v>Not specified</v>
      </c>
      <c r="AU23" t="str">
        <f ca="1"/>
        <v>Not specified</v>
      </c>
      <c r="AV23" t="str">
        <f ca="1"/>
        <v>Optional</v>
      </c>
      <c r="AW23" t="str">
        <f ca="1"/>
        <v>Not specified</v>
      </c>
      <c r="AX23" t="str">
        <f ca="1"/>
        <v>Not specified</v>
      </c>
      <c r="AY23" t="str">
        <f ca="1"/>
        <v>Not specified</v>
      </c>
      <c r="AZ23" t="str">
        <f ca="1"/>
        <v>Not specified</v>
      </c>
      <c r="BA23" t="str">
        <f ca="1"/>
        <v>Not specified</v>
      </c>
      <c r="BB23" t="str">
        <f ca="1"/>
        <v>Not specified</v>
      </c>
      <c r="BC23" t="str">
        <f ca="1"/>
        <v>Not specified</v>
      </c>
      <c r="BD23" t="str">
        <f ca="1"/>
        <v>Not specified</v>
      </c>
      <c r="BE23" t="str">
        <f ca="1"/>
        <v>No</v>
      </c>
      <c r="BF23" t="str">
        <f ca="1"/>
        <v>Not specified</v>
      </c>
      <c r="BG23" t="str">
        <f ca="1"/>
        <v>Not specified</v>
      </c>
      <c r="BH23" t="str">
        <f ca="1"/>
        <v>Not specified</v>
      </c>
      <c r="BI23" t="str">
        <f ca="1"/>
        <v>Not specified</v>
      </c>
      <c r="BJ23" t="str">
        <f ca="1"/>
        <v>No</v>
      </c>
      <c r="BK23" t="str">
        <f ca="1"/>
        <v>No</v>
      </c>
      <c r="BL23" t="str">
        <f ca="1"/>
        <v>Not specified</v>
      </c>
      <c r="BM23" t="str">
        <f ca="1"/>
        <v>Not specified</v>
      </c>
      <c r="BN23" t="str">
        <f ca="1"/>
        <v>Not specified</v>
      </c>
      <c r="BO23" t="str">
        <f ca="1"/>
        <v>Not specified</v>
      </c>
      <c r="BP23" t="str">
        <f ca="1"/>
        <v>Not specified</v>
      </c>
      <c r="BQ23" t="str">
        <f ca="1"/>
        <v>Not specified</v>
      </c>
      <c r="BR23" t="str">
        <f ca="1"/>
        <v>Not specified</v>
      </c>
      <c r="BS23" t="str">
        <f ca="1"/>
        <v>No</v>
      </c>
      <c r="BT23" t="str">
        <f ca="1"/>
        <v>Not specified</v>
      </c>
      <c r="BU23" t="str">
        <f ca="1"/>
        <v>Not specified</v>
      </c>
      <c r="BV23" t="str">
        <f ca="1"/>
        <v>No</v>
      </c>
      <c r="BW23" t="str">
        <f ca="1"/>
        <v>Not specified</v>
      </c>
      <c r="BX23" t="str">
        <f ca="1"/>
        <v>Not specified</v>
      </c>
      <c r="BY23" t="str">
        <f ca="1"/>
        <v>Not specified</v>
      </c>
      <c r="BZ23" t="str">
        <f ca="1"/>
        <v>Not specified</v>
      </c>
      <c r="CA23" t="str">
        <f ca="1"/>
        <v>Not specified</v>
      </c>
      <c r="CB23" t="str">
        <f ca="1"/>
        <v>No</v>
      </c>
      <c r="CC23" t="str">
        <f ca="1"/>
        <v>Not specified</v>
      </c>
      <c r="CD23" t="str">
        <f ca="1"/>
        <v>Not specified</v>
      </c>
      <c r="CE23" t="str">
        <f ca="1"/>
        <v>Not specified</v>
      </c>
      <c r="CF23" t="str">
        <f ca="1"/>
        <v>Not specified</v>
      </c>
      <c r="CG23" t="str">
        <f ca="1"/>
        <v>Not specified</v>
      </c>
      <c r="CH23" t="str">
        <f ca="1"/>
        <v>Not specified</v>
      </c>
      <c r="CI23" t="str">
        <f ca="1"/>
        <v>Not specified</v>
      </c>
      <c r="CJ23" t="str">
        <f ca="1"/>
        <v>Not specified</v>
      </c>
      <c r="CK23" t="str">
        <f ca="1"/>
        <v>Not specified</v>
      </c>
      <c r="CL23" t="str">
        <f ca="1"/>
        <v>Not specified</v>
      </c>
      <c r="CM23" t="str">
        <f ca="1"/>
        <v>Not specified</v>
      </c>
      <c r="CN23" t="str">
        <f ca="1"/>
        <v>Not specified</v>
      </c>
      <c r="CO23" t="str">
        <f ca="1"/>
        <v>Not specified</v>
      </c>
      <c r="CP23" t="str">
        <f ca="1"/>
        <v>Not specified</v>
      </c>
      <c r="CQ23" t="str">
        <f ca="1"/>
        <v>Not specified</v>
      </c>
      <c r="CR23" t="str">
        <f ca="1"/>
        <v>Not specified</v>
      </c>
      <c r="CS23" t="str">
        <f ca="1"/>
        <v>Not specified</v>
      </c>
      <c r="CT23" t="str">
        <f ca="1"/>
        <v>Not specified</v>
      </c>
      <c r="CU23" t="str">
        <f ca="1"/>
        <v>Not specified</v>
      </c>
      <c r="CV23" t="str">
        <f ca="1"/>
        <v>Not specified</v>
      </c>
      <c r="CW23" t="str">
        <f ca="1"/>
        <v>Not specified</v>
      </c>
      <c r="CX23" t="str">
        <f ca="1"/>
        <v>Not specified</v>
      </c>
      <c r="CY23" t="str">
        <f ca="1"/>
        <v>Not specified</v>
      </c>
      <c r="CZ23" t="str">
        <f ca="1"/>
        <v>Not specified</v>
      </c>
      <c r="DA23" t="str">
        <f ca="1"/>
        <v>No</v>
      </c>
      <c r="DB23" t="str">
        <f ca="1"/>
        <v>No</v>
      </c>
      <c r="DC23" t="str">
        <f ca="1"/>
        <v>Not specified</v>
      </c>
      <c r="DD23" t="str">
        <f ca="1"/>
        <v>Not specified</v>
      </c>
      <c r="DE23" t="str">
        <f ca="1"/>
        <v>Not specified</v>
      </c>
      <c r="DF23" t="str">
        <f ca="1"/>
        <v>Not specified</v>
      </c>
      <c r="DG23" t="str">
        <f ca="1"/>
        <v>Optional</v>
      </c>
      <c r="DH23" t="str">
        <f ca="1"/>
        <v>Not specified</v>
      </c>
      <c r="DI23" t="str">
        <f ca="1"/>
        <v>Not specified</v>
      </c>
      <c r="DJ23" t="str">
        <f ca="1"/>
        <v>Not specified</v>
      </c>
      <c r="DK23" t="str">
        <f ca="1"/>
        <v>Not specified</v>
      </c>
      <c r="DL23" t="str">
        <f ca="1"/>
        <v>Not specified</v>
      </c>
      <c r="DM23" t="str">
        <f ca="1"/>
        <v>Not specified</v>
      </c>
      <c r="DN23" t="str">
        <f ca="1"/>
        <v>Not specified</v>
      </c>
      <c r="DO23" t="str">
        <f ca="1"/>
        <v>Not specified</v>
      </c>
      <c r="DP23" t="str">
        <f ca="1"/>
        <v>Not specified</v>
      </c>
      <c r="DQ23" t="str">
        <f ca="1"/>
        <v>Not specified</v>
      </c>
      <c r="DR23" t="str">
        <f ca="1"/>
        <v>Not specified</v>
      </c>
      <c r="DS23" t="str">
        <f ca="1"/>
        <v>Not specified</v>
      </c>
      <c r="DT23" t="str">
        <f ca="1"/>
        <v>Not specified</v>
      </c>
      <c r="DU23" t="str">
        <f ca="1"/>
        <v>Not specified</v>
      </c>
      <c r="DV23" t="str">
        <f ca="1"/>
        <v>Not specified</v>
      </c>
      <c r="DW23" t="str">
        <f ca="1"/>
        <v>Mandatory</v>
      </c>
      <c r="DX23" t="str">
        <f ca="1"/>
        <v>No</v>
      </c>
      <c r="DY23" t="str">
        <f ca="1"/>
        <v>Not specified</v>
      </c>
      <c r="DZ23" t="str">
        <f ca="1"/>
        <v>Not specified</v>
      </c>
      <c r="EA23" t="str">
        <f ca="1"/>
        <v>Not specified</v>
      </c>
      <c r="EB23" t="str">
        <f ca="1"/>
        <v>Not specified</v>
      </c>
      <c r="EC23" t="str">
        <f ca="1"/>
        <v>Not specified</v>
      </c>
      <c r="ED23" t="str">
        <f ca="1"/>
        <v>Not specified</v>
      </c>
      <c r="EE23" t="str">
        <f ca="1"/>
        <v>Not specified</v>
      </c>
      <c r="EF23" t="str">
        <f ca="1"/>
        <v>Not specified</v>
      </c>
      <c r="EG23" t="str">
        <f ca="1"/>
        <v>No</v>
      </c>
      <c r="EH23" t="str">
        <f ca="1"/>
        <v>No</v>
      </c>
      <c r="EI23" t="str">
        <f ca="1"/>
        <v>No</v>
      </c>
      <c r="EJ23" t="str">
        <f ca="1"/>
        <v>No</v>
      </c>
      <c r="EK23" t="str">
        <f ca="1"/>
        <v>Not specified</v>
      </c>
      <c r="EL23" t="str">
        <f ca="1"/>
        <v>Not specified</v>
      </c>
      <c r="EM23" t="str">
        <f ca="1"/>
        <v>Not specified</v>
      </c>
      <c r="EN23" t="str">
        <f ca="1"/>
        <v>Not specified</v>
      </c>
      <c r="EO23" t="str">
        <f ca="1"/>
        <v>Not specified</v>
      </c>
      <c r="EP23" t="str">
        <f ca="1"/>
        <v>Not specified</v>
      </c>
      <c r="EQ23" t="str">
        <f ca="1"/>
        <v>Not specified</v>
      </c>
      <c r="ER23" t="str">
        <f ca="1"/>
        <v>Not specified</v>
      </c>
      <c r="ES23" t="str">
        <f ca="1"/>
        <v>Not specified</v>
      </c>
      <c r="ET23" t="str">
        <f ca="1"/>
        <v>No</v>
      </c>
      <c r="EU23" t="str">
        <f ca="1"/>
        <v>Not specified</v>
      </c>
      <c r="EV23" t="str">
        <f ca="1"/>
        <v>Not specified</v>
      </c>
      <c r="EW23" t="str">
        <f ca="1"/>
        <v>Not specified</v>
      </c>
      <c r="EX23" t="str">
        <f ca="1"/>
        <v>Not specified</v>
      </c>
      <c r="EY23" t="str">
        <f ca="1"/>
        <v>Not specified</v>
      </c>
      <c r="EZ23" t="str">
        <f ca="1"/>
        <v>Not specified</v>
      </c>
      <c r="FA23" t="str">
        <f ca="1"/>
        <v>Not specified</v>
      </c>
      <c r="FB23" t="str">
        <f ca="1"/>
        <v>Not specified</v>
      </c>
      <c r="FC23" t="str">
        <f ca="1"/>
        <v>Not specified</v>
      </c>
      <c r="FD23" t="str">
        <f ca="1"/>
        <v>Not specified</v>
      </c>
      <c r="FE23" t="str">
        <f ca="1"/>
        <v>Not specified</v>
      </c>
      <c r="FF23" t="str">
        <f ca="1"/>
        <v>No</v>
      </c>
      <c r="FG23" t="str">
        <f ca="1"/>
        <v>Not specified</v>
      </c>
      <c r="FH23" t="str">
        <f ca="1"/>
        <v>Not specified</v>
      </c>
      <c r="FI23" t="str">
        <f ca="1"/>
        <v>Not specified</v>
      </c>
      <c r="FJ23" t="str">
        <f ca="1"/>
        <v>Not specified</v>
      </c>
      <c r="FK23" t="str">
        <f ca="1"/>
        <v>Not specified</v>
      </c>
      <c r="FL23" t="str">
        <f ca="1"/>
        <v>Not specified</v>
      </c>
      <c r="FM23" t="str">
        <f ca="1"/>
        <v>Not specified</v>
      </c>
      <c r="FN23" t="str">
        <f ca="1"/>
        <v>Not specified</v>
      </c>
      <c r="FO23" t="str">
        <f ca="1"/>
        <v>Not specified</v>
      </c>
      <c r="FP23" t="str">
        <f ca="1"/>
        <v>Not specified</v>
      </c>
      <c r="FQ23" t="str">
        <f ca="1"/>
        <v>Not specified</v>
      </c>
      <c r="FR23" t="str">
        <f ca="1"/>
        <v>Not specified</v>
      </c>
      <c r="FS23" t="str">
        <f ca="1"/>
        <v>Not specified</v>
      </c>
      <c r="FT23" t="str">
        <f ca="1"/>
        <v>No</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0</v>
      </c>
      <c r="PI23">
        <v>0</v>
      </c>
      <c r="PJ23">
        <v>0</v>
      </c>
      <c r="PK23">
        <v>0</v>
      </c>
      <c r="PL23">
        <v>0</v>
      </c>
      <c r="PM23">
        <v>0</v>
      </c>
      <c r="PN23">
        <v>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0</v>
      </c>
      <c r="QO23">
        <v>0</v>
      </c>
      <c r="QP23">
        <v>0</v>
      </c>
      <c r="QQ23">
        <v>0</v>
      </c>
      <c r="QR23">
        <v>0</v>
      </c>
      <c r="QS23">
        <v>0</v>
      </c>
      <c r="QT23">
        <v>0</v>
      </c>
      <c r="QU23">
        <v>0</v>
      </c>
      <c r="QV23">
        <v>0</v>
      </c>
      <c r="QW23">
        <v>0</v>
      </c>
      <c r="QX23">
        <v>0</v>
      </c>
      <c r="QY23">
        <v>0</v>
      </c>
      <c r="QZ23">
        <v>0</v>
      </c>
      <c r="RA23">
        <v>0</v>
      </c>
      <c r="RB23">
        <v>0</v>
      </c>
      <c r="RC23">
        <v>0</v>
      </c>
      <c r="RD23">
        <v>0</v>
      </c>
      <c r="RE23">
        <v>0</v>
      </c>
      <c r="RF23">
        <v>0</v>
      </c>
      <c r="RG23">
        <v>0</v>
      </c>
      <c r="RH23">
        <v>0</v>
      </c>
      <c r="RI23">
        <v>0</v>
      </c>
      <c r="RJ23">
        <v>0</v>
      </c>
      <c r="RK23">
        <v>0</v>
      </c>
      <c r="RL23">
        <v>0</v>
      </c>
      <c r="RM23">
        <v>0</v>
      </c>
      <c r="RN23">
        <v>0</v>
      </c>
      <c r="RO23">
        <v>0</v>
      </c>
      <c r="RP23">
        <v>0</v>
      </c>
      <c r="RQ23">
        <v>0</v>
      </c>
      <c r="RR23">
        <v>0</v>
      </c>
      <c r="RS23">
        <v>0</v>
      </c>
      <c r="RT23">
        <v>0</v>
      </c>
      <c r="RU23">
        <v>0</v>
      </c>
      <c r="RV23">
        <v>0</v>
      </c>
      <c r="RW23">
        <v>0</v>
      </c>
      <c r="RX23">
        <v>0</v>
      </c>
      <c r="RY23">
        <v>0</v>
      </c>
      <c r="RZ23">
        <v>0</v>
      </c>
      <c r="SA23">
        <v>0</v>
      </c>
      <c r="SB23">
        <v>0</v>
      </c>
      <c r="SC23">
        <v>0</v>
      </c>
      <c r="SD23">
        <v>0</v>
      </c>
      <c r="SE23">
        <v>0</v>
      </c>
      <c r="SF23">
        <v>0</v>
      </c>
      <c r="SG23">
        <v>0</v>
      </c>
      <c r="SH23">
        <v>0</v>
      </c>
      <c r="SI23">
        <v>0</v>
      </c>
      <c r="SJ23">
        <v>0</v>
      </c>
      <c r="SK23">
        <v>0</v>
      </c>
      <c r="SL23">
        <v>0</v>
      </c>
      <c r="SM23">
        <v>0</v>
      </c>
      <c r="SN23">
        <v>0</v>
      </c>
      <c r="SO23">
        <v>0</v>
      </c>
      <c r="SP23">
        <v>0</v>
      </c>
      <c r="SQ23">
        <v>0</v>
      </c>
      <c r="SR23">
        <v>0</v>
      </c>
      <c r="SS23">
        <v>0</v>
      </c>
      <c r="ST23">
        <v>0</v>
      </c>
      <c r="SU23">
        <v>0</v>
      </c>
      <c r="SV23">
        <v>0</v>
      </c>
      <c r="SW23">
        <v>0</v>
      </c>
      <c r="SX23">
        <v>0</v>
      </c>
      <c r="SY23">
        <v>0</v>
      </c>
      <c r="SZ23">
        <v>0</v>
      </c>
      <c r="TA23">
        <v>0</v>
      </c>
      <c r="TB23">
        <v>0</v>
      </c>
      <c r="TC23">
        <v>0</v>
      </c>
      <c r="TD23">
        <v>0</v>
      </c>
      <c r="TE23">
        <v>0</v>
      </c>
      <c r="TF23">
        <v>0</v>
      </c>
      <c r="TG23">
        <v>0</v>
      </c>
      <c r="TH23">
        <v>0</v>
      </c>
      <c r="TI23">
        <v>0</v>
      </c>
      <c r="TJ23">
        <v>0</v>
      </c>
      <c r="TK23">
        <v>0</v>
      </c>
      <c r="TL23">
        <v>0</v>
      </c>
      <c r="TM23">
        <v>0</v>
      </c>
      <c r="TN23">
        <v>0</v>
      </c>
      <c r="TO23">
        <v>0</v>
      </c>
      <c r="TP23">
        <v>0</v>
      </c>
      <c r="TQ23">
        <v>0</v>
      </c>
      <c r="TR23">
        <v>0</v>
      </c>
      <c r="TS23">
        <v>0</v>
      </c>
      <c r="TT23">
        <v>0</v>
      </c>
      <c r="TU23">
        <v>0</v>
      </c>
      <c r="TV23">
        <v>0</v>
      </c>
      <c r="TW23">
        <v>0</v>
      </c>
      <c r="TX23">
        <v>0</v>
      </c>
      <c r="TY23">
        <v>0</v>
      </c>
      <c r="TZ23">
        <v>0</v>
      </c>
      <c r="UA23">
        <v>0</v>
      </c>
      <c r="UB23">
        <v>0</v>
      </c>
      <c r="UC23">
        <v>0</v>
      </c>
      <c r="UD23">
        <v>0</v>
      </c>
      <c r="UE23">
        <v>0</v>
      </c>
      <c r="UF23">
        <v>0</v>
      </c>
      <c r="UG23">
        <v>0</v>
      </c>
      <c r="UH23">
        <v>0</v>
      </c>
      <c r="UI23">
        <v>0</v>
      </c>
      <c r="UJ23">
        <v>0</v>
      </c>
      <c r="UK23">
        <v>0</v>
      </c>
      <c r="UL23">
        <v>0</v>
      </c>
      <c r="UM23">
        <v>0</v>
      </c>
      <c r="UN23">
        <v>0</v>
      </c>
      <c r="UO23">
        <v>0</v>
      </c>
      <c r="UP23">
        <v>0</v>
      </c>
      <c r="UQ23">
        <v>0</v>
      </c>
      <c r="UR23">
        <v>0</v>
      </c>
      <c r="US23">
        <v>0</v>
      </c>
      <c r="UT23">
        <v>0</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v>0</v>
      </c>
      <c r="VP23">
        <v>0</v>
      </c>
      <c r="VQ23">
        <v>0</v>
      </c>
      <c r="VR23">
        <v>0</v>
      </c>
      <c r="VS23">
        <v>0</v>
      </c>
      <c r="VT23">
        <v>0</v>
      </c>
      <c r="VU23">
        <v>0</v>
      </c>
      <c r="VV23">
        <v>0</v>
      </c>
      <c r="VW23">
        <v>0</v>
      </c>
      <c r="VX23">
        <v>0</v>
      </c>
      <c r="VY23">
        <v>0</v>
      </c>
      <c r="VZ23">
        <v>0</v>
      </c>
      <c r="WA23">
        <v>0</v>
      </c>
      <c r="WB23">
        <v>0</v>
      </c>
      <c r="WC23">
        <v>0</v>
      </c>
      <c r="WD23">
        <v>0</v>
      </c>
      <c r="WE23">
        <v>0</v>
      </c>
      <c r="WF23">
        <v>0</v>
      </c>
      <c r="WG23">
        <v>0</v>
      </c>
      <c r="WH23">
        <v>0</v>
      </c>
      <c r="WI23">
        <v>0</v>
      </c>
      <c r="WJ23">
        <v>0</v>
      </c>
      <c r="WK23">
        <v>0</v>
      </c>
      <c r="WL23">
        <v>0</v>
      </c>
      <c r="WM23">
        <v>0</v>
      </c>
      <c r="WN23">
        <v>0</v>
      </c>
      <c r="WO23">
        <v>0</v>
      </c>
      <c r="WP23">
        <v>0</v>
      </c>
      <c r="WQ23">
        <v>0</v>
      </c>
      <c r="WR23">
        <v>0</v>
      </c>
      <c r="WS23">
        <v>0</v>
      </c>
      <c r="WT23">
        <v>0</v>
      </c>
      <c r="WU23">
        <v>0</v>
      </c>
      <c r="WV23">
        <v>0</v>
      </c>
      <c r="WW23">
        <v>0</v>
      </c>
      <c r="WX23">
        <v>0</v>
      </c>
      <c r="WY23">
        <v>0</v>
      </c>
      <c r="WZ23">
        <v>0</v>
      </c>
      <c r="XA23">
        <v>0</v>
      </c>
      <c r="XB23">
        <v>0</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0</v>
      </c>
      <c r="XY23">
        <v>0</v>
      </c>
      <c r="XZ23">
        <v>0</v>
      </c>
      <c r="YA23">
        <v>0</v>
      </c>
      <c r="YB23">
        <v>0</v>
      </c>
      <c r="YC23">
        <v>0</v>
      </c>
      <c r="YD23">
        <v>0</v>
      </c>
      <c r="YE23">
        <v>0</v>
      </c>
      <c r="YF23">
        <v>0</v>
      </c>
      <c r="YG23">
        <v>0</v>
      </c>
      <c r="YH23">
        <v>0</v>
      </c>
      <c r="YI23">
        <v>0</v>
      </c>
      <c r="YJ23">
        <v>0</v>
      </c>
      <c r="YK23">
        <v>0</v>
      </c>
      <c r="YL23">
        <v>0</v>
      </c>
      <c r="YM23">
        <v>0</v>
      </c>
      <c r="YN23">
        <v>0</v>
      </c>
      <c r="YO23">
        <v>0</v>
      </c>
      <c r="YP23">
        <v>0</v>
      </c>
      <c r="YQ23">
        <v>0</v>
      </c>
      <c r="YR23">
        <v>0</v>
      </c>
      <c r="YS23">
        <v>0</v>
      </c>
      <c r="YT23">
        <v>0</v>
      </c>
      <c r="YU23">
        <v>0</v>
      </c>
      <c r="YV23">
        <v>0</v>
      </c>
      <c r="YW23">
        <v>0</v>
      </c>
      <c r="YX23">
        <v>0</v>
      </c>
      <c r="YY23">
        <v>0</v>
      </c>
      <c r="YZ23">
        <v>0</v>
      </c>
      <c r="ZA23">
        <v>0</v>
      </c>
      <c r="ZB23">
        <v>0</v>
      </c>
      <c r="ZC23">
        <v>0</v>
      </c>
      <c r="ZD23">
        <v>0</v>
      </c>
      <c r="ZE23">
        <v>0</v>
      </c>
      <c r="ZF23">
        <v>0</v>
      </c>
      <c r="ZG23">
        <v>0</v>
      </c>
      <c r="ZH23">
        <v>0</v>
      </c>
      <c r="ZI23">
        <v>0</v>
      </c>
      <c r="ZJ23">
        <v>0</v>
      </c>
      <c r="ZK23">
        <v>0</v>
      </c>
      <c r="ZL23">
        <v>0</v>
      </c>
      <c r="ZM23">
        <v>0</v>
      </c>
      <c r="ZN23">
        <v>0</v>
      </c>
      <c r="ZO23">
        <v>0</v>
      </c>
      <c r="ZP23">
        <v>0</v>
      </c>
      <c r="ZQ23">
        <v>0</v>
      </c>
      <c r="ZR23">
        <v>0</v>
      </c>
      <c r="ZS23">
        <v>0</v>
      </c>
      <c r="ZT23">
        <v>0</v>
      </c>
      <c r="ZU23">
        <v>0</v>
      </c>
      <c r="ZV23">
        <v>0</v>
      </c>
      <c r="ZW23">
        <v>0</v>
      </c>
      <c r="ZX23">
        <v>0</v>
      </c>
      <c r="ZY23">
        <v>0</v>
      </c>
      <c r="ZZ23">
        <v>0</v>
      </c>
      <c r="AAA23">
        <v>0</v>
      </c>
      <c r="AAB23">
        <v>0</v>
      </c>
      <c r="AAC23">
        <v>0</v>
      </c>
      <c r="AAD23">
        <v>0</v>
      </c>
      <c r="AAE23">
        <v>0</v>
      </c>
      <c r="AAF23">
        <v>0</v>
      </c>
      <c r="AAG23">
        <v>0</v>
      </c>
      <c r="AAH23">
        <v>0</v>
      </c>
      <c r="AAI23">
        <v>0</v>
      </c>
      <c r="AAJ23">
        <v>0</v>
      </c>
      <c r="AAK23">
        <v>0</v>
      </c>
      <c r="AAL23">
        <v>0</v>
      </c>
      <c r="AAM23">
        <v>0</v>
      </c>
      <c r="AAN23">
        <v>0</v>
      </c>
      <c r="AAO23">
        <v>0</v>
      </c>
      <c r="AAP23">
        <v>0</v>
      </c>
      <c r="AAQ23">
        <v>0</v>
      </c>
      <c r="AAR23">
        <v>0</v>
      </c>
      <c r="AAS23">
        <v>0</v>
      </c>
      <c r="AAT23">
        <v>0</v>
      </c>
      <c r="AAU23">
        <v>0</v>
      </c>
      <c r="AAV23">
        <v>0</v>
      </c>
      <c r="AAW23">
        <v>0</v>
      </c>
      <c r="AAX23">
        <v>0</v>
      </c>
      <c r="AAY23">
        <v>0</v>
      </c>
      <c r="AAZ23">
        <v>0</v>
      </c>
      <c r="ABA23">
        <v>0</v>
      </c>
      <c r="ABB23">
        <v>0</v>
      </c>
      <c r="ABC23">
        <v>0</v>
      </c>
      <c r="ABD23">
        <v>0</v>
      </c>
      <c r="ABE23">
        <v>0</v>
      </c>
      <c r="ABF23">
        <v>0</v>
      </c>
      <c r="ABG23">
        <v>0</v>
      </c>
      <c r="ABH23">
        <v>0</v>
      </c>
      <c r="ABI23">
        <v>0</v>
      </c>
      <c r="ABJ23">
        <v>0</v>
      </c>
      <c r="ABK23">
        <v>0</v>
      </c>
      <c r="ABL23">
        <v>0</v>
      </c>
      <c r="ABM23">
        <v>0</v>
      </c>
      <c r="ABN23">
        <v>0</v>
      </c>
      <c r="ABO23">
        <v>0</v>
      </c>
      <c r="ABP23">
        <v>0</v>
      </c>
      <c r="ABQ23">
        <v>0</v>
      </c>
      <c r="ABR23">
        <v>0</v>
      </c>
      <c r="ABS23">
        <v>0</v>
      </c>
      <c r="ABT23">
        <v>0</v>
      </c>
      <c r="ABU23">
        <v>0</v>
      </c>
      <c r="ABV23">
        <v>0</v>
      </c>
      <c r="ABW23">
        <v>0</v>
      </c>
      <c r="ABX23">
        <v>0</v>
      </c>
      <c r="ABY23">
        <v>0</v>
      </c>
      <c r="ABZ23">
        <v>0</v>
      </c>
      <c r="ACA23">
        <v>0</v>
      </c>
      <c r="ACB23">
        <v>0</v>
      </c>
      <c r="ACC23">
        <v>0</v>
      </c>
      <c r="ACD23">
        <v>0</v>
      </c>
      <c r="ACE23">
        <v>0</v>
      </c>
      <c r="ACF23">
        <v>0</v>
      </c>
      <c r="ACG23">
        <v>0</v>
      </c>
      <c r="ACH23">
        <v>0</v>
      </c>
      <c r="ACI23">
        <v>0</v>
      </c>
      <c r="ACJ23">
        <v>0</v>
      </c>
      <c r="ACK23">
        <v>0</v>
      </c>
      <c r="ACL23">
        <v>0</v>
      </c>
      <c r="ACM23">
        <v>0</v>
      </c>
      <c r="ACN23">
        <v>0</v>
      </c>
      <c r="ACO23">
        <v>0</v>
      </c>
      <c r="ACP23">
        <v>0</v>
      </c>
      <c r="ACQ23">
        <v>0</v>
      </c>
      <c r="ACR23">
        <v>0</v>
      </c>
      <c r="ACS23">
        <v>0</v>
      </c>
      <c r="ACT23">
        <v>0</v>
      </c>
      <c r="ACU23">
        <v>0</v>
      </c>
      <c r="ACV23">
        <v>0</v>
      </c>
      <c r="ACW23">
        <v>0</v>
      </c>
      <c r="ACX23">
        <v>0</v>
      </c>
      <c r="ACY23">
        <v>0</v>
      </c>
      <c r="ACZ23">
        <v>0</v>
      </c>
      <c r="ADA23">
        <v>0</v>
      </c>
      <c r="ADB23">
        <v>0</v>
      </c>
      <c r="ADC23">
        <v>0</v>
      </c>
      <c r="ADD23">
        <v>0</v>
      </c>
      <c r="ADE23">
        <v>0</v>
      </c>
      <c r="ADF23">
        <v>0</v>
      </c>
      <c r="ADG23">
        <v>0</v>
      </c>
      <c r="ADH23">
        <v>0</v>
      </c>
      <c r="ADI23">
        <v>0</v>
      </c>
      <c r="ADJ23">
        <v>0</v>
      </c>
      <c r="ADK23">
        <v>0</v>
      </c>
      <c r="ADL23">
        <v>0</v>
      </c>
      <c r="ADM23">
        <v>0</v>
      </c>
      <c r="ADN23">
        <v>0</v>
      </c>
      <c r="ADO23">
        <v>0</v>
      </c>
      <c r="ADP23">
        <v>0</v>
      </c>
      <c r="ADQ23">
        <v>0</v>
      </c>
      <c r="ADR23">
        <v>0</v>
      </c>
      <c r="ADS23">
        <v>0</v>
      </c>
      <c r="ADT23">
        <v>0</v>
      </c>
      <c r="ADU23">
        <v>0</v>
      </c>
      <c r="ADV23">
        <v>0</v>
      </c>
      <c r="ADW23">
        <v>0</v>
      </c>
      <c r="ADX23">
        <v>0</v>
      </c>
      <c r="ADY23">
        <v>0</v>
      </c>
      <c r="ADZ23">
        <v>0</v>
      </c>
      <c r="AEA23">
        <v>0</v>
      </c>
      <c r="AEB23">
        <v>0</v>
      </c>
      <c r="AEC23">
        <v>0</v>
      </c>
      <c r="AED23">
        <v>0</v>
      </c>
      <c r="AEE23">
        <v>0</v>
      </c>
      <c r="AEF23">
        <v>0</v>
      </c>
      <c r="AEG23">
        <v>0</v>
      </c>
      <c r="AEH23">
        <v>0</v>
      </c>
      <c r="AEI23">
        <v>0</v>
      </c>
      <c r="AEJ23">
        <v>0</v>
      </c>
      <c r="AEK23">
        <v>0</v>
      </c>
      <c r="AEL23">
        <v>0</v>
      </c>
      <c r="AEM23">
        <v>0</v>
      </c>
      <c r="AEN23">
        <v>0</v>
      </c>
      <c r="AEO23">
        <v>0</v>
      </c>
      <c r="AEP23">
        <v>0</v>
      </c>
      <c r="AEQ23">
        <v>0</v>
      </c>
      <c r="AER23">
        <v>0</v>
      </c>
      <c r="AES23">
        <v>0</v>
      </c>
      <c r="AET23">
        <v>0</v>
      </c>
      <c r="AEU23">
        <v>0</v>
      </c>
      <c r="AEV23">
        <v>0</v>
      </c>
      <c r="AEW23">
        <v>0</v>
      </c>
      <c r="AEX23">
        <v>0</v>
      </c>
      <c r="AEY23">
        <v>0</v>
      </c>
      <c r="AEZ23">
        <v>0</v>
      </c>
      <c r="AFA23">
        <v>0</v>
      </c>
      <c r="AFB23">
        <v>0</v>
      </c>
      <c r="AFC23">
        <v>0</v>
      </c>
      <c r="AFD23">
        <v>0</v>
      </c>
      <c r="AFE23">
        <v>0</v>
      </c>
      <c r="AFF23">
        <v>0</v>
      </c>
      <c r="AFG23">
        <v>0</v>
      </c>
      <c r="AFH23">
        <v>0</v>
      </c>
      <c r="AFI23">
        <v>0</v>
      </c>
      <c r="AFJ23">
        <v>0</v>
      </c>
      <c r="AFK23">
        <v>0</v>
      </c>
      <c r="AFL23">
        <v>0</v>
      </c>
      <c r="AFM23">
        <v>0</v>
      </c>
      <c r="AFN23">
        <v>0</v>
      </c>
      <c r="AFO23">
        <v>0</v>
      </c>
      <c r="AFP23">
        <v>0</v>
      </c>
      <c r="AFQ23">
        <v>0</v>
      </c>
      <c r="AFR23">
        <v>0</v>
      </c>
      <c r="AFS23">
        <v>0</v>
      </c>
      <c r="AFT23">
        <v>0</v>
      </c>
      <c r="AFU23">
        <v>0</v>
      </c>
      <c r="AFV23">
        <v>0</v>
      </c>
      <c r="AFW23">
        <v>0</v>
      </c>
      <c r="AFX23">
        <v>0</v>
      </c>
      <c r="AFY23">
        <v>0</v>
      </c>
      <c r="AFZ23">
        <v>0</v>
      </c>
      <c r="AGA23">
        <v>0</v>
      </c>
      <c r="AGB23">
        <v>0</v>
      </c>
      <c r="AGC23">
        <v>0</v>
      </c>
      <c r="AGD23">
        <v>0</v>
      </c>
      <c r="AGE23">
        <v>0</v>
      </c>
      <c r="AGF23">
        <v>0</v>
      </c>
      <c r="AGG23">
        <v>0</v>
      </c>
      <c r="AGH23">
        <v>0</v>
      </c>
      <c r="AGI23">
        <v>0</v>
      </c>
      <c r="AGJ23">
        <v>0</v>
      </c>
      <c r="AGK23">
        <v>0</v>
      </c>
      <c r="AGL23">
        <v>0</v>
      </c>
      <c r="AGM23">
        <v>0</v>
      </c>
      <c r="AGN23">
        <v>0</v>
      </c>
      <c r="AGO23">
        <v>0</v>
      </c>
      <c r="AGP23">
        <v>0</v>
      </c>
      <c r="AGQ23">
        <v>0</v>
      </c>
      <c r="AGR23">
        <v>0</v>
      </c>
      <c r="AGS23">
        <v>0</v>
      </c>
      <c r="AGT23">
        <v>0</v>
      </c>
      <c r="AGU23">
        <v>0</v>
      </c>
      <c r="AGV23">
        <v>0</v>
      </c>
      <c r="AGW23">
        <v>0</v>
      </c>
      <c r="AGX23">
        <v>0</v>
      </c>
      <c r="AGY23">
        <v>0</v>
      </c>
      <c r="AGZ23">
        <v>0</v>
      </c>
      <c r="AHA23">
        <v>0</v>
      </c>
      <c r="AHB23">
        <v>0</v>
      </c>
      <c r="AHC23">
        <v>0</v>
      </c>
      <c r="AHD23">
        <v>0</v>
      </c>
      <c r="AHE23">
        <v>0</v>
      </c>
      <c r="AHF23">
        <v>0</v>
      </c>
      <c r="AHG23">
        <v>0</v>
      </c>
      <c r="AHH23">
        <v>0</v>
      </c>
      <c r="AHI23">
        <v>0</v>
      </c>
      <c r="AHJ23">
        <v>0</v>
      </c>
      <c r="AHK23">
        <v>0</v>
      </c>
      <c r="AHL23">
        <v>0</v>
      </c>
      <c r="AHM23">
        <v>0</v>
      </c>
      <c r="AHN23">
        <v>0</v>
      </c>
      <c r="AHO23">
        <v>0</v>
      </c>
      <c r="AHP23">
        <v>0</v>
      </c>
      <c r="AHQ23">
        <v>0</v>
      </c>
      <c r="AHR23">
        <v>0</v>
      </c>
      <c r="AHS23">
        <v>0</v>
      </c>
      <c r="AHT23">
        <v>0</v>
      </c>
      <c r="AHU23">
        <v>0</v>
      </c>
      <c r="AHV23">
        <v>0</v>
      </c>
      <c r="AHW23">
        <v>0</v>
      </c>
      <c r="AHX23">
        <v>0</v>
      </c>
      <c r="AHY23">
        <v>0</v>
      </c>
      <c r="AHZ23">
        <v>0</v>
      </c>
      <c r="AIA23">
        <v>0</v>
      </c>
      <c r="AIB23">
        <v>0</v>
      </c>
      <c r="AIC23">
        <v>0</v>
      </c>
      <c r="AID23">
        <v>0</v>
      </c>
      <c r="AIE23">
        <v>0</v>
      </c>
      <c r="AIF23">
        <v>0</v>
      </c>
      <c r="AIG23">
        <v>0</v>
      </c>
      <c r="AIH23">
        <v>0</v>
      </c>
      <c r="AII23">
        <v>0</v>
      </c>
      <c r="AIJ23">
        <v>0</v>
      </c>
      <c r="AIK23">
        <v>0</v>
      </c>
      <c r="AIL23">
        <v>0</v>
      </c>
      <c r="AIM23">
        <v>0</v>
      </c>
      <c r="AIN23">
        <v>0</v>
      </c>
      <c r="AIO23">
        <v>0</v>
      </c>
      <c r="AIP23">
        <v>0</v>
      </c>
      <c r="AIQ23">
        <v>0</v>
      </c>
      <c r="AIR23">
        <v>0</v>
      </c>
      <c r="AIS23">
        <v>0</v>
      </c>
      <c r="AIT23">
        <v>0</v>
      </c>
      <c r="AIU23">
        <v>0</v>
      </c>
      <c r="AIV23">
        <v>0</v>
      </c>
      <c r="AIW23">
        <v>0</v>
      </c>
      <c r="AIX23">
        <v>0</v>
      </c>
      <c r="AIY23">
        <v>0</v>
      </c>
      <c r="AIZ23">
        <v>0</v>
      </c>
      <c r="AJA23">
        <v>0</v>
      </c>
      <c r="AJB23">
        <v>0</v>
      </c>
      <c r="AJC23">
        <v>0</v>
      </c>
      <c r="AJD23">
        <v>0</v>
      </c>
      <c r="AJE23">
        <v>0</v>
      </c>
      <c r="AJF23">
        <v>0</v>
      </c>
      <c r="AJG23">
        <v>0</v>
      </c>
      <c r="AJH23">
        <v>0</v>
      </c>
      <c r="AJI23">
        <v>0</v>
      </c>
      <c r="AJJ23">
        <v>0</v>
      </c>
      <c r="AJK23">
        <v>0</v>
      </c>
      <c r="AJL23">
        <v>0</v>
      </c>
      <c r="AJM23">
        <v>0</v>
      </c>
      <c r="AJN23">
        <v>0</v>
      </c>
      <c r="AJO23">
        <v>0</v>
      </c>
      <c r="AJP23">
        <v>0</v>
      </c>
      <c r="AJQ23">
        <v>0</v>
      </c>
      <c r="AJR23">
        <v>0</v>
      </c>
      <c r="AJS23">
        <v>0</v>
      </c>
      <c r="AJT23">
        <v>0</v>
      </c>
      <c r="AJU23">
        <v>0</v>
      </c>
      <c r="AJV23">
        <v>0</v>
      </c>
      <c r="AJW23">
        <v>0</v>
      </c>
      <c r="AJX23">
        <v>0</v>
      </c>
      <c r="AJY23">
        <v>0</v>
      </c>
      <c r="AJZ23">
        <v>0</v>
      </c>
      <c r="AKA23">
        <v>0</v>
      </c>
      <c r="AKB23">
        <v>0</v>
      </c>
      <c r="AKC23">
        <v>0</v>
      </c>
      <c r="AKD23">
        <v>0</v>
      </c>
      <c r="AKE23">
        <v>0</v>
      </c>
      <c r="AKF23">
        <v>0</v>
      </c>
      <c r="AKG23">
        <v>0</v>
      </c>
      <c r="AKH23">
        <v>0</v>
      </c>
      <c r="AKI23">
        <v>0</v>
      </c>
      <c r="AKJ23">
        <v>0</v>
      </c>
      <c r="AKK23">
        <v>0</v>
      </c>
      <c r="AKL23">
        <v>0</v>
      </c>
      <c r="AKM23">
        <v>0</v>
      </c>
      <c r="AKN23">
        <v>0</v>
      </c>
      <c r="AKO23">
        <v>0</v>
      </c>
      <c r="AKP23">
        <v>0</v>
      </c>
      <c r="AKQ23">
        <v>0</v>
      </c>
      <c r="AKR23">
        <v>0</v>
      </c>
      <c r="AKS23">
        <v>0</v>
      </c>
      <c r="AKT23">
        <v>0</v>
      </c>
      <c r="AKU23">
        <v>0</v>
      </c>
      <c r="AKV23">
        <v>0</v>
      </c>
      <c r="AKW23">
        <v>0</v>
      </c>
      <c r="AKX23">
        <v>0</v>
      </c>
      <c r="AKY23">
        <v>0</v>
      </c>
      <c r="AKZ23">
        <v>0</v>
      </c>
      <c r="ALA23">
        <v>0</v>
      </c>
      <c r="ALB23">
        <v>0</v>
      </c>
      <c r="ALC23">
        <v>0</v>
      </c>
      <c r="ALD23">
        <v>0</v>
      </c>
      <c r="ALE23">
        <v>0</v>
      </c>
      <c r="ALF23">
        <v>0</v>
      </c>
      <c r="ALG23">
        <v>0</v>
      </c>
      <c r="ALH23">
        <v>0</v>
      </c>
      <c r="ALI23">
        <v>0</v>
      </c>
      <c r="ALJ23">
        <v>0</v>
      </c>
      <c r="ALK23">
        <v>0</v>
      </c>
      <c r="ALL23">
        <v>0</v>
      </c>
      <c r="ALM23">
        <v>0</v>
      </c>
      <c r="ALN23">
        <v>0</v>
      </c>
      <c r="ALO23">
        <v>0</v>
      </c>
      <c r="ALP23">
        <v>0</v>
      </c>
      <c r="ALQ23">
        <v>0</v>
      </c>
    </row>
    <row r="24" spans="1:1005" ht="56">
      <c r="A24" s="325" t="s">
        <v>912</v>
      </c>
      <c r="B24" s="332" t="s">
        <v>34</v>
      </c>
      <c r="C24" s="334" t="s">
        <v>72</v>
      </c>
      <c r="D24" s="632"/>
      <c r="E24" s="329" t="s">
        <v>355</v>
      </c>
      <c r="F24" t="str">
        <f t="array" ref="F24:ALQ24" ca="1">TRANSPOSE(Filtered!U2:U1005)</f>
        <v>Not specified</v>
      </c>
      <c r="G24" t="str">
        <f ca="1"/>
        <v>Not specified</v>
      </c>
      <c r="H24" t="str">
        <f ca="1"/>
        <v>Not specified</v>
      </c>
      <c r="I24" t="str">
        <f ca="1"/>
        <v>Not specified</v>
      </c>
      <c r="J24" t="str">
        <f ca="1"/>
        <v>Not specified</v>
      </c>
      <c r="K24" t="str">
        <f ca="1"/>
        <v>Not specified</v>
      </c>
      <c r="L24" t="str">
        <f ca="1"/>
        <v>Not specified</v>
      </c>
      <c r="M24" t="str">
        <f ca="1"/>
        <v>Not specified</v>
      </c>
      <c r="N24" t="str">
        <f ca="1"/>
        <v>Not specified</v>
      </c>
      <c r="O24" t="str">
        <f ca="1"/>
        <v>Not specified</v>
      </c>
      <c r="P24" t="str">
        <f ca="1"/>
        <v>Not specified</v>
      </c>
      <c r="Q24" t="str">
        <f ca="1"/>
        <v>Not specified</v>
      </c>
      <c r="R24" t="str">
        <f ca="1"/>
        <v>Not specified</v>
      </c>
      <c r="S24" t="str">
        <f ca="1"/>
        <v>Not specified</v>
      </c>
      <c r="T24" t="str">
        <f ca="1"/>
        <v>Not specified</v>
      </c>
      <c r="U24" t="str">
        <f ca="1"/>
        <v>Not specified</v>
      </c>
      <c r="V24" t="str">
        <f ca="1"/>
        <v>Not specified</v>
      </c>
      <c r="W24" t="str">
        <f ca="1"/>
        <v>Not specified</v>
      </c>
      <c r="X24" t="str">
        <f ca="1"/>
        <v>Not specified</v>
      </c>
      <c r="Y24" t="str">
        <f ca="1"/>
        <v>Not specified</v>
      </c>
      <c r="Z24" t="str">
        <f ca="1"/>
        <v>No</v>
      </c>
      <c r="AA24" t="str">
        <f ca="1"/>
        <v>Not specified</v>
      </c>
      <c r="AB24" t="str">
        <f ca="1"/>
        <v>Not specified</v>
      </c>
      <c r="AC24" t="str">
        <f ca="1"/>
        <v>No</v>
      </c>
      <c r="AD24" t="str">
        <f ca="1"/>
        <v>Not specified</v>
      </c>
      <c r="AE24" t="str">
        <f ca="1"/>
        <v>Conditional; Free to read (not paywalled)</v>
      </c>
      <c r="AF24" t="str">
        <f ca="1"/>
        <v>Not specified</v>
      </c>
      <c r="AG24" t="str">
        <f ca="1"/>
        <v>Not specified</v>
      </c>
      <c r="AH24" t="str">
        <f ca="1"/>
        <v>Not specified</v>
      </c>
      <c r="AI24" t="str">
        <f ca="1"/>
        <v>Not specified</v>
      </c>
      <c r="AJ24" t="str">
        <f ca="1"/>
        <v>Not specified</v>
      </c>
      <c r="AK24" t="str">
        <f ca="1"/>
        <v>Not specified</v>
      </c>
      <c r="AL24" t="str">
        <f ca="1"/>
        <v>Not specified</v>
      </c>
      <c r="AM24" t="str">
        <f ca="1"/>
        <v>Not specified</v>
      </c>
      <c r="AN24" t="str">
        <f ca="1"/>
        <v>Not specified</v>
      </c>
      <c r="AO24" t="str">
        <f ca="1"/>
        <v>Not specified</v>
      </c>
      <c r="AP24" t="str">
        <f ca="1"/>
        <v>Not specified</v>
      </c>
      <c r="AQ24" t="str">
        <f ca="1"/>
        <v>Not specified</v>
      </c>
      <c r="AR24" t="str">
        <f ca="1"/>
        <v>Not specified</v>
      </c>
      <c r="AS24" t="str">
        <f ca="1"/>
        <v>Not specified</v>
      </c>
      <c r="AT24" t="str">
        <f ca="1"/>
        <v>Not specified</v>
      </c>
      <c r="AU24" t="str">
        <f ca="1"/>
        <v>Not specified</v>
      </c>
      <c r="AV24" t="str">
        <f ca="1"/>
        <v>Not specified</v>
      </c>
      <c r="AW24" t="str">
        <f ca="1"/>
        <v>Not specified</v>
      </c>
      <c r="AX24" t="str">
        <f ca="1"/>
        <v>Not specified</v>
      </c>
      <c r="AY24" t="str">
        <f ca="1"/>
        <v>Not specified</v>
      </c>
      <c r="AZ24" t="str">
        <f ca="1"/>
        <v>No</v>
      </c>
      <c r="BA24" t="str">
        <f ca="1"/>
        <v>Not specified</v>
      </c>
      <c r="BB24" t="str">
        <f ca="1"/>
        <v>Not specified</v>
      </c>
      <c r="BC24" t="str">
        <f ca="1"/>
        <v>Not specified</v>
      </c>
      <c r="BD24" t="str">
        <f ca="1"/>
        <v>Not specified</v>
      </c>
      <c r="BE24" t="str">
        <f ca="1"/>
        <v>Not specified</v>
      </c>
      <c r="BF24" t="str">
        <f ca="1"/>
        <v>Not specified</v>
      </c>
      <c r="BG24" t="str">
        <f ca="1"/>
        <v>Not specified</v>
      </c>
      <c r="BH24" t="str">
        <f ca="1"/>
        <v>Not specified</v>
      </c>
      <c r="BI24" t="str">
        <f ca="1"/>
        <v>Not specified</v>
      </c>
      <c r="BJ24" t="str">
        <f ca="1"/>
        <v>No</v>
      </c>
      <c r="BK24" t="str">
        <f ca="1"/>
        <v>No</v>
      </c>
      <c r="BL24" t="str">
        <f ca="1"/>
        <v>Not specified</v>
      </c>
      <c r="BM24" t="str">
        <f ca="1"/>
        <v>Not specified</v>
      </c>
      <c r="BN24" t="str">
        <f ca="1"/>
        <v>Not specified</v>
      </c>
      <c r="BO24" t="str">
        <f ca="1"/>
        <v>Not specified</v>
      </c>
      <c r="BP24" t="str">
        <f ca="1"/>
        <v>Not specified</v>
      </c>
      <c r="BQ24" t="str">
        <f ca="1"/>
        <v>Not specified</v>
      </c>
      <c r="BR24" t="str">
        <f ca="1"/>
        <v>Not specified</v>
      </c>
      <c r="BS24" t="str">
        <f ca="1"/>
        <v>No</v>
      </c>
      <c r="BT24" t="str">
        <f ca="1"/>
        <v>Not specified</v>
      </c>
      <c r="BU24" t="str">
        <f ca="1"/>
        <v>Not specified</v>
      </c>
      <c r="BV24" t="str">
        <f ca="1"/>
        <v>No</v>
      </c>
      <c r="BW24" t="str">
        <f ca="1"/>
        <v>Not specified</v>
      </c>
      <c r="BX24" t="str">
        <f ca="1"/>
        <v>Not specified</v>
      </c>
      <c r="BY24" t="str">
        <f ca="1"/>
        <v>Not specified</v>
      </c>
      <c r="BZ24" t="str">
        <f ca="1"/>
        <v>Not specified</v>
      </c>
      <c r="CA24" t="str">
        <f ca="1"/>
        <v>Not specified</v>
      </c>
      <c r="CB24" t="str">
        <f ca="1"/>
        <v>No</v>
      </c>
      <c r="CC24" t="str">
        <f ca="1"/>
        <v>Not specified</v>
      </c>
      <c r="CD24" t="str">
        <f ca="1"/>
        <v>Not specified</v>
      </c>
      <c r="CE24" t="str">
        <f ca="1"/>
        <v>Not specified</v>
      </c>
      <c r="CF24" t="str">
        <f ca="1"/>
        <v>Not specified</v>
      </c>
      <c r="CG24" t="str">
        <f ca="1"/>
        <v>Not specified</v>
      </c>
      <c r="CH24" t="str">
        <f ca="1"/>
        <v>Not specified</v>
      </c>
      <c r="CI24" t="str">
        <f ca="1"/>
        <v>Not specified</v>
      </c>
      <c r="CJ24" t="str">
        <f ca="1"/>
        <v>Not specified</v>
      </c>
      <c r="CK24" t="str">
        <f ca="1"/>
        <v>Not specified</v>
      </c>
      <c r="CL24" t="str">
        <f ca="1"/>
        <v>not specified</v>
      </c>
      <c r="CM24" t="str">
        <f ca="1"/>
        <v>Not specified</v>
      </c>
      <c r="CN24" t="str">
        <f ca="1"/>
        <v>Not specified</v>
      </c>
      <c r="CO24" t="str">
        <f ca="1"/>
        <v>Not specified</v>
      </c>
      <c r="CP24" t="str">
        <f ca="1"/>
        <v>Not specified</v>
      </c>
      <c r="CQ24" t="str">
        <f ca="1"/>
        <v>Not specified</v>
      </c>
      <c r="CR24" t="str">
        <f ca="1"/>
        <v>Not specified</v>
      </c>
      <c r="CS24" t="str">
        <f ca="1"/>
        <v>Not specified</v>
      </c>
      <c r="CT24" t="str">
        <f ca="1"/>
        <v>Not specified</v>
      </c>
      <c r="CU24" t="str">
        <f ca="1"/>
        <v>Not specified</v>
      </c>
      <c r="CV24" t="str">
        <f ca="1"/>
        <v>Not specified</v>
      </c>
      <c r="CW24" t="str">
        <f ca="1"/>
        <v>Not specified</v>
      </c>
      <c r="CX24" t="str">
        <f ca="1"/>
        <v>Not specified</v>
      </c>
      <c r="CY24" t="str">
        <f ca="1"/>
        <v>Not specified</v>
      </c>
      <c r="CZ24" t="str">
        <f ca="1"/>
        <v>Not specified</v>
      </c>
      <c r="DA24" t="str">
        <f ca="1"/>
        <v>No</v>
      </c>
      <c r="DB24" t="str">
        <f ca="1"/>
        <v>No</v>
      </c>
      <c r="DC24" t="str">
        <f ca="1"/>
        <v>Not specified</v>
      </c>
      <c r="DD24" t="str">
        <f ca="1"/>
        <v>Not specified</v>
      </c>
      <c r="DE24" t="str">
        <f ca="1"/>
        <v>Not specified</v>
      </c>
      <c r="DF24" t="str">
        <f ca="1"/>
        <v>Not specified</v>
      </c>
      <c r="DG24" t="str">
        <f ca="1"/>
        <v>Not specified</v>
      </c>
      <c r="DH24" t="str">
        <f ca="1"/>
        <v>Not specified</v>
      </c>
      <c r="DI24" t="str">
        <f ca="1"/>
        <v>Not specified</v>
      </c>
      <c r="DJ24" t="str">
        <f ca="1"/>
        <v>Not specified</v>
      </c>
      <c r="DK24" t="str">
        <f ca="1"/>
        <v>Not specified</v>
      </c>
      <c r="DL24" t="str">
        <f ca="1"/>
        <v>Not specified</v>
      </c>
      <c r="DM24" t="str">
        <f ca="1"/>
        <v>Not specified</v>
      </c>
      <c r="DN24" t="str">
        <f ca="1"/>
        <v>Not specified</v>
      </c>
      <c r="DO24" t="str">
        <f ca="1"/>
        <v>Not specified</v>
      </c>
      <c r="DP24" t="str">
        <f ca="1"/>
        <v>Not specified</v>
      </c>
      <c r="DQ24" t="str">
        <f ca="1"/>
        <v>Not specified</v>
      </c>
      <c r="DR24" t="str">
        <f ca="1"/>
        <v>Not specified</v>
      </c>
      <c r="DS24" t="str">
        <f ca="1"/>
        <v>Not specified</v>
      </c>
      <c r="DT24" t="str">
        <f ca="1"/>
        <v>Not specified</v>
      </c>
      <c r="DU24" t="str">
        <f ca="1"/>
        <v>Not specified</v>
      </c>
      <c r="DV24" t="str">
        <f ca="1"/>
        <v>Not specified</v>
      </c>
      <c r="DW24" t="str">
        <f ca="1"/>
        <v>Mandatory</v>
      </c>
      <c r="DX24" t="str">
        <f ca="1"/>
        <v>No</v>
      </c>
      <c r="DY24" t="str">
        <f ca="1"/>
        <v>Not specified</v>
      </c>
      <c r="DZ24" t="str">
        <f ca="1"/>
        <v>Not specified</v>
      </c>
      <c r="EA24" t="str">
        <f ca="1"/>
        <v>Not specified</v>
      </c>
      <c r="EB24" t="str">
        <f ca="1"/>
        <v>Not specified</v>
      </c>
      <c r="EC24" t="str">
        <f ca="1"/>
        <v>Not specified</v>
      </c>
      <c r="ED24" t="str">
        <f ca="1"/>
        <v>Not specified</v>
      </c>
      <c r="EE24" t="str">
        <f ca="1"/>
        <v>Not specified</v>
      </c>
      <c r="EF24" t="str">
        <f ca="1"/>
        <v>Not specified</v>
      </c>
      <c r="EG24" t="str">
        <f ca="1"/>
        <v>No</v>
      </c>
      <c r="EH24" t="str">
        <f ca="1"/>
        <v>No</v>
      </c>
      <c r="EI24" t="str">
        <f ca="1"/>
        <v>No</v>
      </c>
      <c r="EJ24" t="str">
        <f ca="1"/>
        <v>No</v>
      </c>
      <c r="EK24" t="str">
        <f ca="1"/>
        <v>Not specified</v>
      </c>
      <c r="EL24" t="str">
        <f ca="1"/>
        <v>Not specified</v>
      </c>
      <c r="EM24" t="str">
        <f ca="1"/>
        <v>Not specified</v>
      </c>
      <c r="EN24" t="str">
        <f ca="1"/>
        <v>Not specified</v>
      </c>
      <c r="EO24" t="str">
        <f ca="1"/>
        <v>Not specified</v>
      </c>
      <c r="EP24" t="str">
        <f ca="1"/>
        <v>Not specified</v>
      </c>
      <c r="EQ24" t="str">
        <f ca="1"/>
        <v>Not specified</v>
      </c>
      <c r="ER24" t="str">
        <f ca="1"/>
        <v>Not specified</v>
      </c>
      <c r="ES24" t="str">
        <f ca="1"/>
        <v>Not specified</v>
      </c>
      <c r="ET24" t="str">
        <f ca="1"/>
        <v>No</v>
      </c>
      <c r="EU24" t="str">
        <f ca="1"/>
        <v>Not specified</v>
      </c>
      <c r="EV24" t="str">
        <f ca="1"/>
        <v>Not specified</v>
      </c>
      <c r="EW24" t="str">
        <f ca="1"/>
        <v>Not specified</v>
      </c>
      <c r="EX24" t="str">
        <f ca="1"/>
        <v>Not specified</v>
      </c>
      <c r="EY24" t="str">
        <f ca="1"/>
        <v>Not specified</v>
      </c>
      <c r="EZ24" t="str">
        <f ca="1"/>
        <v>Not specified</v>
      </c>
      <c r="FA24" t="str">
        <f ca="1"/>
        <v>Not specified</v>
      </c>
      <c r="FB24" t="str">
        <f ca="1"/>
        <v>Not specified</v>
      </c>
      <c r="FC24" t="str">
        <f ca="1"/>
        <v>Not specified</v>
      </c>
      <c r="FD24" t="str">
        <f ca="1"/>
        <v>Not specified</v>
      </c>
      <c r="FE24" t="str">
        <f ca="1"/>
        <v>Not specified</v>
      </c>
      <c r="FF24" t="str">
        <f ca="1"/>
        <v>No</v>
      </c>
      <c r="FG24" t="str">
        <f ca="1"/>
        <v>Not specified</v>
      </c>
      <c r="FH24" t="str">
        <f ca="1"/>
        <v>Not specified</v>
      </c>
      <c r="FI24" t="str">
        <f ca="1"/>
        <v>Not specified</v>
      </c>
      <c r="FJ24" t="str">
        <f ca="1"/>
        <v>Not specified</v>
      </c>
      <c r="FK24" t="str">
        <f ca="1"/>
        <v>Not specified</v>
      </c>
      <c r="FL24" t="str">
        <f ca="1"/>
        <v>Not specified</v>
      </c>
      <c r="FM24" t="str">
        <f ca="1"/>
        <v>Not specified</v>
      </c>
      <c r="FN24" t="str">
        <f ca="1"/>
        <v>Not specified</v>
      </c>
      <c r="FO24" t="str">
        <f ca="1"/>
        <v>Not specified</v>
      </c>
      <c r="FP24" t="str">
        <f ca="1"/>
        <v>Not specified</v>
      </c>
      <c r="FQ24" t="str">
        <f ca="1"/>
        <v>Not specified</v>
      </c>
      <c r="FR24" t="str">
        <f ca="1"/>
        <v>Not specified</v>
      </c>
      <c r="FS24" t="str">
        <f ca="1"/>
        <v>Not specified</v>
      </c>
      <c r="FT24" t="str">
        <f ca="1"/>
        <v>No</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0</v>
      </c>
      <c r="QO24">
        <v>0</v>
      </c>
      <c r="QP24">
        <v>0</v>
      </c>
      <c r="QQ24">
        <v>0</v>
      </c>
      <c r="QR24">
        <v>0</v>
      </c>
      <c r="QS24">
        <v>0</v>
      </c>
      <c r="QT24">
        <v>0</v>
      </c>
      <c r="QU24">
        <v>0</v>
      </c>
      <c r="QV24">
        <v>0</v>
      </c>
      <c r="QW24">
        <v>0</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0</v>
      </c>
      <c r="SV24">
        <v>0</v>
      </c>
      <c r="SW24">
        <v>0</v>
      </c>
      <c r="SX24">
        <v>0</v>
      </c>
      <c r="SY24">
        <v>0</v>
      </c>
      <c r="SZ24">
        <v>0</v>
      </c>
      <c r="TA24">
        <v>0</v>
      </c>
      <c r="TB24">
        <v>0</v>
      </c>
      <c r="TC24">
        <v>0</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0</v>
      </c>
      <c r="VH24">
        <v>0</v>
      </c>
      <c r="VI24">
        <v>0</v>
      </c>
      <c r="VJ24">
        <v>0</v>
      </c>
      <c r="VK24">
        <v>0</v>
      </c>
      <c r="VL24">
        <v>0</v>
      </c>
      <c r="VM24">
        <v>0</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0</v>
      </c>
      <c r="YW24">
        <v>0</v>
      </c>
      <c r="YX24">
        <v>0</v>
      </c>
      <c r="YY24">
        <v>0</v>
      </c>
      <c r="YZ24">
        <v>0</v>
      </c>
      <c r="ZA24">
        <v>0</v>
      </c>
      <c r="ZB24">
        <v>0</v>
      </c>
      <c r="ZC24">
        <v>0</v>
      </c>
      <c r="ZD24">
        <v>0</v>
      </c>
      <c r="ZE24">
        <v>0</v>
      </c>
      <c r="ZF24">
        <v>0</v>
      </c>
      <c r="ZG24">
        <v>0</v>
      </c>
      <c r="ZH24">
        <v>0</v>
      </c>
      <c r="ZI24">
        <v>0</v>
      </c>
      <c r="ZJ24">
        <v>0</v>
      </c>
      <c r="ZK24">
        <v>0</v>
      </c>
      <c r="ZL24">
        <v>0</v>
      </c>
      <c r="ZM24">
        <v>0</v>
      </c>
      <c r="ZN24">
        <v>0</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0</v>
      </c>
      <c r="ADT24">
        <v>0</v>
      </c>
      <c r="ADU24">
        <v>0</v>
      </c>
      <c r="ADV24">
        <v>0</v>
      </c>
      <c r="ADW24">
        <v>0</v>
      </c>
      <c r="ADX24">
        <v>0</v>
      </c>
      <c r="ADY24">
        <v>0</v>
      </c>
      <c r="ADZ24">
        <v>0</v>
      </c>
      <c r="AEA24">
        <v>0</v>
      </c>
      <c r="AEB24">
        <v>0</v>
      </c>
      <c r="AEC24">
        <v>0</v>
      </c>
      <c r="AED24">
        <v>0</v>
      </c>
      <c r="AEE24">
        <v>0</v>
      </c>
      <c r="AEF24">
        <v>0</v>
      </c>
      <c r="AEG24">
        <v>0</v>
      </c>
      <c r="AEH24">
        <v>0</v>
      </c>
      <c r="AEI24">
        <v>0</v>
      </c>
      <c r="AEJ24">
        <v>0</v>
      </c>
      <c r="AEK24">
        <v>0</v>
      </c>
      <c r="AEL24">
        <v>0</v>
      </c>
      <c r="AEM24">
        <v>0</v>
      </c>
      <c r="AEN24">
        <v>0</v>
      </c>
      <c r="AEO24">
        <v>0</v>
      </c>
      <c r="AEP24">
        <v>0</v>
      </c>
      <c r="AEQ24">
        <v>0</v>
      </c>
      <c r="AER24">
        <v>0</v>
      </c>
      <c r="AES24">
        <v>0</v>
      </c>
      <c r="AET24">
        <v>0</v>
      </c>
      <c r="AEU24">
        <v>0</v>
      </c>
      <c r="AEV24">
        <v>0</v>
      </c>
      <c r="AEW24">
        <v>0</v>
      </c>
      <c r="AEX24">
        <v>0</v>
      </c>
      <c r="AEY24">
        <v>0</v>
      </c>
      <c r="AEZ24">
        <v>0</v>
      </c>
      <c r="AFA24">
        <v>0</v>
      </c>
      <c r="AFB24">
        <v>0</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0</v>
      </c>
      <c r="AIQ24">
        <v>0</v>
      </c>
      <c r="AIR24">
        <v>0</v>
      </c>
      <c r="AIS24">
        <v>0</v>
      </c>
      <c r="AIT24">
        <v>0</v>
      </c>
      <c r="AIU24">
        <v>0</v>
      </c>
      <c r="AIV24">
        <v>0</v>
      </c>
      <c r="AIW24">
        <v>0</v>
      </c>
      <c r="AIX24">
        <v>0</v>
      </c>
      <c r="AIY24">
        <v>0</v>
      </c>
      <c r="AIZ24">
        <v>0</v>
      </c>
      <c r="AJA24">
        <v>0</v>
      </c>
      <c r="AJB24">
        <v>0</v>
      </c>
      <c r="AJC24">
        <v>0</v>
      </c>
      <c r="AJD24">
        <v>0</v>
      </c>
      <c r="AJE24">
        <v>0</v>
      </c>
      <c r="AJF24">
        <v>0</v>
      </c>
      <c r="AJG24">
        <v>0</v>
      </c>
      <c r="AJH24">
        <v>0</v>
      </c>
      <c r="AJI24">
        <v>0</v>
      </c>
      <c r="AJJ24">
        <v>0</v>
      </c>
      <c r="AJK24">
        <v>0</v>
      </c>
      <c r="AJL24">
        <v>0</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0</v>
      </c>
      <c r="AKH24">
        <v>0</v>
      </c>
      <c r="AKI24">
        <v>0</v>
      </c>
      <c r="AKJ24">
        <v>0</v>
      </c>
      <c r="AKK24">
        <v>0</v>
      </c>
      <c r="AKL24">
        <v>0</v>
      </c>
      <c r="AKM24">
        <v>0</v>
      </c>
      <c r="AKN24">
        <v>0</v>
      </c>
      <c r="AKO24">
        <v>0</v>
      </c>
      <c r="AKP24">
        <v>0</v>
      </c>
      <c r="AKQ24">
        <v>0</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row>
    <row r="25" spans="1:1005" ht="70">
      <c r="A25" s="325" t="s">
        <v>912</v>
      </c>
      <c r="B25" s="338" t="s">
        <v>35</v>
      </c>
      <c r="C25" s="340" t="s">
        <v>73</v>
      </c>
      <c r="D25" s="632"/>
      <c r="E25" s="329" t="s">
        <v>355</v>
      </c>
      <c r="F25" t="str">
        <f t="array" ref="F25:ALQ25" ca="1">TRANSPOSE(Filtered!V2:V1005)</f>
        <v>Not specified</v>
      </c>
      <c r="G25" t="str">
        <f ca="1"/>
        <v>Not specified</v>
      </c>
      <c r="H25" t="str">
        <f ca="1"/>
        <v>Not specified</v>
      </c>
      <c r="I25" t="str">
        <f ca="1"/>
        <v>Not specified</v>
      </c>
      <c r="J25" t="str">
        <f ca="1"/>
        <v>Not specified</v>
      </c>
      <c r="K25" t="str">
        <f ca="1"/>
        <v>Not specified</v>
      </c>
      <c r="L25" t="str">
        <f ca="1"/>
        <v>Not specified</v>
      </c>
      <c r="M25" t="str">
        <f ca="1"/>
        <v>Not specified</v>
      </c>
      <c r="N25" t="str">
        <f ca="1"/>
        <v>Not specified</v>
      </c>
      <c r="O25" t="str">
        <f ca="1"/>
        <v>Not specified</v>
      </c>
      <c r="P25" t="str">
        <f ca="1"/>
        <v>Not specified</v>
      </c>
      <c r="Q25" t="str">
        <f ca="1"/>
        <v>Not specified</v>
      </c>
      <c r="R25" t="str">
        <f ca="1"/>
        <v>Not specified</v>
      </c>
      <c r="S25" t="str">
        <f ca="1"/>
        <v>Not specified</v>
      </c>
      <c r="T25" t="str">
        <f ca="1"/>
        <v>Not specified</v>
      </c>
      <c r="U25" t="str">
        <f ca="1"/>
        <v>Not specified</v>
      </c>
      <c r="V25" t="str">
        <f ca="1"/>
        <v>Not specified</v>
      </c>
      <c r="W25" t="str">
        <f ca="1"/>
        <v>Not specified</v>
      </c>
      <c r="X25" t="str">
        <f ca="1"/>
        <v>Not specified</v>
      </c>
      <c r="Y25" t="str">
        <f ca="1"/>
        <v>Not specified</v>
      </c>
      <c r="Z25" t="str">
        <f ca="1"/>
        <v>No</v>
      </c>
      <c r="AA25" t="str">
        <f ca="1"/>
        <v>Not specified</v>
      </c>
      <c r="AB25" t="str">
        <f ca="1"/>
        <v>Not specified</v>
      </c>
      <c r="AC25" t="str">
        <f ca="1"/>
        <v>No</v>
      </c>
      <c r="AD25" t="str">
        <f ca="1"/>
        <v>Not specified</v>
      </c>
      <c r="AE25" t="str">
        <f ca="1"/>
        <v>Conditional; Free to read (not paywalled)</v>
      </c>
      <c r="AF25" t="str">
        <f ca="1"/>
        <v>Not specified</v>
      </c>
      <c r="AG25" t="str">
        <f ca="1"/>
        <v>Not specified</v>
      </c>
      <c r="AH25" t="str">
        <f ca="1"/>
        <v>Not specified</v>
      </c>
      <c r="AI25" t="str">
        <f ca="1"/>
        <v>Not specified</v>
      </c>
      <c r="AJ25" t="str">
        <f ca="1"/>
        <v>Not specified</v>
      </c>
      <c r="AK25" t="str">
        <f ca="1"/>
        <v>Not specified</v>
      </c>
      <c r="AL25" t="str">
        <f ca="1"/>
        <v>Not specified</v>
      </c>
      <c r="AM25" t="str">
        <f ca="1"/>
        <v>Not specified</v>
      </c>
      <c r="AN25" t="str">
        <f ca="1"/>
        <v>Not specified</v>
      </c>
      <c r="AO25" t="str">
        <f ca="1"/>
        <v>Not specified</v>
      </c>
      <c r="AP25" t="str">
        <f ca="1"/>
        <v>Not specified</v>
      </c>
      <c r="AQ25" t="str">
        <f ca="1"/>
        <v>Not specified</v>
      </c>
      <c r="AR25" t="str">
        <f ca="1"/>
        <v>Not specified</v>
      </c>
      <c r="AS25" t="str">
        <f ca="1"/>
        <v>Not specified</v>
      </c>
      <c r="AT25" t="str">
        <f ca="1"/>
        <v>Not specified</v>
      </c>
      <c r="AU25" t="str">
        <f ca="1"/>
        <v>Not specified</v>
      </c>
      <c r="AV25" t="str">
        <f ca="1"/>
        <v>Not specified</v>
      </c>
      <c r="AW25" t="str">
        <f ca="1"/>
        <v>Not specified</v>
      </c>
      <c r="AX25" t="str">
        <f ca="1"/>
        <v>Not specified</v>
      </c>
      <c r="AY25" t="str">
        <f ca="1"/>
        <v>Not specified</v>
      </c>
      <c r="AZ25" t="str">
        <f ca="1"/>
        <v>Not specified</v>
      </c>
      <c r="BA25" t="str">
        <f ca="1"/>
        <v>Not specified</v>
      </c>
      <c r="BB25" t="str">
        <f ca="1"/>
        <v>Not specified</v>
      </c>
      <c r="BC25" t="str">
        <f ca="1"/>
        <v>Not specified</v>
      </c>
      <c r="BD25" t="str">
        <f ca="1"/>
        <v>Not specified</v>
      </c>
      <c r="BE25" t="str">
        <f ca="1"/>
        <v>Not specified</v>
      </c>
      <c r="BF25" t="str">
        <f ca="1"/>
        <v>No</v>
      </c>
      <c r="BG25" t="str">
        <f ca="1"/>
        <v>Not specified</v>
      </c>
      <c r="BH25" t="str">
        <f ca="1"/>
        <v>Not specified</v>
      </c>
      <c r="BI25" t="str">
        <f ca="1"/>
        <v>Not specified</v>
      </c>
      <c r="BJ25" t="str">
        <f ca="1"/>
        <v>No</v>
      </c>
      <c r="BK25" t="str">
        <f ca="1"/>
        <v>No</v>
      </c>
      <c r="BL25" t="str">
        <f ca="1"/>
        <v>Not specified</v>
      </c>
      <c r="BM25" t="str">
        <f ca="1"/>
        <v>Not specified</v>
      </c>
      <c r="BN25" t="str">
        <f ca="1"/>
        <v>Not specified</v>
      </c>
      <c r="BO25" t="str">
        <f ca="1"/>
        <v>Not specified</v>
      </c>
      <c r="BP25" t="str">
        <f ca="1"/>
        <v>Not specified</v>
      </c>
      <c r="BQ25" t="str">
        <f ca="1"/>
        <v>Not specified</v>
      </c>
      <c r="BR25" t="str">
        <f ca="1"/>
        <v>Not specified</v>
      </c>
      <c r="BS25" t="str">
        <f ca="1"/>
        <v>No</v>
      </c>
      <c r="BT25" t="str">
        <f ca="1"/>
        <v>No</v>
      </c>
      <c r="BU25" t="str">
        <f ca="1"/>
        <v>Not specified</v>
      </c>
      <c r="BV25" t="str">
        <f ca="1"/>
        <v>No</v>
      </c>
      <c r="BW25" t="str">
        <f ca="1"/>
        <v>Not specified</v>
      </c>
      <c r="BX25" t="str">
        <f ca="1"/>
        <v>Not specified</v>
      </c>
      <c r="BY25" t="str">
        <f ca="1"/>
        <v>Not specified</v>
      </c>
      <c r="BZ25" t="str">
        <f ca="1"/>
        <v>Not specified</v>
      </c>
      <c r="CA25" t="str">
        <f ca="1"/>
        <v>Not specified</v>
      </c>
      <c r="CB25" t="str">
        <f ca="1"/>
        <v>No</v>
      </c>
      <c r="CC25" t="str">
        <f ca="1"/>
        <v>Not specified</v>
      </c>
      <c r="CD25" t="str">
        <f ca="1"/>
        <v>Not specified</v>
      </c>
      <c r="CE25" t="str">
        <f ca="1"/>
        <v>Not specified</v>
      </c>
      <c r="CF25" t="str">
        <f ca="1"/>
        <v>Not specified</v>
      </c>
      <c r="CG25" t="str">
        <f ca="1"/>
        <v>Not specified</v>
      </c>
      <c r="CH25" t="str">
        <f ca="1"/>
        <v>Not specified</v>
      </c>
      <c r="CI25" t="str">
        <f ca="1"/>
        <v>Not specified</v>
      </c>
      <c r="CJ25" t="str">
        <f ca="1"/>
        <v>Not specified</v>
      </c>
      <c r="CK25" t="str">
        <f ca="1"/>
        <v>Not specified</v>
      </c>
      <c r="CL25" t="str">
        <f ca="1"/>
        <v>Not specified</v>
      </c>
      <c r="CM25" t="str">
        <f ca="1"/>
        <v>Not specified</v>
      </c>
      <c r="CN25" t="str">
        <f ca="1"/>
        <v>Not specified</v>
      </c>
      <c r="CO25" t="str">
        <f ca="1"/>
        <v>Not specified</v>
      </c>
      <c r="CP25" t="str">
        <f ca="1"/>
        <v>Not specified</v>
      </c>
      <c r="CQ25" t="str">
        <f ca="1"/>
        <v>Not specified</v>
      </c>
      <c r="CR25" t="str">
        <f ca="1"/>
        <v>Not specified</v>
      </c>
      <c r="CS25" t="str">
        <f ca="1"/>
        <v>Not specified</v>
      </c>
      <c r="CT25" t="str">
        <f ca="1"/>
        <v>Not specified</v>
      </c>
      <c r="CU25" t="str">
        <f ca="1"/>
        <v>Not specified</v>
      </c>
      <c r="CV25" t="str">
        <f ca="1"/>
        <v>Not specified</v>
      </c>
      <c r="CW25" t="str">
        <f ca="1"/>
        <v>Not specified</v>
      </c>
      <c r="CX25" t="str">
        <f ca="1"/>
        <v>Not specified</v>
      </c>
      <c r="CY25" t="str">
        <f ca="1"/>
        <v>Not specified</v>
      </c>
      <c r="CZ25" t="str">
        <f ca="1"/>
        <v>Not specified</v>
      </c>
      <c r="DA25" t="str">
        <f ca="1"/>
        <v>No</v>
      </c>
      <c r="DB25" t="str">
        <f ca="1"/>
        <v>No</v>
      </c>
      <c r="DC25" t="str">
        <f ca="1"/>
        <v>Not specified</v>
      </c>
      <c r="DD25" t="str">
        <f ca="1"/>
        <v>Not specified</v>
      </c>
      <c r="DE25" t="str">
        <f ca="1"/>
        <v>Not specified</v>
      </c>
      <c r="DF25" t="str">
        <f ca="1"/>
        <v>Not specified</v>
      </c>
      <c r="DG25" t="str">
        <f ca="1"/>
        <v>Not specified</v>
      </c>
      <c r="DH25" t="str">
        <f ca="1"/>
        <v>Not specified</v>
      </c>
      <c r="DI25" t="str">
        <f ca="1"/>
        <v>Not specified</v>
      </c>
      <c r="DJ25" t="str">
        <f ca="1"/>
        <v>Not specified</v>
      </c>
      <c r="DK25" t="str">
        <f ca="1"/>
        <v>Not specified</v>
      </c>
      <c r="DL25" t="str">
        <f ca="1"/>
        <v>Not specified</v>
      </c>
      <c r="DM25" t="str">
        <f ca="1"/>
        <v>Not specified</v>
      </c>
      <c r="DN25" t="str">
        <f ca="1"/>
        <v>Not specified</v>
      </c>
      <c r="DO25" t="str">
        <f ca="1"/>
        <v>Not specified</v>
      </c>
      <c r="DP25" t="str">
        <f ca="1"/>
        <v>Not specified</v>
      </c>
      <c r="DQ25" t="str">
        <f ca="1"/>
        <v>Not specified</v>
      </c>
      <c r="DR25" t="str">
        <f ca="1"/>
        <v>Not specified</v>
      </c>
      <c r="DS25" t="str">
        <f ca="1"/>
        <v>Not specified</v>
      </c>
      <c r="DT25" t="str">
        <f ca="1"/>
        <v>Not specified</v>
      </c>
      <c r="DU25" t="str">
        <f ca="1"/>
        <v>Not specified</v>
      </c>
      <c r="DV25" t="str">
        <f ca="1"/>
        <v>Not specified</v>
      </c>
      <c r="DW25" t="str">
        <f ca="1"/>
        <v>Not specified</v>
      </c>
      <c r="DX25" t="str">
        <f ca="1"/>
        <v>No</v>
      </c>
      <c r="DY25" t="str">
        <f ca="1"/>
        <v>Not specified</v>
      </c>
      <c r="DZ25" t="str">
        <f ca="1"/>
        <v>Not specified</v>
      </c>
      <c r="EA25" t="str">
        <f ca="1"/>
        <v>Not specified</v>
      </c>
      <c r="EB25" t="str">
        <f ca="1"/>
        <v>Not specified</v>
      </c>
      <c r="EC25" t="str">
        <f ca="1"/>
        <v>Not specified</v>
      </c>
      <c r="ED25" t="str">
        <f ca="1"/>
        <v>Not specified</v>
      </c>
      <c r="EE25" t="str">
        <f ca="1"/>
        <v>Not specified</v>
      </c>
      <c r="EF25" t="str">
        <f ca="1"/>
        <v>Not specified</v>
      </c>
      <c r="EG25" t="str">
        <f ca="1"/>
        <v>Not specified</v>
      </c>
      <c r="EH25" t="str">
        <f ca="1"/>
        <v>Not specified</v>
      </c>
      <c r="EI25" t="str">
        <f ca="1"/>
        <v>No</v>
      </c>
      <c r="EJ25" t="str">
        <f ca="1"/>
        <v>No</v>
      </c>
      <c r="EK25" t="str">
        <f ca="1"/>
        <v>Not specified</v>
      </c>
      <c r="EL25" t="str">
        <f ca="1"/>
        <v>Not specified</v>
      </c>
      <c r="EM25" t="str">
        <f ca="1"/>
        <v>Not specified</v>
      </c>
      <c r="EN25" t="str">
        <f ca="1"/>
        <v>Not specified</v>
      </c>
      <c r="EO25" t="str">
        <f ca="1"/>
        <v>Not specified</v>
      </c>
      <c r="EP25" t="str">
        <f ca="1"/>
        <v>Not specified</v>
      </c>
      <c r="EQ25" t="str">
        <f ca="1"/>
        <v>Not specified</v>
      </c>
      <c r="ER25" t="str">
        <f ca="1"/>
        <v>Not specified</v>
      </c>
      <c r="ES25" t="str">
        <f ca="1"/>
        <v>Not specified</v>
      </c>
      <c r="ET25" t="str">
        <f ca="1"/>
        <v>Not specified</v>
      </c>
      <c r="EU25" t="str">
        <f ca="1"/>
        <v>Not specified</v>
      </c>
      <c r="EV25" t="str">
        <f ca="1"/>
        <v>Not specified</v>
      </c>
      <c r="EW25" t="str">
        <f ca="1"/>
        <v>Not specified</v>
      </c>
      <c r="EX25" t="str">
        <f ca="1"/>
        <v>Not specified</v>
      </c>
      <c r="EY25" t="str">
        <f ca="1"/>
        <v>Not specified</v>
      </c>
      <c r="EZ25" t="str">
        <f ca="1"/>
        <v>Not specified</v>
      </c>
      <c r="FA25" t="str">
        <f ca="1"/>
        <v>Not specified</v>
      </c>
      <c r="FB25" t="str">
        <f ca="1"/>
        <v>Not specified</v>
      </c>
      <c r="FC25" t="str">
        <f ca="1"/>
        <v>Not specified</v>
      </c>
      <c r="FD25" t="str">
        <f ca="1"/>
        <v>Not specified</v>
      </c>
      <c r="FE25" t="str">
        <f ca="1"/>
        <v>Not specified</v>
      </c>
      <c r="FF25" t="str">
        <f ca="1"/>
        <v>No</v>
      </c>
      <c r="FG25" t="str">
        <f ca="1"/>
        <v>Not specified</v>
      </c>
      <c r="FH25" t="str">
        <f ca="1"/>
        <v>Not specified</v>
      </c>
      <c r="FI25" t="str">
        <f ca="1"/>
        <v>Not specified</v>
      </c>
      <c r="FJ25" t="str">
        <f ca="1"/>
        <v>Not specified</v>
      </c>
      <c r="FK25" t="str">
        <f ca="1"/>
        <v>Not specified</v>
      </c>
      <c r="FL25" t="str">
        <f ca="1"/>
        <v>Not specified</v>
      </c>
      <c r="FM25" t="str">
        <f ca="1"/>
        <v>Not specified</v>
      </c>
      <c r="FN25" t="str">
        <f ca="1"/>
        <v>Not specified</v>
      </c>
      <c r="FO25" t="str">
        <f ca="1"/>
        <v>Not specified</v>
      </c>
      <c r="FP25" t="str">
        <f ca="1"/>
        <v>Not specified</v>
      </c>
      <c r="FQ25" t="str">
        <f ca="1"/>
        <v>Not specified</v>
      </c>
      <c r="FR25" t="str">
        <f ca="1"/>
        <v>Not specified</v>
      </c>
      <c r="FS25" t="str">
        <f ca="1"/>
        <v>Not specified</v>
      </c>
      <c r="FT25" t="str">
        <f ca="1"/>
        <v>No</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0</v>
      </c>
      <c r="QO25">
        <v>0</v>
      </c>
      <c r="QP25">
        <v>0</v>
      </c>
      <c r="QQ25">
        <v>0</v>
      </c>
      <c r="QR25">
        <v>0</v>
      </c>
      <c r="QS25">
        <v>0</v>
      </c>
      <c r="QT25">
        <v>0</v>
      </c>
      <c r="QU25">
        <v>0</v>
      </c>
      <c r="QV25">
        <v>0</v>
      </c>
      <c r="QW25">
        <v>0</v>
      </c>
      <c r="QX25">
        <v>0</v>
      </c>
      <c r="QY25">
        <v>0</v>
      </c>
      <c r="QZ25">
        <v>0</v>
      </c>
      <c r="RA25">
        <v>0</v>
      </c>
      <c r="RB25">
        <v>0</v>
      </c>
      <c r="RC25">
        <v>0</v>
      </c>
      <c r="RD25">
        <v>0</v>
      </c>
      <c r="RE25">
        <v>0</v>
      </c>
      <c r="RF25">
        <v>0</v>
      </c>
      <c r="RG25">
        <v>0</v>
      </c>
      <c r="RH25">
        <v>0</v>
      </c>
      <c r="RI25">
        <v>0</v>
      </c>
      <c r="RJ25">
        <v>0</v>
      </c>
      <c r="RK25">
        <v>0</v>
      </c>
      <c r="RL25">
        <v>0</v>
      </c>
      <c r="RM25">
        <v>0</v>
      </c>
      <c r="RN25">
        <v>0</v>
      </c>
      <c r="RO25">
        <v>0</v>
      </c>
      <c r="RP25">
        <v>0</v>
      </c>
      <c r="RQ25">
        <v>0</v>
      </c>
      <c r="RR25">
        <v>0</v>
      </c>
      <c r="RS25">
        <v>0</v>
      </c>
      <c r="RT25">
        <v>0</v>
      </c>
      <c r="RU25">
        <v>0</v>
      </c>
      <c r="RV25">
        <v>0</v>
      </c>
      <c r="RW25">
        <v>0</v>
      </c>
      <c r="RX25">
        <v>0</v>
      </c>
      <c r="RY25">
        <v>0</v>
      </c>
      <c r="RZ25">
        <v>0</v>
      </c>
      <c r="SA25">
        <v>0</v>
      </c>
      <c r="SB25">
        <v>0</v>
      </c>
      <c r="SC25">
        <v>0</v>
      </c>
      <c r="SD25">
        <v>0</v>
      </c>
      <c r="SE25">
        <v>0</v>
      </c>
      <c r="SF25">
        <v>0</v>
      </c>
      <c r="SG25">
        <v>0</v>
      </c>
      <c r="SH25">
        <v>0</v>
      </c>
      <c r="SI25">
        <v>0</v>
      </c>
      <c r="SJ25">
        <v>0</v>
      </c>
      <c r="SK25">
        <v>0</v>
      </c>
      <c r="SL25">
        <v>0</v>
      </c>
      <c r="SM25">
        <v>0</v>
      </c>
      <c r="SN25">
        <v>0</v>
      </c>
      <c r="SO25">
        <v>0</v>
      </c>
      <c r="SP25">
        <v>0</v>
      </c>
      <c r="SQ25">
        <v>0</v>
      </c>
      <c r="SR25">
        <v>0</v>
      </c>
      <c r="SS25">
        <v>0</v>
      </c>
      <c r="ST25">
        <v>0</v>
      </c>
      <c r="SU25">
        <v>0</v>
      </c>
      <c r="SV25">
        <v>0</v>
      </c>
      <c r="SW25">
        <v>0</v>
      </c>
      <c r="SX25">
        <v>0</v>
      </c>
      <c r="SY25">
        <v>0</v>
      </c>
      <c r="SZ25">
        <v>0</v>
      </c>
      <c r="TA25">
        <v>0</v>
      </c>
      <c r="TB25">
        <v>0</v>
      </c>
      <c r="TC25">
        <v>0</v>
      </c>
      <c r="TD25">
        <v>0</v>
      </c>
      <c r="TE25">
        <v>0</v>
      </c>
      <c r="TF25">
        <v>0</v>
      </c>
      <c r="TG25">
        <v>0</v>
      </c>
      <c r="TH25">
        <v>0</v>
      </c>
      <c r="TI25">
        <v>0</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0</v>
      </c>
      <c r="VO25">
        <v>0</v>
      </c>
      <c r="VP25">
        <v>0</v>
      </c>
      <c r="VQ25">
        <v>0</v>
      </c>
      <c r="VR25">
        <v>0</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M25">
        <v>0</v>
      </c>
      <c r="WN25">
        <v>0</v>
      </c>
      <c r="WO25">
        <v>0</v>
      </c>
      <c r="WP25">
        <v>0</v>
      </c>
      <c r="WQ25">
        <v>0</v>
      </c>
      <c r="WR25">
        <v>0</v>
      </c>
      <c r="WS25">
        <v>0</v>
      </c>
      <c r="WT25">
        <v>0</v>
      </c>
      <c r="WU25">
        <v>0</v>
      </c>
      <c r="WV25">
        <v>0</v>
      </c>
      <c r="WW25">
        <v>0</v>
      </c>
      <c r="WX25">
        <v>0</v>
      </c>
      <c r="WY25">
        <v>0</v>
      </c>
      <c r="WZ25">
        <v>0</v>
      </c>
      <c r="XA25">
        <v>0</v>
      </c>
      <c r="XB25">
        <v>0</v>
      </c>
      <c r="XC25">
        <v>0</v>
      </c>
      <c r="XD25">
        <v>0</v>
      </c>
      <c r="XE25">
        <v>0</v>
      </c>
      <c r="XF25">
        <v>0</v>
      </c>
      <c r="XG25">
        <v>0</v>
      </c>
      <c r="XH25">
        <v>0</v>
      </c>
      <c r="XI25">
        <v>0</v>
      </c>
      <c r="XJ25">
        <v>0</v>
      </c>
      <c r="XK25">
        <v>0</v>
      </c>
      <c r="XL25">
        <v>0</v>
      </c>
      <c r="XM25">
        <v>0</v>
      </c>
      <c r="XN25">
        <v>0</v>
      </c>
      <c r="XO25">
        <v>0</v>
      </c>
      <c r="XP25">
        <v>0</v>
      </c>
      <c r="XQ25">
        <v>0</v>
      </c>
      <c r="XR25">
        <v>0</v>
      </c>
      <c r="XS25">
        <v>0</v>
      </c>
      <c r="XT25">
        <v>0</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0</v>
      </c>
      <c r="YS25">
        <v>0</v>
      </c>
      <c r="YT25">
        <v>0</v>
      </c>
      <c r="YU25">
        <v>0</v>
      </c>
      <c r="YV25">
        <v>0</v>
      </c>
      <c r="YW25">
        <v>0</v>
      </c>
      <c r="YX25">
        <v>0</v>
      </c>
      <c r="YY25">
        <v>0</v>
      </c>
      <c r="YZ25">
        <v>0</v>
      </c>
      <c r="ZA25">
        <v>0</v>
      </c>
      <c r="ZB25">
        <v>0</v>
      </c>
      <c r="ZC25">
        <v>0</v>
      </c>
      <c r="ZD25">
        <v>0</v>
      </c>
      <c r="ZE25">
        <v>0</v>
      </c>
      <c r="ZF25">
        <v>0</v>
      </c>
      <c r="ZG25">
        <v>0</v>
      </c>
      <c r="ZH25">
        <v>0</v>
      </c>
      <c r="ZI25">
        <v>0</v>
      </c>
      <c r="ZJ25">
        <v>0</v>
      </c>
      <c r="ZK25">
        <v>0</v>
      </c>
      <c r="ZL25">
        <v>0</v>
      </c>
      <c r="ZM25">
        <v>0</v>
      </c>
      <c r="ZN25">
        <v>0</v>
      </c>
      <c r="ZO25">
        <v>0</v>
      </c>
      <c r="ZP25">
        <v>0</v>
      </c>
      <c r="ZQ25">
        <v>0</v>
      </c>
      <c r="ZR25">
        <v>0</v>
      </c>
      <c r="ZS25">
        <v>0</v>
      </c>
      <c r="ZT25">
        <v>0</v>
      </c>
      <c r="ZU25">
        <v>0</v>
      </c>
      <c r="ZV25">
        <v>0</v>
      </c>
      <c r="ZW25">
        <v>0</v>
      </c>
      <c r="ZX25">
        <v>0</v>
      </c>
      <c r="ZY25">
        <v>0</v>
      </c>
      <c r="ZZ25">
        <v>0</v>
      </c>
      <c r="AAA25">
        <v>0</v>
      </c>
      <c r="AAB25">
        <v>0</v>
      </c>
      <c r="AAC25">
        <v>0</v>
      </c>
      <c r="AAD25">
        <v>0</v>
      </c>
      <c r="AAE25">
        <v>0</v>
      </c>
      <c r="AAF25">
        <v>0</v>
      </c>
      <c r="AAG25">
        <v>0</v>
      </c>
      <c r="AAH25">
        <v>0</v>
      </c>
      <c r="AAI25">
        <v>0</v>
      </c>
      <c r="AAJ25">
        <v>0</v>
      </c>
      <c r="AAK25">
        <v>0</v>
      </c>
      <c r="AAL25">
        <v>0</v>
      </c>
      <c r="AAM25">
        <v>0</v>
      </c>
      <c r="AAN25">
        <v>0</v>
      </c>
      <c r="AAO25">
        <v>0</v>
      </c>
      <c r="AAP25">
        <v>0</v>
      </c>
      <c r="AAQ25">
        <v>0</v>
      </c>
      <c r="AAR25">
        <v>0</v>
      </c>
      <c r="AAS25">
        <v>0</v>
      </c>
      <c r="AAT25">
        <v>0</v>
      </c>
      <c r="AAU25">
        <v>0</v>
      </c>
      <c r="AAV25">
        <v>0</v>
      </c>
      <c r="AAW25">
        <v>0</v>
      </c>
      <c r="AAX25">
        <v>0</v>
      </c>
      <c r="AAY25">
        <v>0</v>
      </c>
      <c r="AAZ25">
        <v>0</v>
      </c>
      <c r="ABA25">
        <v>0</v>
      </c>
      <c r="ABB25">
        <v>0</v>
      </c>
      <c r="ABC25">
        <v>0</v>
      </c>
      <c r="ABD25">
        <v>0</v>
      </c>
      <c r="ABE25">
        <v>0</v>
      </c>
      <c r="ABF25">
        <v>0</v>
      </c>
      <c r="ABG25">
        <v>0</v>
      </c>
      <c r="ABH25">
        <v>0</v>
      </c>
      <c r="ABI25">
        <v>0</v>
      </c>
      <c r="ABJ25">
        <v>0</v>
      </c>
      <c r="ABK25">
        <v>0</v>
      </c>
      <c r="ABL25">
        <v>0</v>
      </c>
      <c r="ABM25">
        <v>0</v>
      </c>
      <c r="ABN25">
        <v>0</v>
      </c>
      <c r="ABO25">
        <v>0</v>
      </c>
      <c r="ABP25">
        <v>0</v>
      </c>
      <c r="ABQ25">
        <v>0</v>
      </c>
      <c r="ABR25">
        <v>0</v>
      </c>
      <c r="ABS25">
        <v>0</v>
      </c>
      <c r="ABT25">
        <v>0</v>
      </c>
      <c r="ABU25">
        <v>0</v>
      </c>
      <c r="ABV25">
        <v>0</v>
      </c>
      <c r="ABW25">
        <v>0</v>
      </c>
      <c r="ABX25">
        <v>0</v>
      </c>
      <c r="ABY25">
        <v>0</v>
      </c>
      <c r="ABZ25">
        <v>0</v>
      </c>
      <c r="ACA25">
        <v>0</v>
      </c>
      <c r="ACB25">
        <v>0</v>
      </c>
      <c r="ACC25">
        <v>0</v>
      </c>
      <c r="ACD25">
        <v>0</v>
      </c>
      <c r="ACE25">
        <v>0</v>
      </c>
      <c r="ACF25">
        <v>0</v>
      </c>
      <c r="ACG25">
        <v>0</v>
      </c>
      <c r="ACH25">
        <v>0</v>
      </c>
      <c r="ACI25">
        <v>0</v>
      </c>
      <c r="ACJ25">
        <v>0</v>
      </c>
      <c r="ACK25">
        <v>0</v>
      </c>
      <c r="ACL25">
        <v>0</v>
      </c>
      <c r="ACM25">
        <v>0</v>
      </c>
      <c r="ACN25">
        <v>0</v>
      </c>
      <c r="ACO25">
        <v>0</v>
      </c>
      <c r="ACP25">
        <v>0</v>
      </c>
      <c r="ACQ25">
        <v>0</v>
      </c>
      <c r="ACR25">
        <v>0</v>
      </c>
      <c r="ACS25">
        <v>0</v>
      </c>
      <c r="ACT25">
        <v>0</v>
      </c>
      <c r="ACU25">
        <v>0</v>
      </c>
      <c r="ACV25">
        <v>0</v>
      </c>
      <c r="ACW25">
        <v>0</v>
      </c>
      <c r="ACX25">
        <v>0</v>
      </c>
      <c r="ACY25">
        <v>0</v>
      </c>
      <c r="ACZ25">
        <v>0</v>
      </c>
      <c r="ADA25">
        <v>0</v>
      </c>
      <c r="ADB25">
        <v>0</v>
      </c>
      <c r="ADC25">
        <v>0</v>
      </c>
      <c r="ADD25">
        <v>0</v>
      </c>
      <c r="ADE25">
        <v>0</v>
      </c>
      <c r="ADF25">
        <v>0</v>
      </c>
      <c r="ADG25">
        <v>0</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0</v>
      </c>
      <c r="AEC25">
        <v>0</v>
      </c>
      <c r="AED25">
        <v>0</v>
      </c>
      <c r="AEE25">
        <v>0</v>
      </c>
      <c r="AEF25">
        <v>0</v>
      </c>
      <c r="AEG25">
        <v>0</v>
      </c>
      <c r="AEH25">
        <v>0</v>
      </c>
      <c r="AEI25">
        <v>0</v>
      </c>
      <c r="AEJ25">
        <v>0</v>
      </c>
      <c r="AEK25">
        <v>0</v>
      </c>
      <c r="AEL25">
        <v>0</v>
      </c>
      <c r="AEM25">
        <v>0</v>
      </c>
      <c r="AEN25">
        <v>0</v>
      </c>
      <c r="AEO25">
        <v>0</v>
      </c>
      <c r="AEP25">
        <v>0</v>
      </c>
      <c r="AEQ25">
        <v>0</v>
      </c>
      <c r="AER25">
        <v>0</v>
      </c>
      <c r="AES25">
        <v>0</v>
      </c>
      <c r="AET25">
        <v>0</v>
      </c>
      <c r="AEU25">
        <v>0</v>
      </c>
      <c r="AEV25">
        <v>0</v>
      </c>
      <c r="AEW25">
        <v>0</v>
      </c>
      <c r="AEX25">
        <v>0</v>
      </c>
      <c r="AEY25">
        <v>0</v>
      </c>
      <c r="AEZ25">
        <v>0</v>
      </c>
      <c r="AFA25">
        <v>0</v>
      </c>
      <c r="AFB25">
        <v>0</v>
      </c>
      <c r="AFC25">
        <v>0</v>
      </c>
      <c r="AFD25">
        <v>0</v>
      </c>
      <c r="AFE25">
        <v>0</v>
      </c>
      <c r="AFF25">
        <v>0</v>
      </c>
      <c r="AFG25">
        <v>0</v>
      </c>
      <c r="AFH25">
        <v>0</v>
      </c>
      <c r="AFI25">
        <v>0</v>
      </c>
      <c r="AFJ25">
        <v>0</v>
      </c>
      <c r="AFK25">
        <v>0</v>
      </c>
      <c r="AFL25">
        <v>0</v>
      </c>
      <c r="AFM25">
        <v>0</v>
      </c>
      <c r="AFN25">
        <v>0</v>
      </c>
      <c r="AFO25">
        <v>0</v>
      </c>
      <c r="AFP25">
        <v>0</v>
      </c>
      <c r="AFQ25">
        <v>0</v>
      </c>
      <c r="AFR25">
        <v>0</v>
      </c>
      <c r="AFS25">
        <v>0</v>
      </c>
      <c r="AFT25">
        <v>0</v>
      </c>
      <c r="AFU25">
        <v>0</v>
      </c>
      <c r="AFV25">
        <v>0</v>
      </c>
      <c r="AFW25">
        <v>0</v>
      </c>
      <c r="AFX25">
        <v>0</v>
      </c>
      <c r="AFY25">
        <v>0</v>
      </c>
      <c r="AFZ25">
        <v>0</v>
      </c>
      <c r="AGA25">
        <v>0</v>
      </c>
      <c r="AGB25">
        <v>0</v>
      </c>
      <c r="AGC25">
        <v>0</v>
      </c>
      <c r="AGD25">
        <v>0</v>
      </c>
      <c r="AGE25">
        <v>0</v>
      </c>
      <c r="AGF25">
        <v>0</v>
      </c>
      <c r="AGG25">
        <v>0</v>
      </c>
      <c r="AGH25">
        <v>0</v>
      </c>
      <c r="AGI25">
        <v>0</v>
      </c>
      <c r="AGJ25">
        <v>0</v>
      </c>
      <c r="AGK25">
        <v>0</v>
      </c>
      <c r="AGL25">
        <v>0</v>
      </c>
      <c r="AGM25">
        <v>0</v>
      </c>
      <c r="AGN25">
        <v>0</v>
      </c>
      <c r="AGO25">
        <v>0</v>
      </c>
      <c r="AGP25">
        <v>0</v>
      </c>
      <c r="AGQ25">
        <v>0</v>
      </c>
      <c r="AGR25">
        <v>0</v>
      </c>
      <c r="AGS25">
        <v>0</v>
      </c>
      <c r="AGT25">
        <v>0</v>
      </c>
      <c r="AGU25">
        <v>0</v>
      </c>
      <c r="AGV25">
        <v>0</v>
      </c>
      <c r="AGW25">
        <v>0</v>
      </c>
      <c r="AGX25">
        <v>0</v>
      </c>
      <c r="AGY25">
        <v>0</v>
      </c>
      <c r="AGZ25">
        <v>0</v>
      </c>
      <c r="AHA25">
        <v>0</v>
      </c>
      <c r="AHB25">
        <v>0</v>
      </c>
      <c r="AHC25">
        <v>0</v>
      </c>
      <c r="AHD25">
        <v>0</v>
      </c>
      <c r="AHE25">
        <v>0</v>
      </c>
      <c r="AHF25">
        <v>0</v>
      </c>
      <c r="AHG25">
        <v>0</v>
      </c>
      <c r="AHH25">
        <v>0</v>
      </c>
      <c r="AHI25">
        <v>0</v>
      </c>
      <c r="AHJ25">
        <v>0</v>
      </c>
      <c r="AHK25">
        <v>0</v>
      </c>
      <c r="AHL25">
        <v>0</v>
      </c>
      <c r="AHM25">
        <v>0</v>
      </c>
      <c r="AHN25">
        <v>0</v>
      </c>
      <c r="AHO25">
        <v>0</v>
      </c>
      <c r="AHP25">
        <v>0</v>
      </c>
      <c r="AHQ25">
        <v>0</v>
      </c>
      <c r="AHR25">
        <v>0</v>
      </c>
      <c r="AHS25">
        <v>0</v>
      </c>
      <c r="AHT25">
        <v>0</v>
      </c>
      <c r="AHU25">
        <v>0</v>
      </c>
      <c r="AHV25">
        <v>0</v>
      </c>
      <c r="AHW25">
        <v>0</v>
      </c>
      <c r="AHX25">
        <v>0</v>
      </c>
      <c r="AHY25">
        <v>0</v>
      </c>
      <c r="AHZ25">
        <v>0</v>
      </c>
      <c r="AIA25">
        <v>0</v>
      </c>
      <c r="AIB25">
        <v>0</v>
      </c>
      <c r="AIC25">
        <v>0</v>
      </c>
      <c r="AID25">
        <v>0</v>
      </c>
      <c r="AIE25">
        <v>0</v>
      </c>
      <c r="AIF25">
        <v>0</v>
      </c>
      <c r="AIG25">
        <v>0</v>
      </c>
      <c r="AIH25">
        <v>0</v>
      </c>
      <c r="AII25">
        <v>0</v>
      </c>
      <c r="AIJ25">
        <v>0</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0</v>
      </c>
      <c r="AJT25">
        <v>0</v>
      </c>
      <c r="AJU25">
        <v>0</v>
      </c>
      <c r="AJV25">
        <v>0</v>
      </c>
      <c r="AJW25">
        <v>0</v>
      </c>
      <c r="AJX25">
        <v>0</v>
      </c>
      <c r="AJY25">
        <v>0</v>
      </c>
      <c r="AJZ25">
        <v>0</v>
      </c>
      <c r="AKA25">
        <v>0</v>
      </c>
      <c r="AKB25">
        <v>0</v>
      </c>
      <c r="AKC25">
        <v>0</v>
      </c>
      <c r="AKD25">
        <v>0</v>
      </c>
      <c r="AKE25">
        <v>0</v>
      </c>
      <c r="AKF25">
        <v>0</v>
      </c>
      <c r="AKG25">
        <v>0</v>
      </c>
      <c r="AKH25">
        <v>0</v>
      </c>
      <c r="AKI25">
        <v>0</v>
      </c>
      <c r="AKJ25">
        <v>0</v>
      </c>
      <c r="AKK25">
        <v>0</v>
      </c>
      <c r="AKL25">
        <v>0</v>
      </c>
      <c r="AKM25">
        <v>0</v>
      </c>
      <c r="AKN25">
        <v>0</v>
      </c>
      <c r="AKO25">
        <v>0</v>
      </c>
      <c r="AKP25">
        <v>0</v>
      </c>
      <c r="AKQ25">
        <v>0</v>
      </c>
      <c r="AKR25">
        <v>0</v>
      </c>
      <c r="AKS25">
        <v>0</v>
      </c>
      <c r="AKT25">
        <v>0</v>
      </c>
      <c r="AKU25">
        <v>0</v>
      </c>
      <c r="AKV25">
        <v>0</v>
      </c>
      <c r="AKW25">
        <v>0</v>
      </c>
      <c r="AKX25">
        <v>0</v>
      </c>
      <c r="AKY25">
        <v>0</v>
      </c>
      <c r="AKZ25">
        <v>0</v>
      </c>
      <c r="ALA25">
        <v>0</v>
      </c>
      <c r="ALB25">
        <v>0</v>
      </c>
      <c r="ALC25">
        <v>0</v>
      </c>
      <c r="ALD25">
        <v>0</v>
      </c>
      <c r="ALE25">
        <v>0</v>
      </c>
      <c r="ALF25">
        <v>0</v>
      </c>
      <c r="ALG25">
        <v>0</v>
      </c>
      <c r="ALH25">
        <v>0</v>
      </c>
      <c r="ALI25">
        <v>0</v>
      </c>
      <c r="ALJ25">
        <v>0</v>
      </c>
      <c r="ALK25">
        <v>0</v>
      </c>
      <c r="ALL25">
        <v>0</v>
      </c>
      <c r="ALM25">
        <v>0</v>
      </c>
      <c r="ALN25">
        <v>0</v>
      </c>
      <c r="ALO25">
        <v>0</v>
      </c>
      <c r="ALP25">
        <v>0</v>
      </c>
      <c r="ALQ25">
        <v>0</v>
      </c>
    </row>
    <row r="26" spans="1:1005" ht="42">
      <c r="A26" s="325" t="s">
        <v>912</v>
      </c>
      <c r="B26" s="332" t="s">
        <v>37</v>
      </c>
      <c r="C26" s="334" t="s">
        <v>74</v>
      </c>
      <c r="D26" s="631" t="s">
        <v>279</v>
      </c>
      <c r="E26" s="329" t="s">
        <v>403</v>
      </c>
      <c r="F26" t="str">
        <f t="array" ref="F26:ALQ26" ca="1">TRANSPOSE(Filtered!W2:W1005)</f>
        <v>Not specified</v>
      </c>
      <c r="G26" t="str">
        <f ca="1"/>
        <v>No</v>
      </c>
      <c r="H26" t="str">
        <f ca="1"/>
        <v>No</v>
      </c>
      <c r="I26" t="str">
        <f ca="1"/>
        <v>No</v>
      </c>
      <c r="J26" t="str">
        <f ca="1"/>
        <v>Not specified</v>
      </c>
      <c r="K26" t="str">
        <f ca="1"/>
        <v>Not specified</v>
      </c>
      <c r="L26" t="str">
        <f ca="1"/>
        <v>No</v>
      </c>
      <c r="M26" t="str">
        <f ca="1"/>
        <v>No</v>
      </c>
      <c r="N26" t="str">
        <f ca="1"/>
        <v>Not specified</v>
      </c>
      <c r="O26" t="str">
        <f ca="1"/>
        <v>Not specified</v>
      </c>
      <c r="P26" t="str">
        <f ca="1"/>
        <v>Not specified</v>
      </c>
      <c r="Q26" t="str">
        <f ca="1"/>
        <v>Not specified</v>
      </c>
      <c r="R26" t="str">
        <f ca="1"/>
        <v>Not specified</v>
      </c>
      <c r="S26" t="str">
        <f ca="1"/>
        <v>Not specified</v>
      </c>
      <c r="T26" t="str">
        <f ca="1"/>
        <v>Not specified</v>
      </c>
      <c r="U26" t="str">
        <f ca="1"/>
        <v>Not specified</v>
      </c>
      <c r="V26" t="str">
        <f ca="1"/>
        <v>Not specified</v>
      </c>
      <c r="W26" t="str">
        <f ca="1"/>
        <v>Not specified</v>
      </c>
      <c r="X26" t="str">
        <f ca="1"/>
        <v>Not specified</v>
      </c>
      <c r="Y26" t="str">
        <f ca="1"/>
        <v>Not specified</v>
      </c>
      <c r="Z26" t="str">
        <f ca="1"/>
        <v>No</v>
      </c>
      <c r="AA26" t="str">
        <f ca="1"/>
        <v>Not specified</v>
      </c>
      <c r="AB26" t="str">
        <f ca="1"/>
        <v>Not specified</v>
      </c>
      <c r="AC26" t="str">
        <f ca="1"/>
        <v>No</v>
      </c>
      <c r="AD26" t="str">
        <f ca="1"/>
        <v>Not specified</v>
      </c>
      <c r="AE26" t="str">
        <f ca="1"/>
        <v>Conditional; Free to read (not paywalled)</v>
      </c>
      <c r="AF26" t="str">
        <f ca="1"/>
        <v>No</v>
      </c>
      <c r="AG26" t="str">
        <f ca="1"/>
        <v>Not specified</v>
      </c>
      <c r="AH26" t="str">
        <f ca="1"/>
        <v>No</v>
      </c>
      <c r="AI26" t="str">
        <f ca="1"/>
        <v>No</v>
      </c>
      <c r="AJ26" t="str">
        <f ca="1"/>
        <v>No</v>
      </c>
      <c r="AK26" t="str">
        <f ca="1"/>
        <v>Optional</v>
      </c>
      <c r="AL26" t="str">
        <f ca="1"/>
        <v>Not specified</v>
      </c>
      <c r="AM26" t="str">
        <f ca="1"/>
        <v>Not specified</v>
      </c>
      <c r="AN26" t="str">
        <f ca="1"/>
        <v>Not specified</v>
      </c>
      <c r="AO26" t="str">
        <f ca="1"/>
        <v>Not specified</v>
      </c>
      <c r="AP26" t="str">
        <f ca="1"/>
        <v>Not specified</v>
      </c>
      <c r="AQ26" t="str">
        <f ca="1"/>
        <v>Not specified</v>
      </c>
      <c r="AR26" t="str">
        <f ca="1"/>
        <v>Not specified</v>
      </c>
      <c r="AS26" t="str">
        <f ca="1"/>
        <v>Not specified</v>
      </c>
      <c r="AT26" t="str">
        <f ca="1"/>
        <v>Not specified</v>
      </c>
      <c r="AU26" t="str">
        <f ca="1"/>
        <v>Not specified</v>
      </c>
      <c r="AV26" t="str">
        <f ca="1"/>
        <v>Not specified</v>
      </c>
      <c r="AW26" t="str">
        <f ca="1"/>
        <v>Not specified</v>
      </c>
      <c r="AX26" t="str">
        <f ca="1"/>
        <v>Not specified</v>
      </c>
      <c r="AY26" t="str">
        <f ca="1"/>
        <v>Not specified</v>
      </c>
      <c r="AZ26" t="str">
        <f ca="1"/>
        <v>No</v>
      </c>
      <c r="BA26" t="str">
        <f ca="1"/>
        <v>Not specified</v>
      </c>
      <c r="BB26" t="str">
        <f ca="1"/>
        <v>Not specified</v>
      </c>
      <c r="BC26" t="str">
        <f ca="1"/>
        <v>Not specified</v>
      </c>
      <c r="BD26" t="str">
        <f ca="1"/>
        <v>Not specified</v>
      </c>
      <c r="BE26" t="str">
        <f ca="1"/>
        <v>No</v>
      </c>
      <c r="BF26" t="str">
        <f ca="1"/>
        <v>Not specified</v>
      </c>
      <c r="BG26" t="str">
        <f ca="1"/>
        <v>No</v>
      </c>
      <c r="BH26" t="str">
        <f ca="1"/>
        <v>Not specified</v>
      </c>
      <c r="BI26" t="str">
        <f ca="1"/>
        <v>Not specified</v>
      </c>
      <c r="BJ26" t="str">
        <f ca="1"/>
        <v>No</v>
      </c>
      <c r="BK26" t="str">
        <f ca="1"/>
        <v>No</v>
      </c>
      <c r="BL26" t="str">
        <f ca="1"/>
        <v>Not specified</v>
      </c>
      <c r="BM26" t="str">
        <f ca="1"/>
        <v>Not specified</v>
      </c>
      <c r="BN26" t="str">
        <f ca="1"/>
        <v>Not specified</v>
      </c>
      <c r="BO26" t="str">
        <f ca="1"/>
        <v>No</v>
      </c>
      <c r="BP26" t="str">
        <f ca="1"/>
        <v>No</v>
      </c>
      <c r="BQ26" t="str">
        <f ca="1"/>
        <v>No</v>
      </c>
      <c r="BR26" t="str">
        <f ca="1"/>
        <v>Not specified</v>
      </c>
      <c r="BS26" t="str">
        <f ca="1"/>
        <v>No</v>
      </c>
      <c r="BT26" t="str">
        <f ca="1"/>
        <v>Not specified</v>
      </c>
      <c r="BU26" t="str">
        <f ca="1"/>
        <v>Not specified</v>
      </c>
      <c r="BV26" t="str">
        <f ca="1"/>
        <v>No</v>
      </c>
      <c r="BW26" t="str">
        <f ca="1"/>
        <v>Not specified</v>
      </c>
      <c r="BX26" t="str">
        <f ca="1"/>
        <v>Not specified</v>
      </c>
      <c r="BY26" t="str">
        <f ca="1"/>
        <v>Not specified</v>
      </c>
      <c r="BZ26" t="str">
        <f ca="1"/>
        <v>Not specified</v>
      </c>
      <c r="CA26" t="str">
        <f ca="1"/>
        <v>Not specified</v>
      </c>
      <c r="CB26" t="str">
        <f ca="1"/>
        <v>No</v>
      </c>
      <c r="CC26" t="str">
        <f ca="1"/>
        <v>Not specified</v>
      </c>
      <c r="CD26" t="str">
        <f ca="1"/>
        <v>Not specified</v>
      </c>
      <c r="CE26" t="str">
        <f ca="1"/>
        <v>Not specified</v>
      </c>
      <c r="CF26" t="str">
        <f ca="1"/>
        <v>Not specified</v>
      </c>
      <c r="CG26" t="str">
        <f ca="1"/>
        <v>Not specified</v>
      </c>
      <c r="CH26" t="str">
        <f ca="1"/>
        <v>Not specified</v>
      </c>
      <c r="CI26" t="str">
        <f ca="1"/>
        <v>Not specified</v>
      </c>
      <c r="CJ26" t="str">
        <f ca="1"/>
        <v>Not specified</v>
      </c>
      <c r="CK26" t="str">
        <f ca="1"/>
        <v>Not specified</v>
      </c>
      <c r="CL26" t="str">
        <f ca="1"/>
        <v>Not specified</v>
      </c>
      <c r="CM26" t="str">
        <f ca="1"/>
        <v>Not specified</v>
      </c>
      <c r="CN26" t="str">
        <f ca="1"/>
        <v>Not specified</v>
      </c>
      <c r="CO26" t="str">
        <f ca="1"/>
        <v>Not specified</v>
      </c>
      <c r="CP26" t="str">
        <f ca="1"/>
        <v>Not specified</v>
      </c>
      <c r="CQ26" t="str">
        <f ca="1"/>
        <v>Not specified</v>
      </c>
      <c r="CR26" t="str">
        <f ca="1"/>
        <v>Not specified</v>
      </c>
      <c r="CS26" t="str">
        <f ca="1"/>
        <v>Conditional</v>
      </c>
      <c r="CT26" t="str">
        <f ca="1"/>
        <v>Not specified</v>
      </c>
      <c r="CU26" t="str">
        <f ca="1"/>
        <v>Not specified</v>
      </c>
      <c r="CV26" t="str">
        <f ca="1"/>
        <v>Not specified</v>
      </c>
      <c r="CW26" t="str">
        <f ca="1"/>
        <v>Not specified</v>
      </c>
      <c r="CX26" t="str">
        <f ca="1"/>
        <v>Not specified</v>
      </c>
      <c r="CY26" t="str">
        <f ca="1"/>
        <v>Not specified</v>
      </c>
      <c r="CZ26" t="str">
        <f ca="1"/>
        <v>Not specified</v>
      </c>
      <c r="DA26" t="str">
        <f ca="1"/>
        <v>No</v>
      </c>
      <c r="DB26" t="str">
        <f ca="1"/>
        <v>No</v>
      </c>
      <c r="DC26" t="str">
        <f ca="1"/>
        <v>Not specified</v>
      </c>
      <c r="DD26" t="str">
        <f ca="1"/>
        <v>Not specified</v>
      </c>
      <c r="DE26" t="str">
        <f ca="1"/>
        <v>Not specified</v>
      </c>
      <c r="DF26" t="str">
        <f ca="1"/>
        <v>Not specified</v>
      </c>
      <c r="DG26" t="str">
        <f ca="1"/>
        <v>Optional</v>
      </c>
      <c r="DH26" t="str">
        <f ca="1"/>
        <v>Not specified</v>
      </c>
      <c r="DI26" t="str">
        <f ca="1"/>
        <v>Not specified</v>
      </c>
      <c r="DJ26" t="str">
        <f ca="1"/>
        <v>Not specified</v>
      </c>
      <c r="DK26" t="str">
        <f ca="1"/>
        <v>Not specified</v>
      </c>
      <c r="DL26" t="str">
        <f ca="1"/>
        <v>Not specified</v>
      </c>
      <c r="DM26" t="str">
        <f ca="1"/>
        <v>Not specified</v>
      </c>
      <c r="DN26" t="str">
        <f ca="1"/>
        <v>Not specified</v>
      </c>
      <c r="DO26" t="str">
        <f ca="1"/>
        <v>Not specified</v>
      </c>
      <c r="DP26" t="str">
        <f ca="1"/>
        <v>Not specified</v>
      </c>
      <c r="DQ26" t="str">
        <f ca="1"/>
        <v>Not specified</v>
      </c>
      <c r="DR26" t="str">
        <f ca="1"/>
        <v>Not specified</v>
      </c>
      <c r="DS26" t="str">
        <f ca="1"/>
        <v>Not specified</v>
      </c>
      <c r="DT26" t="str">
        <f ca="1"/>
        <v>Not specified</v>
      </c>
      <c r="DU26" t="str">
        <f ca="1"/>
        <v>Not specified</v>
      </c>
      <c r="DV26" t="str">
        <f ca="1"/>
        <v>Not specified</v>
      </c>
      <c r="DW26" t="str">
        <f ca="1"/>
        <v>No</v>
      </c>
      <c r="DX26" t="str">
        <f ca="1"/>
        <v>No</v>
      </c>
      <c r="DY26" t="str">
        <f ca="1"/>
        <v>Not specified</v>
      </c>
      <c r="DZ26" t="str">
        <f ca="1"/>
        <v>Not specified</v>
      </c>
      <c r="EA26" t="str">
        <f ca="1"/>
        <v>Not specified</v>
      </c>
      <c r="EB26" t="str">
        <f ca="1"/>
        <v>Not specified</v>
      </c>
      <c r="EC26" t="str">
        <f ca="1"/>
        <v>Not specified</v>
      </c>
      <c r="ED26" t="str">
        <f ca="1"/>
        <v>Not specified</v>
      </c>
      <c r="EE26" t="str">
        <f ca="1"/>
        <v>Not specified</v>
      </c>
      <c r="EF26" t="str">
        <f ca="1"/>
        <v>Not specified</v>
      </c>
      <c r="EG26" t="str">
        <f ca="1"/>
        <v>No</v>
      </c>
      <c r="EH26" t="str">
        <f ca="1"/>
        <v>No</v>
      </c>
      <c r="EI26" t="str">
        <f ca="1"/>
        <v>No</v>
      </c>
      <c r="EJ26" t="str">
        <f ca="1"/>
        <v>No</v>
      </c>
      <c r="EK26" t="str">
        <f ca="1"/>
        <v>Not specified</v>
      </c>
      <c r="EL26" t="str">
        <f ca="1"/>
        <v>Not specified</v>
      </c>
      <c r="EM26" t="str">
        <f ca="1"/>
        <v>Conditional</v>
      </c>
      <c r="EN26" t="str">
        <f ca="1"/>
        <v>Not specified</v>
      </c>
      <c r="EO26" t="str">
        <f ca="1"/>
        <v>Not specified</v>
      </c>
      <c r="EP26" t="str">
        <f ca="1"/>
        <v>Not specified</v>
      </c>
      <c r="EQ26" t="str">
        <f ca="1"/>
        <v>Not specified</v>
      </c>
      <c r="ER26" t="str">
        <f ca="1"/>
        <v>Not specified</v>
      </c>
      <c r="ES26" t="str">
        <f ca="1"/>
        <v>Not specified</v>
      </c>
      <c r="ET26" t="str">
        <f ca="1"/>
        <v>No</v>
      </c>
      <c r="EU26" t="str">
        <f ca="1"/>
        <v>No</v>
      </c>
      <c r="EV26" t="str">
        <f ca="1"/>
        <v>No</v>
      </c>
      <c r="EW26" t="str">
        <f ca="1"/>
        <v>Not specified</v>
      </c>
      <c r="EX26" t="str">
        <f ca="1"/>
        <v>Not specified</v>
      </c>
      <c r="EY26" t="str">
        <f ca="1"/>
        <v>Not specified</v>
      </c>
      <c r="EZ26" t="str">
        <f ca="1"/>
        <v>Not specified</v>
      </c>
      <c r="FA26" t="str">
        <f ca="1"/>
        <v>Not specified</v>
      </c>
      <c r="FB26" t="str">
        <f ca="1"/>
        <v>No</v>
      </c>
      <c r="FC26" t="str">
        <f ca="1"/>
        <v>Not specified</v>
      </c>
      <c r="FD26" t="str">
        <f ca="1"/>
        <v>Not specified</v>
      </c>
      <c r="FE26" t="str">
        <f ca="1"/>
        <v>Not specified</v>
      </c>
      <c r="FF26" t="str">
        <f ca="1"/>
        <v>No</v>
      </c>
      <c r="FG26" t="str">
        <f ca="1"/>
        <v>Not specified</v>
      </c>
      <c r="FH26" t="str">
        <f ca="1"/>
        <v>Not specified</v>
      </c>
      <c r="FI26" t="str">
        <f ca="1"/>
        <v>Not specified</v>
      </c>
      <c r="FJ26" t="str">
        <f ca="1"/>
        <v>Not specified</v>
      </c>
      <c r="FK26" t="str">
        <f ca="1"/>
        <v>Not specified</v>
      </c>
      <c r="FL26" t="str">
        <f ca="1"/>
        <v>Not specified</v>
      </c>
      <c r="FM26" t="str">
        <f ca="1"/>
        <v>Not specified</v>
      </c>
      <c r="FN26" t="str">
        <f ca="1"/>
        <v>Not specified</v>
      </c>
      <c r="FO26" t="str">
        <f ca="1"/>
        <v>Not specified</v>
      </c>
      <c r="FP26" t="str">
        <f ca="1"/>
        <v>Not specified</v>
      </c>
      <c r="FQ26" t="str">
        <f ca="1"/>
        <v>Not specified</v>
      </c>
      <c r="FR26" t="str">
        <f ca="1"/>
        <v>Not specified</v>
      </c>
      <c r="FS26" t="str">
        <f ca="1"/>
        <v>Not specified</v>
      </c>
      <c r="FT26" t="str">
        <f ca="1"/>
        <v>No</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0</v>
      </c>
      <c r="PI26">
        <v>0</v>
      </c>
      <c r="PJ26">
        <v>0</v>
      </c>
      <c r="PK26">
        <v>0</v>
      </c>
      <c r="PL26">
        <v>0</v>
      </c>
      <c r="PM26">
        <v>0</v>
      </c>
      <c r="PN26">
        <v>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0</v>
      </c>
      <c r="QO26">
        <v>0</v>
      </c>
      <c r="QP26">
        <v>0</v>
      </c>
      <c r="QQ26">
        <v>0</v>
      </c>
      <c r="QR26">
        <v>0</v>
      </c>
      <c r="QS26">
        <v>0</v>
      </c>
      <c r="QT26">
        <v>0</v>
      </c>
      <c r="QU26">
        <v>0</v>
      </c>
      <c r="QV26">
        <v>0</v>
      </c>
      <c r="QW26">
        <v>0</v>
      </c>
      <c r="QX26">
        <v>0</v>
      </c>
      <c r="QY26">
        <v>0</v>
      </c>
      <c r="QZ26">
        <v>0</v>
      </c>
      <c r="RA26">
        <v>0</v>
      </c>
      <c r="RB26">
        <v>0</v>
      </c>
      <c r="RC26">
        <v>0</v>
      </c>
      <c r="RD26">
        <v>0</v>
      </c>
      <c r="RE26">
        <v>0</v>
      </c>
      <c r="RF26">
        <v>0</v>
      </c>
      <c r="RG26">
        <v>0</v>
      </c>
      <c r="RH26">
        <v>0</v>
      </c>
      <c r="RI26">
        <v>0</v>
      </c>
      <c r="RJ26">
        <v>0</v>
      </c>
      <c r="RK26">
        <v>0</v>
      </c>
      <c r="RL26">
        <v>0</v>
      </c>
      <c r="RM26">
        <v>0</v>
      </c>
      <c r="RN26">
        <v>0</v>
      </c>
      <c r="RO26">
        <v>0</v>
      </c>
      <c r="RP26">
        <v>0</v>
      </c>
      <c r="RQ26">
        <v>0</v>
      </c>
      <c r="RR26">
        <v>0</v>
      </c>
      <c r="RS26">
        <v>0</v>
      </c>
      <c r="RT26">
        <v>0</v>
      </c>
      <c r="RU26">
        <v>0</v>
      </c>
      <c r="RV26">
        <v>0</v>
      </c>
      <c r="RW26">
        <v>0</v>
      </c>
      <c r="RX26">
        <v>0</v>
      </c>
      <c r="RY26">
        <v>0</v>
      </c>
      <c r="RZ26">
        <v>0</v>
      </c>
      <c r="SA26">
        <v>0</v>
      </c>
      <c r="SB26">
        <v>0</v>
      </c>
      <c r="SC26">
        <v>0</v>
      </c>
      <c r="SD26">
        <v>0</v>
      </c>
      <c r="SE26">
        <v>0</v>
      </c>
      <c r="SF26">
        <v>0</v>
      </c>
      <c r="SG26">
        <v>0</v>
      </c>
      <c r="SH26">
        <v>0</v>
      </c>
      <c r="SI26">
        <v>0</v>
      </c>
      <c r="SJ26">
        <v>0</v>
      </c>
      <c r="SK26">
        <v>0</v>
      </c>
      <c r="SL26">
        <v>0</v>
      </c>
      <c r="SM26">
        <v>0</v>
      </c>
      <c r="SN26">
        <v>0</v>
      </c>
      <c r="SO26">
        <v>0</v>
      </c>
      <c r="SP26">
        <v>0</v>
      </c>
      <c r="SQ26">
        <v>0</v>
      </c>
      <c r="SR26">
        <v>0</v>
      </c>
      <c r="SS26">
        <v>0</v>
      </c>
      <c r="ST26">
        <v>0</v>
      </c>
      <c r="SU26">
        <v>0</v>
      </c>
      <c r="SV26">
        <v>0</v>
      </c>
      <c r="SW26">
        <v>0</v>
      </c>
      <c r="SX26">
        <v>0</v>
      </c>
      <c r="SY26">
        <v>0</v>
      </c>
      <c r="SZ26">
        <v>0</v>
      </c>
      <c r="TA26">
        <v>0</v>
      </c>
      <c r="TB26">
        <v>0</v>
      </c>
      <c r="TC26">
        <v>0</v>
      </c>
      <c r="TD26">
        <v>0</v>
      </c>
      <c r="TE26">
        <v>0</v>
      </c>
      <c r="TF26">
        <v>0</v>
      </c>
      <c r="TG26">
        <v>0</v>
      </c>
      <c r="TH26">
        <v>0</v>
      </c>
      <c r="TI26">
        <v>0</v>
      </c>
      <c r="TJ26">
        <v>0</v>
      </c>
      <c r="TK26">
        <v>0</v>
      </c>
      <c r="TL26">
        <v>0</v>
      </c>
      <c r="TM26">
        <v>0</v>
      </c>
      <c r="TN26">
        <v>0</v>
      </c>
      <c r="TO26">
        <v>0</v>
      </c>
      <c r="TP26">
        <v>0</v>
      </c>
      <c r="TQ26">
        <v>0</v>
      </c>
      <c r="TR26">
        <v>0</v>
      </c>
      <c r="TS26">
        <v>0</v>
      </c>
      <c r="TT26">
        <v>0</v>
      </c>
      <c r="TU26">
        <v>0</v>
      </c>
      <c r="TV26">
        <v>0</v>
      </c>
      <c r="TW26">
        <v>0</v>
      </c>
      <c r="TX26">
        <v>0</v>
      </c>
      <c r="TY26">
        <v>0</v>
      </c>
      <c r="TZ26">
        <v>0</v>
      </c>
      <c r="UA26">
        <v>0</v>
      </c>
      <c r="UB26">
        <v>0</v>
      </c>
      <c r="UC26">
        <v>0</v>
      </c>
      <c r="UD26">
        <v>0</v>
      </c>
      <c r="UE26">
        <v>0</v>
      </c>
      <c r="UF26">
        <v>0</v>
      </c>
      <c r="UG26">
        <v>0</v>
      </c>
      <c r="UH26">
        <v>0</v>
      </c>
      <c r="UI26">
        <v>0</v>
      </c>
      <c r="UJ26">
        <v>0</v>
      </c>
      <c r="UK26">
        <v>0</v>
      </c>
      <c r="UL26">
        <v>0</v>
      </c>
      <c r="UM26">
        <v>0</v>
      </c>
      <c r="UN26">
        <v>0</v>
      </c>
      <c r="UO26">
        <v>0</v>
      </c>
      <c r="UP26">
        <v>0</v>
      </c>
      <c r="UQ26">
        <v>0</v>
      </c>
      <c r="UR26">
        <v>0</v>
      </c>
      <c r="US26">
        <v>0</v>
      </c>
      <c r="UT26">
        <v>0</v>
      </c>
      <c r="UU26">
        <v>0</v>
      </c>
      <c r="UV26">
        <v>0</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v>
      </c>
      <c r="VT26">
        <v>0</v>
      </c>
      <c r="VU26">
        <v>0</v>
      </c>
      <c r="VV26">
        <v>0</v>
      </c>
      <c r="VW26">
        <v>0</v>
      </c>
      <c r="VX26">
        <v>0</v>
      </c>
      <c r="VY26">
        <v>0</v>
      </c>
      <c r="VZ26">
        <v>0</v>
      </c>
      <c r="WA26">
        <v>0</v>
      </c>
      <c r="WB26">
        <v>0</v>
      </c>
      <c r="WC26">
        <v>0</v>
      </c>
      <c r="WD26">
        <v>0</v>
      </c>
      <c r="WE26">
        <v>0</v>
      </c>
      <c r="WF26">
        <v>0</v>
      </c>
      <c r="WG26">
        <v>0</v>
      </c>
      <c r="WH26">
        <v>0</v>
      </c>
      <c r="WI26">
        <v>0</v>
      </c>
      <c r="WJ26">
        <v>0</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0</v>
      </c>
      <c r="XF26">
        <v>0</v>
      </c>
      <c r="XG26">
        <v>0</v>
      </c>
      <c r="XH26">
        <v>0</v>
      </c>
      <c r="XI26">
        <v>0</v>
      </c>
      <c r="XJ26">
        <v>0</v>
      </c>
      <c r="XK26">
        <v>0</v>
      </c>
      <c r="XL26">
        <v>0</v>
      </c>
      <c r="XM26">
        <v>0</v>
      </c>
      <c r="XN26">
        <v>0</v>
      </c>
      <c r="XO26">
        <v>0</v>
      </c>
      <c r="XP26">
        <v>0</v>
      </c>
      <c r="XQ26">
        <v>0</v>
      </c>
      <c r="XR26">
        <v>0</v>
      </c>
      <c r="XS26">
        <v>0</v>
      </c>
      <c r="XT26">
        <v>0</v>
      </c>
      <c r="XU26">
        <v>0</v>
      </c>
      <c r="XV26">
        <v>0</v>
      </c>
      <c r="XW26">
        <v>0</v>
      </c>
      <c r="XX26">
        <v>0</v>
      </c>
      <c r="XY26">
        <v>0</v>
      </c>
      <c r="XZ26">
        <v>0</v>
      </c>
      <c r="YA26">
        <v>0</v>
      </c>
      <c r="YB26">
        <v>0</v>
      </c>
      <c r="YC26">
        <v>0</v>
      </c>
      <c r="YD26">
        <v>0</v>
      </c>
      <c r="YE26">
        <v>0</v>
      </c>
      <c r="YF26">
        <v>0</v>
      </c>
      <c r="YG26">
        <v>0</v>
      </c>
      <c r="YH26">
        <v>0</v>
      </c>
      <c r="YI26">
        <v>0</v>
      </c>
      <c r="YJ26">
        <v>0</v>
      </c>
      <c r="YK26">
        <v>0</v>
      </c>
      <c r="YL26">
        <v>0</v>
      </c>
      <c r="YM26">
        <v>0</v>
      </c>
      <c r="YN26">
        <v>0</v>
      </c>
      <c r="YO26">
        <v>0</v>
      </c>
      <c r="YP26">
        <v>0</v>
      </c>
      <c r="YQ26">
        <v>0</v>
      </c>
      <c r="YR26">
        <v>0</v>
      </c>
      <c r="YS26">
        <v>0</v>
      </c>
      <c r="YT26">
        <v>0</v>
      </c>
      <c r="YU26">
        <v>0</v>
      </c>
      <c r="YV26">
        <v>0</v>
      </c>
      <c r="YW26">
        <v>0</v>
      </c>
      <c r="YX26">
        <v>0</v>
      </c>
      <c r="YY26">
        <v>0</v>
      </c>
      <c r="YZ26">
        <v>0</v>
      </c>
      <c r="ZA26">
        <v>0</v>
      </c>
      <c r="ZB26">
        <v>0</v>
      </c>
      <c r="ZC26">
        <v>0</v>
      </c>
      <c r="ZD26">
        <v>0</v>
      </c>
      <c r="ZE26">
        <v>0</v>
      </c>
      <c r="ZF26">
        <v>0</v>
      </c>
      <c r="ZG26">
        <v>0</v>
      </c>
      <c r="ZH26">
        <v>0</v>
      </c>
      <c r="ZI26">
        <v>0</v>
      </c>
      <c r="ZJ26">
        <v>0</v>
      </c>
      <c r="ZK26">
        <v>0</v>
      </c>
      <c r="ZL26">
        <v>0</v>
      </c>
      <c r="ZM26">
        <v>0</v>
      </c>
      <c r="ZN26">
        <v>0</v>
      </c>
      <c r="ZO26">
        <v>0</v>
      </c>
      <c r="ZP26">
        <v>0</v>
      </c>
      <c r="ZQ26">
        <v>0</v>
      </c>
      <c r="ZR26">
        <v>0</v>
      </c>
      <c r="ZS26">
        <v>0</v>
      </c>
      <c r="ZT26">
        <v>0</v>
      </c>
      <c r="ZU26">
        <v>0</v>
      </c>
      <c r="ZV26">
        <v>0</v>
      </c>
      <c r="ZW26">
        <v>0</v>
      </c>
      <c r="ZX26">
        <v>0</v>
      </c>
      <c r="ZY26">
        <v>0</v>
      </c>
      <c r="ZZ26">
        <v>0</v>
      </c>
      <c r="AAA26">
        <v>0</v>
      </c>
      <c r="AAB26">
        <v>0</v>
      </c>
      <c r="AAC26">
        <v>0</v>
      </c>
      <c r="AAD26">
        <v>0</v>
      </c>
      <c r="AAE26">
        <v>0</v>
      </c>
      <c r="AAF26">
        <v>0</v>
      </c>
      <c r="AAG26">
        <v>0</v>
      </c>
      <c r="AAH26">
        <v>0</v>
      </c>
      <c r="AAI26">
        <v>0</v>
      </c>
      <c r="AAJ26">
        <v>0</v>
      </c>
      <c r="AAK26">
        <v>0</v>
      </c>
      <c r="AAL26">
        <v>0</v>
      </c>
      <c r="AAM26">
        <v>0</v>
      </c>
      <c r="AAN26">
        <v>0</v>
      </c>
      <c r="AAO26">
        <v>0</v>
      </c>
      <c r="AAP26">
        <v>0</v>
      </c>
      <c r="AAQ26">
        <v>0</v>
      </c>
      <c r="AAR26">
        <v>0</v>
      </c>
      <c r="AAS26">
        <v>0</v>
      </c>
      <c r="AAT26">
        <v>0</v>
      </c>
      <c r="AAU26">
        <v>0</v>
      </c>
      <c r="AAV26">
        <v>0</v>
      </c>
      <c r="AAW26">
        <v>0</v>
      </c>
      <c r="AAX26">
        <v>0</v>
      </c>
      <c r="AAY26">
        <v>0</v>
      </c>
      <c r="AAZ26">
        <v>0</v>
      </c>
      <c r="ABA26">
        <v>0</v>
      </c>
      <c r="ABB26">
        <v>0</v>
      </c>
      <c r="ABC26">
        <v>0</v>
      </c>
      <c r="ABD26">
        <v>0</v>
      </c>
      <c r="ABE26">
        <v>0</v>
      </c>
      <c r="ABF26">
        <v>0</v>
      </c>
      <c r="ABG26">
        <v>0</v>
      </c>
      <c r="ABH26">
        <v>0</v>
      </c>
      <c r="ABI26">
        <v>0</v>
      </c>
      <c r="ABJ26">
        <v>0</v>
      </c>
      <c r="ABK26">
        <v>0</v>
      </c>
      <c r="ABL26">
        <v>0</v>
      </c>
      <c r="ABM26">
        <v>0</v>
      </c>
      <c r="ABN26">
        <v>0</v>
      </c>
      <c r="ABO26">
        <v>0</v>
      </c>
      <c r="ABP26">
        <v>0</v>
      </c>
      <c r="ABQ26">
        <v>0</v>
      </c>
      <c r="ABR26">
        <v>0</v>
      </c>
      <c r="ABS26">
        <v>0</v>
      </c>
      <c r="ABT26">
        <v>0</v>
      </c>
      <c r="ABU26">
        <v>0</v>
      </c>
      <c r="ABV26">
        <v>0</v>
      </c>
      <c r="ABW26">
        <v>0</v>
      </c>
      <c r="ABX26">
        <v>0</v>
      </c>
      <c r="ABY26">
        <v>0</v>
      </c>
      <c r="ABZ26">
        <v>0</v>
      </c>
      <c r="ACA26">
        <v>0</v>
      </c>
      <c r="ACB26">
        <v>0</v>
      </c>
      <c r="ACC26">
        <v>0</v>
      </c>
      <c r="ACD26">
        <v>0</v>
      </c>
      <c r="ACE26">
        <v>0</v>
      </c>
      <c r="ACF26">
        <v>0</v>
      </c>
      <c r="ACG26">
        <v>0</v>
      </c>
      <c r="ACH26">
        <v>0</v>
      </c>
      <c r="ACI26">
        <v>0</v>
      </c>
      <c r="ACJ26">
        <v>0</v>
      </c>
      <c r="ACK26">
        <v>0</v>
      </c>
      <c r="ACL26">
        <v>0</v>
      </c>
      <c r="ACM26">
        <v>0</v>
      </c>
      <c r="ACN26">
        <v>0</v>
      </c>
      <c r="ACO26">
        <v>0</v>
      </c>
      <c r="ACP26">
        <v>0</v>
      </c>
      <c r="ACQ26">
        <v>0</v>
      </c>
      <c r="ACR26">
        <v>0</v>
      </c>
      <c r="ACS26">
        <v>0</v>
      </c>
      <c r="ACT26">
        <v>0</v>
      </c>
      <c r="ACU26">
        <v>0</v>
      </c>
      <c r="ACV26">
        <v>0</v>
      </c>
      <c r="ACW26">
        <v>0</v>
      </c>
      <c r="ACX26">
        <v>0</v>
      </c>
      <c r="ACY26">
        <v>0</v>
      </c>
      <c r="ACZ26">
        <v>0</v>
      </c>
      <c r="ADA26">
        <v>0</v>
      </c>
      <c r="ADB26">
        <v>0</v>
      </c>
      <c r="ADC26">
        <v>0</v>
      </c>
      <c r="ADD26">
        <v>0</v>
      </c>
      <c r="ADE26">
        <v>0</v>
      </c>
      <c r="ADF26">
        <v>0</v>
      </c>
      <c r="ADG26">
        <v>0</v>
      </c>
      <c r="ADH26">
        <v>0</v>
      </c>
      <c r="ADI26">
        <v>0</v>
      </c>
      <c r="ADJ26">
        <v>0</v>
      </c>
      <c r="ADK26">
        <v>0</v>
      </c>
      <c r="ADL26">
        <v>0</v>
      </c>
      <c r="ADM26">
        <v>0</v>
      </c>
      <c r="ADN26">
        <v>0</v>
      </c>
      <c r="ADO26">
        <v>0</v>
      </c>
      <c r="ADP26">
        <v>0</v>
      </c>
      <c r="ADQ26">
        <v>0</v>
      </c>
      <c r="ADR26">
        <v>0</v>
      </c>
      <c r="ADS26">
        <v>0</v>
      </c>
      <c r="ADT26">
        <v>0</v>
      </c>
      <c r="ADU26">
        <v>0</v>
      </c>
      <c r="ADV26">
        <v>0</v>
      </c>
      <c r="ADW26">
        <v>0</v>
      </c>
      <c r="ADX26">
        <v>0</v>
      </c>
      <c r="ADY26">
        <v>0</v>
      </c>
      <c r="ADZ26">
        <v>0</v>
      </c>
      <c r="AEA26">
        <v>0</v>
      </c>
      <c r="AEB26">
        <v>0</v>
      </c>
      <c r="AEC26">
        <v>0</v>
      </c>
      <c r="AED26">
        <v>0</v>
      </c>
      <c r="AEE26">
        <v>0</v>
      </c>
      <c r="AEF26">
        <v>0</v>
      </c>
      <c r="AEG26">
        <v>0</v>
      </c>
      <c r="AEH26">
        <v>0</v>
      </c>
      <c r="AEI26">
        <v>0</v>
      </c>
      <c r="AEJ26">
        <v>0</v>
      </c>
      <c r="AEK26">
        <v>0</v>
      </c>
      <c r="AEL26">
        <v>0</v>
      </c>
      <c r="AEM26">
        <v>0</v>
      </c>
      <c r="AEN26">
        <v>0</v>
      </c>
      <c r="AEO26">
        <v>0</v>
      </c>
      <c r="AEP26">
        <v>0</v>
      </c>
      <c r="AEQ26">
        <v>0</v>
      </c>
      <c r="AER26">
        <v>0</v>
      </c>
      <c r="AES26">
        <v>0</v>
      </c>
      <c r="AET26">
        <v>0</v>
      </c>
      <c r="AEU26">
        <v>0</v>
      </c>
      <c r="AEV26">
        <v>0</v>
      </c>
      <c r="AEW26">
        <v>0</v>
      </c>
      <c r="AEX26">
        <v>0</v>
      </c>
      <c r="AEY26">
        <v>0</v>
      </c>
      <c r="AEZ26">
        <v>0</v>
      </c>
      <c r="AFA26">
        <v>0</v>
      </c>
      <c r="AFB26">
        <v>0</v>
      </c>
      <c r="AFC26">
        <v>0</v>
      </c>
      <c r="AFD26">
        <v>0</v>
      </c>
      <c r="AFE26">
        <v>0</v>
      </c>
      <c r="AFF26">
        <v>0</v>
      </c>
      <c r="AFG26">
        <v>0</v>
      </c>
      <c r="AFH26">
        <v>0</v>
      </c>
      <c r="AFI26">
        <v>0</v>
      </c>
      <c r="AFJ26">
        <v>0</v>
      </c>
      <c r="AFK26">
        <v>0</v>
      </c>
      <c r="AFL26">
        <v>0</v>
      </c>
      <c r="AFM26">
        <v>0</v>
      </c>
      <c r="AFN26">
        <v>0</v>
      </c>
      <c r="AFO26">
        <v>0</v>
      </c>
      <c r="AFP26">
        <v>0</v>
      </c>
      <c r="AFQ26">
        <v>0</v>
      </c>
      <c r="AFR26">
        <v>0</v>
      </c>
      <c r="AFS26">
        <v>0</v>
      </c>
      <c r="AFT26">
        <v>0</v>
      </c>
      <c r="AFU26">
        <v>0</v>
      </c>
      <c r="AFV26">
        <v>0</v>
      </c>
      <c r="AFW26">
        <v>0</v>
      </c>
      <c r="AFX26">
        <v>0</v>
      </c>
      <c r="AFY26">
        <v>0</v>
      </c>
      <c r="AFZ26">
        <v>0</v>
      </c>
      <c r="AGA26">
        <v>0</v>
      </c>
      <c r="AGB26">
        <v>0</v>
      </c>
      <c r="AGC26">
        <v>0</v>
      </c>
      <c r="AGD26">
        <v>0</v>
      </c>
      <c r="AGE26">
        <v>0</v>
      </c>
      <c r="AGF26">
        <v>0</v>
      </c>
      <c r="AGG26">
        <v>0</v>
      </c>
      <c r="AGH26">
        <v>0</v>
      </c>
      <c r="AGI26">
        <v>0</v>
      </c>
      <c r="AGJ26">
        <v>0</v>
      </c>
      <c r="AGK26">
        <v>0</v>
      </c>
      <c r="AGL26">
        <v>0</v>
      </c>
      <c r="AGM26">
        <v>0</v>
      </c>
      <c r="AGN26">
        <v>0</v>
      </c>
      <c r="AGO26">
        <v>0</v>
      </c>
      <c r="AGP26">
        <v>0</v>
      </c>
      <c r="AGQ26">
        <v>0</v>
      </c>
      <c r="AGR26">
        <v>0</v>
      </c>
      <c r="AGS26">
        <v>0</v>
      </c>
      <c r="AGT26">
        <v>0</v>
      </c>
      <c r="AGU26">
        <v>0</v>
      </c>
      <c r="AGV26">
        <v>0</v>
      </c>
      <c r="AGW26">
        <v>0</v>
      </c>
      <c r="AGX26">
        <v>0</v>
      </c>
      <c r="AGY26">
        <v>0</v>
      </c>
      <c r="AGZ26">
        <v>0</v>
      </c>
      <c r="AHA26">
        <v>0</v>
      </c>
      <c r="AHB26">
        <v>0</v>
      </c>
      <c r="AHC26">
        <v>0</v>
      </c>
      <c r="AHD26">
        <v>0</v>
      </c>
      <c r="AHE26">
        <v>0</v>
      </c>
      <c r="AHF26">
        <v>0</v>
      </c>
      <c r="AHG26">
        <v>0</v>
      </c>
      <c r="AHH26">
        <v>0</v>
      </c>
      <c r="AHI26">
        <v>0</v>
      </c>
      <c r="AHJ26">
        <v>0</v>
      </c>
      <c r="AHK26">
        <v>0</v>
      </c>
      <c r="AHL26">
        <v>0</v>
      </c>
      <c r="AHM26">
        <v>0</v>
      </c>
      <c r="AHN26">
        <v>0</v>
      </c>
      <c r="AHO26">
        <v>0</v>
      </c>
      <c r="AHP26">
        <v>0</v>
      </c>
      <c r="AHQ26">
        <v>0</v>
      </c>
      <c r="AHR26">
        <v>0</v>
      </c>
      <c r="AHS26">
        <v>0</v>
      </c>
      <c r="AHT26">
        <v>0</v>
      </c>
      <c r="AHU26">
        <v>0</v>
      </c>
      <c r="AHV26">
        <v>0</v>
      </c>
      <c r="AHW26">
        <v>0</v>
      </c>
      <c r="AHX26">
        <v>0</v>
      </c>
      <c r="AHY26">
        <v>0</v>
      </c>
      <c r="AHZ26">
        <v>0</v>
      </c>
      <c r="AIA26">
        <v>0</v>
      </c>
      <c r="AIB26">
        <v>0</v>
      </c>
      <c r="AIC26">
        <v>0</v>
      </c>
      <c r="AID26">
        <v>0</v>
      </c>
      <c r="AIE26">
        <v>0</v>
      </c>
      <c r="AIF26">
        <v>0</v>
      </c>
      <c r="AIG26">
        <v>0</v>
      </c>
      <c r="AIH26">
        <v>0</v>
      </c>
      <c r="AII26">
        <v>0</v>
      </c>
      <c r="AIJ26">
        <v>0</v>
      </c>
      <c r="AIK26">
        <v>0</v>
      </c>
      <c r="AIL26">
        <v>0</v>
      </c>
      <c r="AIM26">
        <v>0</v>
      </c>
      <c r="AIN26">
        <v>0</v>
      </c>
      <c r="AIO26">
        <v>0</v>
      </c>
      <c r="AIP26">
        <v>0</v>
      </c>
      <c r="AIQ26">
        <v>0</v>
      </c>
      <c r="AIR26">
        <v>0</v>
      </c>
      <c r="AIS26">
        <v>0</v>
      </c>
      <c r="AIT26">
        <v>0</v>
      </c>
      <c r="AIU26">
        <v>0</v>
      </c>
      <c r="AIV26">
        <v>0</v>
      </c>
      <c r="AIW26">
        <v>0</v>
      </c>
      <c r="AIX26">
        <v>0</v>
      </c>
      <c r="AIY26">
        <v>0</v>
      </c>
      <c r="AIZ26">
        <v>0</v>
      </c>
      <c r="AJA26">
        <v>0</v>
      </c>
      <c r="AJB26">
        <v>0</v>
      </c>
      <c r="AJC26">
        <v>0</v>
      </c>
      <c r="AJD26">
        <v>0</v>
      </c>
      <c r="AJE26">
        <v>0</v>
      </c>
      <c r="AJF26">
        <v>0</v>
      </c>
      <c r="AJG26">
        <v>0</v>
      </c>
      <c r="AJH26">
        <v>0</v>
      </c>
      <c r="AJI26">
        <v>0</v>
      </c>
      <c r="AJJ26">
        <v>0</v>
      </c>
      <c r="AJK26">
        <v>0</v>
      </c>
      <c r="AJL26">
        <v>0</v>
      </c>
      <c r="AJM26">
        <v>0</v>
      </c>
      <c r="AJN26">
        <v>0</v>
      </c>
      <c r="AJO26">
        <v>0</v>
      </c>
      <c r="AJP26">
        <v>0</v>
      </c>
      <c r="AJQ26">
        <v>0</v>
      </c>
      <c r="AJR26">
        <v>0</v>
      </c>
      <c r="AJS26">
        <v>0</v>
      </c>
      <c r="AJT26">
        <v>0</v>
      </c>
      <c r="AJU26">
        <v>0</v>
      </c>
      <c r="AJV26">
        <v>0</v>
      </c>
      <c r="AJW26">
        <v>0</v>
      </c>
      <c r="AJX26">
        <v>0</v>
      </c>
      <c r="AJY26">
        <v>0</v>
      </c>
      <c r="AJZ26">
        <v>0</v>
      </c>
      <c r="AKA26">
        <v>0</v>
      </c>
      <c r="AKB26">
        <v>0</v>
      </c>
      <c r="AKC26">
        <v>0</v>
      </c>
      <c r="AKD26">
        <v>0</v>
      </c>
      <c r="AKE26">
        <v>0</v>
      </c>
      <c r="AKF26">
        <v>0</v>
      </c>
      <c r="AKG26">
        <v>0</v>
      </c>
      <c r="AKH26">
        <v>0</v>
      </c>
      <c r="AKI26">
        <v>0</v>
      </c>
      <c r="AKJ26">
        <v>0</v>
      </c>
      <c r="AKK26">
        <v>0</v>
      </c>
      <c r="AKL26">
        <v>0</v>
      </c>
      <c r="AKM26">
        <v>0</v>
      </c>
      <c r="AKN26">
        <v>0</v>
      </c>
      <c r="AKO26">
        <v>0</v>
      </c>
      <c r="AKP26">
        <v>0</v>
      </c>
      <c r="AKQ26">
        <v>0</v>
      </c>
      <c r="AKR26">
        <v>0</v>
      </c>
      <c r="AKS26">
        <v>0</v>
      </c>
      <c r="AKT26">
        <v>0</v>
      </c>
      <c r="AKU26">
        <v>0</v>
      </c>
      <c r="AKV26">
        <v>0</v>
      </c>
      <c r="AKW26">
        <v>0</v>
      </c>
      <c r="AKX26">
        <v>0</v>
      </c>
      <c r="AKY26">
        <v>0</v>
      </c>
      <c r="AKZ26">
        <v>0</v>
      </c>
      <c r="ALA26">
        <v>0</v>
      </c>
      <c r="ALB26">
        <v>0</v>
      </c>
      <c r="ALC26">
        <v>0</v>
      </c>
      <c r="ALD26">
        <v>0</v>
      </c>
      <c r="ALE26">
        <v>0</v>
      </c>
      <c r="ALF26">
        <v>0</v>
      </c>
      <c r="ALG26">
        <v>0</v>
      </c>
      <c r="ALH26">
        <v>0</v>
      </c>
      <c r="ALI26">
        <v>0</v>
      </c>
      <c r="ALJ26">
        <v>0</v>
      </c>
      <c r="ALK26">
        <v>0</v>
      </c>
      <c r="ALL26">
        <v>0</v>
      </c>
      <c r="ALM26">
        <v>0</v>
      </c>
      <c r="ALN26">
        <v>0</v>
      </c>
      <c r="ALO26">
        <v>0</v>
      </c>
      <c r="ALP26">
        <v>0</v>
      </c>
      <c r="ALQ26">
        <v>0</v>
      </c>
    </row>
    <row r="27" spans="1:1005" ht="70">
      <c r="A27" s="325" t="s">
        <v>912</v>
      </c>
      <c r="B27" s="338" t="s">
        <v>38</v>
      </c>
      <c r="C27" s="340" t="s">
        <v>75</v>
      </c>
      <c r="D27" s="632"/>
      <c r="E27" s="329" t="s">
        <v>403</v>
      </c>
      <c r="F27" t="str">
        <f t="array" ref="F27:ALQ27" ca="1">TRANSPOSE(Filtered!X2:X1005)</f>
        <v>Not specified</v>
      </c>
      <c r="G27" t="str">
        <f ca="1"/>
        <v>Conditional</v>
      </c>
      <c r="H27" t="str">
        <f ca="1"/>
        <v>Conditional</v>
      </c>
      <c r="I27" t="str">
        <f ca="1"/>
        <v>Conditional</v>
      </c>
      <c r="J27" t="str">
        <f ca="1"/>
        <v>Not specified</v>
      </c>
      <c r="K27" t="str">
        <f ca="1"/>
        <v>Conditional</v>
      </c>
      <c r="L27" t="str">
        <f ca="1"/>
        <v>Not specified</v>
      </c>
      <c r="M27" t="str">
        <f ca="1"/>
        <v>Not specified</v>
      </c>
      <c r="N27" t="str">
        <f ca="1"/>
        <v>Not specified</v>
      </c>
      <c r="O27" t="str">
        <f ca="1"/>
        <v>Not specified</v>
      </c>
      <c r="P27" t="str">
        <f ca="1"/>
        <v>Not specified</v>
      </c>
      <c r="Q27" t="str">
        <f ca="1"/>
        <v>Not specified</v>
      </c>
      <c r="R27" t="str">
        <f ca="1"/>
        <v>Not specified</v>
      </c>
      <c r="S27" t="str">
        <f ca="1"/>
        <v>Not specified</v>
      </c>
      <c r="T27" t="str">
        <f ca="1"/>
        <v>Not specified</v>
      </c>
      <c r="U27" t="str">
        <f ca="1"/>
        <v>Optional</v>
      </c>
      <c r="V27" t="str">
        <f ca="1"/>
        <v>Not specified</v>
      </c>
      <c r="W27" t="str">
        <f ca="1"/>
        <v>Not specified</v>
      </c>
      <c r="X27" t="str">
        <f ca="1"/>
        <v>Not specified</v>
      </c>
      <c r="Y27" t="str">
        <f ca="1"/>
        <v>Not specified</v>
      </c>
      <c r="Z27" t="str">
        <f ca="1"/>
        <v>No</v>
      </c>
      <c r="AA27" t="str">
        <f ca="1"/>
        <v>Not specified</v>
      </c>
      <c r="AB27" t="str">
        <f ca="1"/>
        <v>Not specified</v>
      </c>
      <c r="AC27" t="str">
        <f ca="1"/>
        <v>No</v>
      </c>
      <c r="AD27" t="str">
        <f ca="1"/>
        <v>Not specified</v>
      </c>
      <c r="AE27" t="str">
        <f ca="1"/>
        <v>Mandatory</v>
      </c>
      <c r="AF27" t="str">
        <f ca="1"/>
        <v>No</v>
      </c>
      <c r="AG27" t="str">
        <f ca="1"/>
        <v>Not specified</v>
      </c>
      <c r="AH27" t="str">
        <f ca="1"/>
        <v>Optional</v>
      </c>
      <c r="AI27" t="str">
        <f ca="1"/>
        <v>Optional</v>
      </c>
      <c r="AJ27" t="str">
        <f ca="1"/>
        <v>Optional</v>
      </c>
      <c r="AK27" t="str">
        <f ca="1"/>
        <v>Optional</v>
      </c>
      <c r="AL27" t="str">
        <f ca="1"/>
        <v>Not specified</v>
      </c>
      <c r="AM27" t="str">
        <f ca="1"/>
        <v>Optional</v>
      </c>
      <c r="AN27" t="str">
        <f ca="1"/>
        <v>Not specified</v>
      </c>
      <c r="AO27" t="str">
        <f ca="1"/>
        <v>Not specified</v>
      </c>
      <c r="AP27" t="str">
        <f ca="1"/>
        <v>Not specified</v>
      </c>
      <c r="AQ27" t="str">
        <f ca="1"/>
        <v>Not specified</v>
      </c>
      <c r="AR27" t="str">
        <f ca="1"/>
        <v>Not specified</v>
      </c>
      <c r="AS27" t="str">
        <f ca="1"/>
        <v>Not specified</v>
      </c>
      <c r="AT27" t="str">
        <f ca="1"/>
        <v>Not specified</v>
      </c>
      <c r="AU27" t="str">
        <f ca="1"/>
        <v>Not specified</v>
      </c>
      <c r="AV27" t="str">
        <f ca="1"/>
        <v>Optional</v>
      </c>
      <c r="AW27" t="str">
        <f ca="1"/>
        <v>Not specified</v>
      </c>
      <c r="AX27" t="str">
        <f ca="1"/>
        <v>Not specified</v>
      </c>
      <c r="AY27" t="str">
        <f ca="1"/>
        <v>Not specified</v>
      </c>
      <c r="AZ27" t="str">
        <f ca="1"/>
        <v>No</v>
      </c>
      <c r="BA27" t="str">
        <f ca="1"/>
        <v>Not specified</v>
      </c>
      <c r="BB27" t="str">
        <f ca="1"/>
        <v>Not specified</v>
      </c>
      <c r="BC27" t="str">
        <f ca="1"/>
        <v>Not specified</v>
      </c>
      <c r="BD27" t="str">
        <f ca="1"/>
        <v>Not specified</v>
      </c>
      <c r="BE27" t="str">
        <f ca="1"/>
        <v>No</v>
      </c>
      <c r="BF27" t="str">
        <f ca="1"/>
        <v>Not specified</v>
      </c>
      <c r="BG27" t="str">
        <f ca="1"/>
        <v>No</v>
      </c>
      <c r="BH27" t="str">
        <f ca="1"/>
        <v>Not specified</v>
      </c>
      <c r="BI27" t="str">
        <f ca="1"/>
        <v>Not specified</v>
      </c>
      <c r="BJ27" t="str">
        <f ca="1"/>
        <v>No</v>
      </c>
      <c r="BK27" t="str">
        <f ca="1"/>
        <v>No</v>
      </c>
      <c r="BL27" t="str">
        <f ca="1"/>
        <v>Not specified</v>
      </c>
      <c r="BM27" t="str">
        <f ca="1"/>
        <v>Not specified</v>
      </c>
      <c r="BN27" t="str">
        <f ca="1"/>
        <v>Not specified</v>
      </c>
      <c r="BO27" t="str">
        <f ca="1"/>
        <v>No</v>
      </c>
      <c r="BP27" t="str">
        <f ca="1"/>
        <v>No</v>
      </c>
      <c r="BQ27" t="str">
        <f ca="1"/>
        <v>No</v>
      </c>
      <c r="BR27" t="str">
        <f ca="1"/>
        <v>Not specified</v>
      </c>
      <c r="BS27" t="str">
        <f ca="1"/>
        <v>No</v>
      </c>
      <c r="BT27" t="str">
        <f ca="1"/>
        <v>Optional</v>
      </c>
      <c r="BU27" t="str">
        <f ca="1"/>
        <v>Not specified</v>
      </c>
      <c r="BV27" t="str">
        <f ca="1"/>
        <v>No</v>
      </c>
      <c r="BW27" t="str">
        <f ca="1"/>
        <v>Not specified</v>
      </c>
      <c r="BX27" t="str">
        <f ca="1"/>
        <v>Not specified</v>
      </c>
      <c r="BY27" t="str">
        <f ca="1"/>
        <v>Not specified</v>
      </c>
      <c r="BZ27" t="str">
        <f ca="1"/>
        <v>Not specified</v>
      </c>
      <c r="CA27" t="str">
        <f ca="1"/>
        <v>Not specified</v>
      </c>
      <c r="CB27" t="str">
        <f ca="1"/>
        <v>Optional</v>
      </c>
      <c r="CC27" t="str">
        <f ca="1"/>
        <v>Not specified</v>
      </c>
      <c r="CD27" t="str">
        <f ca="1"/>
        <v>Not specified</v>
      </c>
      <c r="CE27" t="str">
        <f ca="1"/>
        <v>Not specified</v>
      </c>
      <c r="CF27" t="str">
        <f ca="1"/>
        <v>Not specified</v>
      </c>
      <c r="CG27" t="str">
        <f ca="1"/>
        <v>Not specified</v>
      </c>
      <c r="CH27" t="str">
        <f ca="1"/>
        <v>Not specified</v>
      </c>
      <c r="CI27" t="str">
        <f ca="1"/>
        <v>No</v>
      </c>
      <c r="CJ27" t="str">
        <f ca="1"/>
        <v>Not specified</v>
      </c>
      <c r="CK27" t="str">
        <f ca="1"/>
        <v>Not specified</v>
      </c>
      <c r="CL27" t="str">
        <f ca="1"/>
        <v>No</v>
      </c>
      <c r="CM27" t="str">
        <f ca="1"/>
        <v>Not specified</v>
      </c>
      <c r="CN27" t="str">
        <f ca="1"/>
        <v>Not specified</v>
      </c>
      <c r="CO27" t="str">
        <f ca="1"/>
        <v>Not specified</v>
      </c>
      <c r="CP27" t="str">
        <f ca="1"/>
        <v>Not specified</v>
      </c>
      <c r="CQ27" t="str">
        <f ca="1"/>
        <v>Not specified</v>
      </c>
      <c r="CR27" t="str">
        <f ca="1"/>
        <v>No</v>
      </c>
      <c r="CS27" t="str">
        <f ca="1"/>
        <v>Not specified</v>
      </c>
      <c r="CT27" t="str">
        <f ca="1"/>
        <v>No</v>
      </c>
      <c r="CU27" t="str">
        <f ca="1"/>
        <v>No</v>
      </c>
      <c r="CV27" t="str">
        <f ca="1"/>
        <v>No</v>
      </c>
      <c r="CW27" t="str">
        <f ca="1"/>
        <v>No</v>
      </c>
      <c r="CX27" t="str">
        <f ca="1"/>
        <v>Not specified</v>
      </c>
      <c r="CY27" t="str">
        <f ca="1"/>
        <v>Not specified</v>
      </c>
      <c r="CZ27" t="str">
        <f ca="1"/>
        <v>Not specified</v>
      </c>
      <c r="DA27" t="str">
        <f ca="1"/>
        <v>No</v>
      </c>
      <c r="DB27" t="str">
        <f ca="1"/>
        <v>No</v>
      </c>
      <c r="DC27" t="str">
        <f ca="1"/>
        <v>Optional</v>
      </c>
      <c r="DD27" t="str">
        <f ca="1"/>
        <v>Optional</v>
      </c>
      <c r="DE27" t="str">
        <f ca="1"/>
        <v>Optional</v>
      </c>
      <c r="DF27" t="str">
        <f ca="1"/>
        <v>Optional</v>
      </c>
      <c r="DG27" t="str">
        <f ca="1"/>
        <v>Optional</v>
      </c>
      <c r="DH27" t="str">
        <f ca="1"/>
        <v>Optional</v>
      </c>
      <c r="DI27" t="str">
        <f ca="1"/>
        <v>Optional</v>
      </c>
      <c r="DJ27" t="str">
        <f ca="1"/>
        <v>Optional</v>
      </c>
      <c r="DK27" t="str">
        <f ca="1"/>
        <v>Optional</v>
      </c>
      <c r="DL27" t="str">
        <f ca="1"/>
        <v>Optional</v>
      </c>
      <c r="DM27" t="str">
        <f ca="1"/>
        <v>Optional</v>
      </c>
      <c r="DN27" t="str">
        <f ca="1"/>
        <v>Optional</v>
      </c>
      <c r="DO27" t="str">
        <f ca="1"/>
        <v>Optional</v>
      </c>
      <c r="DP27" t="str">
        <f ca="1"/>
        <v>Optional</v>
      </c>
      <c r="DQ27" t="str">
        <f ca="1"/>
        <v>Optional - at request of referee</v>
      </c>
      <c r="DR27" t="str">
        <f ca="1"/>
        <v>Optional - at request of referee</v>
      </c>
      <c r="DS27" t="str">
        <f ca="1"/>
        <v>Optional - at request of referee</v>
      </c>
      <c r="DT27" t="str">
        <f ca="1"/>
        <v>Optional - at request of referee</v>
      </c>
      <c r="DU27" t="str">
        <f ca="1"/>
        <v>Optional - at request of referee</v>
      </c>
      <c r="DV27" t="str">
        <f ca="1"/>
        <v>Optional - at request of referee</v>
      </c>
      <c r="DW27" t="str">
        <f ca="1"/>
        <v>No</v>
      </c>
      <c r="DX27" t="str">
        <f ca="1"/>
        <v>No</v>
      </c>
      <c r="DY27" t="str">
        <f ca="1"/>
        <v>No</v>
      </c>
      <c r="DZ27" t="str">
        <f ca="1"/>
        <v>No</v>
      </c>
      <c r="EA27" t="str">
        <f ca="1"/>
        <v>No</v>
      </c>
      <c r="EB27" t="str">
        <f ca="1"/>
        <v>Not specified</v>
      </c>
      <c r="EC27" t="str">
        <f ca="1"/>
        <v>Not specified</v>
      </c>
      <c r="ED27" t="str">
        <f ca="1"/>
        <v>Optional</v>
      </c>
      <c r="EE27" t="str">
        <f ca="1"/>
        <v>No</v>
      </c>
      <c r="EF27" t="str">
        <f ca="1"/>
        <v>No</v>
      </c>
      <c r="EG27" t="str">
        <f ca="1"/>
        <v>No</v>
      </c>
      <c r="EH27" t="str">
        <f ca="1"/>
        <v>No</v>
      </c>
      <c r="EI27" t="str">
        <f ca="1"/>
        <v>No</v>
      </c>
      <c r="EJ27" t="str">
        <f ca="1"/>
        <v>No</v>
      </c>
      <c r="EK27" t="str">
        <f ca="1"/>
        <v>Not specified</v>
      </c>
      <c r="EL27" t="str">
        <f ca="1"/>
        <v>Optional</v>
      </c>
      <c r="EM27" t="str">
        <f ca="1"/>
        <v>Conditional</v>
      </c>
      <c r="EN27" t="str">
        <f ca="1"/>
        <v>Not specified</v>
      </c>
      <c r="EO27" t="str">
        <f ca="1"/>
        <v>Not specified</v>
      </c>
      <c r="EP27" t="str">
        <f ca="1"/>
        <v>Not specified</v>
      </c>
      <c r="EQ27" t="str">
        <f ca="1"/>
        <v>Not specified</v>
      </c>
      <c r="ER27" t="str">
        <f ca="1"/>
        <v>Not specified</v>
      </c>
      <c r="ES27" t="str">
        <f ca="1"/>
        <v>Not specified</v>
      </c>
      <c r="ET27" t="str">
        <f ca="1"/>
        <v>No</v>
      </c>
      <c r="EU27" t="str">
        <f ca="1"/>
        <v>No</v>
      </c>
      <c r="EV27" t="str">
        <f ca="1"/>
        <v>No</v>
      </c>
      <c r="EW27" t="str">
        <f ca="1"/>
        <v>Optional</v>
      </c>
      <c r="EX27" t="str">
        <f ca="1"/>
        <v>Not specified</v>
      </c>
      <c r="EY27" t="str">
        <f ca="1"/>
        <v>Not specified</v>
      </c>
      <c r="EZ27" t="str">
        <f ca="1"/>
        <v>Not specified</v>
      </c>
      <c r="FA27" t="str">
        <f ca="1"/>
        <v>Not specified</v>
      </c>
      <c r="FB27" t="str">
        <f ca="1"/>
        <v>No</v>
      </c>
      <c r="FC27" t="str">
        <f ca="1"/>
        <v>Not specified</v>
      </c>
      <c r="FD27" t="str">
        <f ca="1"/>
        <v>Not specified</v>
      </c>
      <c r="FE27" t="str">
        <f ca="1"/>
        <v>Not specified</v>
      </c>
      <c r="FF27" t="str">
        <f ca="1"/>
        <v>Mandatory</v>
      </c>
      <c r="FG27" t="str">
        <f ca="1"/>
        <v>Not specified</v>
      </c>
      <c r="FH27" t="str">
        <f ca="1"/>
        <v>Not specified</v>
      </c>
      <c r="FI27" t="str">
        <f ca="1"/>
        <v>Not specified</v>
      </c>
      <c r="FJ27" t="str">
        <f ca="1"/>
        <v>Conditional</v>
      </c>
      <c r="FK27" t="str">
        <f ca="1"/>
        <v>Not specified</v>
      </c>
      <c r="FL27" t="str">
        <f ca="1"/>
        <v>Not specified</v>
      </c>
      <c r="FM27" t="str">
        <f ca="1"/>
        <v>Not specified</v>
      </c>
      <c r="FN27" t="str">
        <f ca="1"/>
        <v>Not specified</v>
      </c>
      <c r="FO27" t="str">
        <f ca="1"/>
        <v>Not specified</v>
      </c>
      <c r="FP27" t="str">
        <f ca="1"/>
        <v>Not specified</v>
      </c>
      <c r="FQ27" t="str">
        <f ca="1"/>
        <v>Not specified</v>
      </c>
      <c r="FR27" t="str">
        <f ca="1"/>
        <v>Not specified</v>
      </c>
      <c r="FS27" t="str">
        <f ca="1"/>
        <v>No</v>
      </c>
      <c r="FT27" t="str">
        <f ca="1"/>
        <v>No</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0</v>
      </c>
      <c r="QO27">
        <v>0</v>
      </c>
      <c r="QP27">
        <v>0</v>
      </c>
      <c r="QQ27">
        <v>0</v>
      </c>
      <c r="QR27">
        <v>0</v>
      </c>
      <c r="QS27">
        <v>0</v>
      </c>
      <c r="QT27">
        <v>0</v>
      </c>
      <c r="QU27">
        <v>0</v>
      </c>
      <c r="QV27">
        <v>0</v>
      </c>
      <c r="QW27">
        <v>0</v>
      </c>
      <c r="QX27">
        <v>0</v>
      </c>
      <c r="QY27">
        <v>0</v>
      </c>
      <c r="QZ27">
        <v>0</v>
      </c>
      <c r="RA27">
        <v>0</v>
      </c>
      <c r="RB27">
        <v>0</v>
      </c>
      <c r="RC27">
        <v>0</v>
      </c>
      <c r="RD27">
        <v>0</v>
      </c>
      <c r="RE27">
        <v>0</v>
      </c>
      <c r="RF27">
        <v>0</v>
      </c>
      <c r="RG27">
        <v>0</v>
      </c>
      <c r="RH27">
        <v>0</v>
      </c>
      <c r="RI27">
        <v>0</v>
      </c>
      <c r="RJ27">
        <v>0</v>
      </c>
      <c r="RK27">
        <v>0</v>
      </c>
      <c r="RL27">
        <v>0</v>
      </c>
      <c r="RM27">
        <v>0</v>
      </c>
      <c r="RN27">
        <v>0</v>
      </c>
      <c r="RO27">
        <v>0</v>
      </c>
      <c r="RP27">
        <v>0</v>
      </c>
      <c r="RQ27">
        <v>0</v>
      </c>
      <c r="RR27">
        <v>0</v>
      </c>
      <c r="RS27">
        <v>0</v>
      </c>
      <c r="RT27">
        <v>0</v>
      </c>
      <c r="RU27">
        <v>0</v>
      </c>
      <c r="RV27">
        <v>0</v>
      </c>
      <c r="RW27">
        <v>0</v>
      </c>
      <c r="RX27">
        <v>0</v>
      </c>
      <c r="RY27">
        <v>0</v>
      </c>
      <c r="RZ27">
        <v>0</v>
      </c>
      <c r="SA27">
        <v>0</v>
      </c>
      <c r="SB27">
        <v>0</v>
      </c>
      <c r="SC27">
        <v>0</v>
      </c>
      <c r="SD27">
        <v>0</v>
      </c>
      <c r="SE27">
        <v>0</v>
      </c>
      <c r="SF27">
        <v>0</v>
      </c>
      <c r="SG27">
        <v>0</v>
      </c>
      <c r="SH27">
        <v>0</v>
      </c>
      <c r="SI27">
        <v>0</v>
      </c>
      <c r="SJ27">
        <v>0</v>
      </c>
      <c r="SK27">
        <v>0</v>
      </c>
      <c r="SL27">
        <v>0</v>
      </c>
      <c r="SM27">
        <v>0</v>
      </c>
      <c r="SN27">
        <v>0</v>
      </c>
      <c r="SO27">
        <v>0</v>
      </c>
      <c r="SP27">
        <v>0</v>
      </c>
      <c r="SQ27">
        <v>0</v>
      </c>
      <c r="SR27">
        <v>0</v>
      </c>
      <c r="SS27">
        <v>0</v>
      </c>
      <c r="ST27">
        <v>0</v>
      </c>
      <c r="SU27">
        <v>0</v>
      </c>
      <c r="SV27">
        <v>0</v>
      </c>
      <c r="SW27">
        <v>0</v>
      </c>
      <c r="SX27">
        <v>0</v>
      </c>
      <c r="SY27">
        <v>0</v>
      </c>
      <c r="SZ27">
        <v>0</v>
      </c>
      <c r="TA27">
        <v>0</v>
      </c>
      <c r="TB27">
        <v>0</v>
      </c>
      <c r="TC27">
        <v>0</v>
      </c>
      <c r="TD27">
        <v>0</v>
      </c>
      <c r="TE27">
        <v>0</v>
      </c>
      <c r="TF27">
        <v>0</v>
      </c>
      <c r="TG27">
        <v>0</v>
      </c>
      <c r="TH27">
        <v>0</v>
      </c>
      <c r="TI27">
        <v>0</v>
      </c>
      <c r="TJ27">
        <v>0</v>
      </c>
      <c r="TK27">
        <v>0</v>
      </c>
      <c r="TL27">
        <v>0</v>
      </c>
      <c r="TM27">
        <v>0</v>
      </c>
      <c r="TN27">
        <v>0</v>
      </c>
      <c r="TO27">
        <v>0</v>
      </c>
      <c r="TP27">
        <v>0</v>
      </c>
      <c r="TQ27">
        <v>0</v>
      </c>
      <c r="TR27">
        <v>0</v>
      </c>
      <c r="TS27">
        <v>0</v>
      </c>
      <c r="TT27">
        <v>0</v>
      </c>
      <c r="TU27">
        <v>0</v>
      </c>
      <c r="TV27">
        <v>0</v>
      </c>
      <c r="TW27">
        <v>0</v>
      </c>
      <c r="TX27">
        <v>0</v>
      </c>
      <c r="TY27">
        <v>0</v>
      </c>
      <c r="TZ27">
        <v>0</v>
      </c>
      <c r="UA27">
        <v>0</v>
      </c>
      <c r="UB27">
        <v>0</v>
      </c>
      <c r="UC27">
        <v>0</v>
      </c>
      <c r="UD27">
        <v>0</v>
      </c>
      <c r="UE27">
        <v>0</v>
      </c>
      <c r="UF27">
        <v>0</v>
      </c>
      <c r="UG27">
        <v>0</v>
      </c>
      <c r="UH27">
        <v>0</v>
      </c>
      <c r="UI27">
        <v>0</v>
      </c>
      <c r="UJ27">
        <v>0</v>
      </c>
      <c r="UK27">
        <v>0</v>
      </c>
      <c r="UL27">
        <v>0</v>
      </c>
      <c r="UM27">
        <v>0</v>
      </c>
      <c r="UN27">
        <v>0</v>
      </c>
      <c r="UO27">
        <v>0</v>
      </c>
      <c r="UP27">
        <v>0</v>
      </c>
      <c r="UQ27">
        <v>0</v>
      </c>
      <c r="UR27">
        <v>0</v>
      </c>
      <c r="US27">
        <v>0</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v>0</v>
      </c>
      <c r="VP27">
        <v>0</v>
      </c>
      <c r="VQ27">
        <v>0</v>
      </c>
      <c r="VR27">
        <v>0</v>
      </c>
      <c r="VS27">
        <v>0</v>
      </c>
      <c r="VT27">
        <v>0</v>
      </c>
      <c r="VU27">
        <v>0</v>
      </c>
      <c r="VV27">
        <v>0</v>
      </c>
      <c r="VW27">
        <v>0</v>
      </c>
      <c r="VX27">
        <v>0</v>
      </c>
      <c r="VY27">
        <v>0</v>
      </c>
      <c r="VZ27">
        <v>0</v>
      </c>
      <c r="WA27">
        <v>0</v>
      </c>
      <c r="WB27">
        <v>0</v>
      </c>
      <c r="WC27">
        <v>0</v>
      </c>
      <c r="WD27">
        <v>0</v>
      </c>
      <c r="WE27">
        <v>0</v>
      </c>
      <c r="WF27">
        <v>0</v>
      </c>
      <c r="WG27">
        <v>0</v>
      </c>
      <c r="WH27">
        <v>0</v>
      </c>
      <c r="WI27">
        <v>0</v>
      </c>
      <c r="WJ27">
        <v>0</v>
      </c>
      <c r="WK27">
        <v>0</v>
      </c>
      <c r="WL27">
        <v>0</v>
      </c>
      <c r="WM27">
        <v>0</v>
      </c>
      <c r="WN27">
        <v>0</v>
      </c>
      <c r="WO27">
        <v>0</v>
      </c>
      <c r="WP27">
        <v>0</v>
      </c>
      <c r="WQ27">
        <v>0</v>
      </c>
      <c r="WR27">
        <v>0</v>
      </c>
      <c r="WS27">
        <v>0</v>
      </c>
      <c r="WT27">
        <v>0</v>
      </c>
      <c r="WU27">
        <v>0</v>
      </c>
      <c r="WV27">
        <v>0</v>
      </c>
      <c r="WW27">
        <v>0</v>
      </c>
      <c r="WX27">
        <v>0</v>
      </c>
      <c r="WY27">
        <v>0</v>
      </c>
      <c r="WZ27">
        <v>0</v>
      </c>
      <c r="XA27">
        <v>0</v>
      </c>
      <c r="XB27">
        <v>0</v>
      </c>
      <c r="XC27">
        <v>0</v>
      </c>
      <c r="XD27">
        <v>0</v>
      </c>
      <c r="XE27">
        <v>0</v>
      </c>
      <c r="XF27">
        <v>0</v>
      </c>
      <c r="XG27">
        <v>0</v>
      </c>
      <c r="XH27">
        <v>0</v>
      </c>
      <c r="XI27">
        <v>0</v>
      </c>
      <c r="XJ27">
        <v>0</v>
      </c>
      <c r="XK27">
        <v>0</v>
      </c>
      <c r="XL27">
        <v>0</v>
      </c>
      <c r="XM27">
        <v>0</v>
      </c>
      <c r="XN27">
        <v>0</v>
      </c>
      <c r="XO27">
        <v>0</v>
      </c>
      <c r="XP27">
        <v>0</v>
      </c>
      <c r="XQ27">
        <v>0</v>
      </c>
      <c r="XR27">
        <v>0</v>
      </c>
      <c r="XS27">
        <v>0</v>
      </c>
      <c r="XT27">
        <v>0</v>
      </c>
      <c r="XU27">
        <v>0</v>
      </c>
      <c r="XV27">
        <v>0</v>
      </c>
      <c r="XW27">
        <v>0</v>
      </c>
      <c r="XX27">
        <v>0</v>
      </c>
      <c r="XY27">
        <v>0</v>
      </c>
      <c r="XZ27">
        <v>0</v>
      </c>
      <c r="YA27">
        <v>0</v>
      </c>
      <c r="YB27">
        <v>0</v>
      </c>
      <c r="YC27">
        <v>0</v>
      </c>
      <c r="YD27">
        <v>0</v>
      </c>
      <c r="YE27">
        <v>0</v>
      </c>
      <c r="YF27">
        <v>0</v>
      </c>
      <c r="YG27">
        <v>0</v>
      </c>
      <c r="YH27">
        <v>0</v>
      </c>
      <c r="YI27">
        <v>0</v>
      </c>
      <c r="YJ27">
        <v>0</v>
      </c>
      <c r="YK27">
        <v>0</v>
      </c>
      <c r="YL27">
        <v>0</v>
      </c>
      <c r="YM27">
        <v>0</v>
      </c>
      <c r="YN27">
        <v>0</v>
      </c>
      <c r="YO27">
        <v>0</v>
      </c>
      <c r="YP27">
        <v>0</v>
      </c>
      <c r="YQ27">
        <v>0</v>
      </c>
      <c r="YR27">
        <v>0</v>
      </c>
      <c r="YS27">
        <v>0</v>
      </c>
      <c r="YT27">
        <v>0</v>
      </c>
      <c r="YU27">
        <v>0</v>
      </c>
      <c r="YV27">
        <v>0</v>
      </c>
      <c r="YW27">
        <v>0</v>
      </c>
      <c r="YX27">
        <v>0</v>
      </c>
      <c r="YY27">
        <v>0</v>
      </c>
      <c r="YZ27">
        <v>0</v>
      </c>
      <c r="ZA27">
        <v>0</v>
      </c>
      <c r="ZB27">
        <v>0</v>
      </c>
      <c r="ZC27">
        <v>0</v>
      </c>
      <c r="ZD27">
        <v>0</v>
      </c>
      <c r="ZE27">
        <v>0</v>
      </c>
      <c r="ZF27">
        <v>0</v>
      </c>
      <c r="ZG27">
        <v>0</v>
      </c>
      <c r="ZH27">
        <v>0</v>
      </c>
      <c r="ZI27">
        <v>0</v>
      </c>
      <c r="ZJ27">
        <v>0</v>
      </c>
      <c r="ZK27">
        <v>0</v>
      </c>
      <c r="ZL27">
        <v>0</v>
      </c>
      <c r="ZM27">
        <v>0</v>
      </c>
      <c r="ZN27">
        <v>0</v>
      </c>
      <c r="ZO27">
        <v>0</v>
      </c>
      <c r="ZP27">
        <v>0</v>
      </c>
      <c r="ZQ27">
        <v>0</v>
      </c>
      <c r="ZR27">
        <v>0</v>
      </c>
      <c r="ZS27">
        <v>0</v>
      </c>
      <c r="ZT27">
        <v>0</v>
      </c>
      <c r="ZU27">
        <v>0</v>
      </c>
      <c r="ZV27">
        <v>0</v>
      </c>
      <c r="ZW27">
        <v>0</v>
      </c>
      <c r="ZX27">
        <v>0</v>
      </c>
      <c r="ZY27">
        <v>0</v>
      </c>
      <c r="ZZ27">
        <v>0</v>
      </c>
      <c r="AAA27">
        <v>0</v>
      </c>
      <c r="AAB27">
        <v>0</v>
      </c>
      <c r="AAC27">
        <v>0</v>
      </c>
      <c r="AAD27">
        <v>0</v>
      </c>
      <c r="AAE27">
        <v>0</v>
      </c>
      <c r="AAF27">
        <v>0</v>
      </c>
      <c r="AAG27">
        <v>0</v>
      </c>
      <c r="AAH27">
        <v>0</v>
      </c>
      <c r="AAI27">
        <v>0</v>
      </c>
      <c r="AAJ27">
        <v>0</v>
      </c>
      <c r="AAK27">
        <v>0</v>
      </c>
      <c r="AAL27">
        <v>0</v>
      </c>
      <c r="AAM27">
        <v>0</v>
      </c>
      <c r="AAN27">
        <v>0</v>
      </c>
      <c r="AAO27">
        <v>0</v>
      </c>
      <c r="AAP27">
        <v>0</v>
      </c>
      <c r="AAQ27">
        <v>0</v>
      </c>
      <c r="AAR27">
        <v>0</v>
      </c>
      <c r="AAS27">
        <v>0</v>
      </c>
      <c r="AAT27">
        <v>0</v>
      </c>
      <c r="AAU27">
        <v>0</v>
      </c>
      <c r="AAV27">
        <v>0</v>
      </c>
      <c r="AAW27">
        <v>0</v>
      </c>
      <c r="AAX27">
        <v>0</v>
      </c>
      <c r="AAY27">
        <v>0</v>
      </c>
      <c r="AAZ27">
        <v>0</v>
      </c>
      <c r="ABA27">
        <v>0</v>
      </c>
      <c r="ABB27">
        <v>0</v>
      </c>
      <c r="ABC27">
        <v>0</v>
      </c>
      <c r="ABD27">
        <v>0</v>
      </c>
      <c r="ABE27">
        <v>0</v>
      </c>
      <c r="ABF27">
        <v>0</v>
      </c>
      <c r="ABG27">
        <v>0</v>
      </c>
      <c r="ABH27">
        <v>0</v>
      </c>
      <c r="ABI27">
        <v>0</v>
      </c>
      <c r="ABJ27">
        <v>0</v>
      </c>
      <c r="ABK27">
        <v>0</v>
      </c>
      <c r="ABL27">
        <v>0</v>
      </c>
      <c r="ABM27">
        <v>0</v>
      </c>
      <c r="ABN27">
        <v>0</v>
      </c>
      <c r="ABO27">
        <v>0</v>
      </c>
      <c r="ABP27">
        <v>0</v>
      </c>
      <c r="ABQ27">
        <v>0</v>
      </c>
      <c r="ABR27">
        <v>0</v>
      </c>
      <c r="ABS27">
        <v>0</v>
      </c>
      <c r="ABT27">
        <v>0</v>
      </c>
      <c r="ABU27">
        <v>0</v>
      </c>
      <c r="ABV27">
        <v>0</v>
      </c>
      <c r="ABW27">
        <v>0</v>
      </c>
      <c r="ABX27">
        <v>0</v>
      </c>
      <c r="ABY27">
        <v>0</v>
      </c>
      <c r="ABZ27">
        <v>0</v>
      </c>
      <c r="ACA27">
        <v>0</v>
      </c>
      <c r="ACB27">
        <v>0</v>
      </c>
      <c r="ACC27">
        <v>0</v>
      </c>
      <c r="ACD27">
        <v>0</v>
      </c>
      <c r="ACE27">
        <v>0</v>
      </c>
      <c r="ACF27">
        <v>0</v>
      </c>
      <c r="ACG27">
        <v>0</v>
      </c>
      <c r="ACH27">
        <v>0</v>
      </c>
      <c r="ACI27">
        <v>0</v>
      </c>
      <c r="ACJ27">
        <v>0</v>
      </c>
      <c r="ACK27">
        <v>0</v>
      </c>
      <c r="ACL27">
        <v>0</v>
      </c>
      <c r="ACM27">
        <v>0</v>
      </c>
      <c r="ACN27">
        <v>0</v>
      </c>
      <c r="ACO27">
        <v>0</v>
      </c>
      <c r="ACP27">
        <v>0</v>
      </c>
      <c r="ACQ27">
        <v>0</v>
      </c>
      <c r="ACR27">
        <v>0</v>
      </c>
      <c r="ACS27">
        <v>0</v>
      </c>
      <c r="ACT27">
        <v>0</v>
      </c>
      <c r="ACU27">
        <v>0</v>
      </c>
      <c r="ACV27">
        <v>0</v>
      </c>
      <c r="ACW27">
        <v>0</v>
      </c>
      <c r="ACX27">
        <v>0</v>
      </c>
      <c r="ACY27">
        <v>0</v>
      </c>
      <c r="ACZ27">
        <v>0</v>
      </c>
      <c r="ADA27">
        <v>0</v>
      </c>
      <c r="ADB27">
        <v>0</v>
      </c>
      <c r="ADC27">
        <v>0</v>
      </c>
      <c r="ADD27">
        <v>0</v>
      </c>
      <c r="ADE27">
        <v>0</v>
      </c>
      <c r="ADF27">
        <v>0</v>
      </c>
      <c r="ADG27">
        <v>0</v>
      </c>
      <c r="ADH27">
        <v>0</v>
      </c>
      <c r="ADI27">
        <v>0</v>
      </c>
      <c r="ADJ27">
        <v>0</v>
      </c>
      <c r="ADK27">
        <v>0</v>
      </c>
      <c r="ADL27">
        <v>0</v>
      </c>
      <c r="ADM27">
        <v>0</v>
      </c>
      <c r="ADN27">
        <v>0</v>
      </c>
      <c r="ADO27">
        <v>0</v>
      </c>
      <c r="ADP27">
        <v>0</v>
      </c>
      <c r="ADQ27">
        <v>0</v>
      </c>
      <c r="ADR27">
        <v>0</v>
      </c>
      <c r="ADS27">
        <v>0</v>
      </c>
      <c r="ADT27">
        <v>0</v>
      </c>
      <c r="ADU27">
        <v>0</v>
      </c>
      <c r="ADV27">
        <v>0</v>
      </c>
      <c r="ADW27">
        <v>0</v>
      </c>
      <c r="ADX27">
        <v>0</v>
      </c>
      <c r="ADY27">
        <v>0</v>
      </c>
      <c r="ADZ27">
        <v>0</v>
      </c>
      <c r="AEA27">
        <v>0</v>
      </c>
      <c r="AEB27">
        <v>0</v>
      </c>
      <c r="AEC27">
        <v>0</v>
      </c>
      <c r="AED27">
        <v>0</v>
      </c>
      <c r="AEE27">
        <v>0</v>
      </c>
      <c r="AEF27">
        <v>0</v>
      </c>
      <c r="AEG27">
        <v>0</v>
      </c>
      <c r="AEH27">
        <v>0</v>
      </c>
      <c r="AEI27">
        <v>0</v>
      </c>
      <c r="AEJ27">
        <v>0</v>
      </c>
      <c r="AEK27">
        <v>0</v>
      </c>
      <c r="AEL27">
        <v>0</v>
      </c>
      <c r="AEM27">
        <v>0</v>
      </c>
      <c r="AEN27">
        <v>0</v>
      </c>
      <c r="AEO27">
        <v>0</v>
      </c>
      <c r="AEP27">
        <v>0</v>
      </c>
      <c r="AEQ27">
        <v>0</v>
      </c>
      <c r="AER27">
        <v>0</v>
      </c>
      <c r="AES27">
        <v>0</v>
      </c>
      <c r="AET27">
        <v>0</v>
      </c>
      <c r="AEU27">
        <v>0</v>
      </c>
      <c r="AEV27">
        <v>0</v>
      </c>
      <c r="AEW27">
        <v>0</v>
      </c>
      <c r="AEX27">
        <v>0</v>
      </c>
      <c r="AEY27">
        <v>0</v>
      </c>
      <c r="AEZ27">
        <v>0</v>
      </c>
      <c r="AFA27">
        <v>0</v>
      </c>
      <c r="AFB27">
        <v>0</v>
      </c>
      <c r="AFC27">
        <v>0</v>
      </c>
      <c r="AFD27">
        <v>0</v>
      </c>
      <c r="AFE27">
        <v>0</v>
      </c>
      <c r="AFF27">
        <v>0</v>
      </c>
      <c r="AFG27">
        <v>0</v>
      </c>
      <c r="AFH27">
        <v>0</v>
      </c>
      <c r="AFI27">
        <v>0</v>
      </c>
      <c r="AFJ27">
        <v>0</v>
      </c>
      <c r="AFK27">
        <v>0</v>
      </c>
      <c r="AFL27">
        <v>0</v>
      </c>
      <c r="AFM27">
        <v>0</v>
      </c>
      <c r="AFN27">
        <v>0</v>
      </c>
      <c r="AFO27">
        <v>0</v>
      </c>
      <c r="AFP27">
        <v>0</v>
      </c>
      <c r="AFQ27">
        <v>0</v>
      </c>
      <c r="AFR27">
        <v>0</v>
      </c>
      <c r="AFS27">
        <v>0</v>
      </c>
      <c r="AFT27">
        <v>0</v>
      </c>
      <c r="AFU27">
        <v>0</v>
      </c>
      <c r="AFV27">
        <v>0</v>
      </c>
      <c r="AFW27">
        <v>0</v>
      </c>
      <c r="AFX27">
        <v>0</v>
      </c>
      <c r="AFY27">
        <v>0</v>
      </c>
      <c r="AFZ27">
        <v>0</v>
      </c>
      <c r="AGA27">
        <v>0</v>
      </c>
      <c r="AGB27">
        <v>0</v>
      </c>
      <c r="AGC27">
        <v>0</v>
      </c>
      <c r="AGD27">
        <v>0</v>
      </c>
      <c r="AGE27">
        <v>0</v>
      </c>
      <c r="AGF27">
        <v>0</v>
      </c>
      <c r="AGG27">
        <v>0</v>
      </c>
      <c r="AGH27">
        <v>0</v>
      </c>
      <c r="AGI27">
        <v>0</v>
      </c>
      <c r="AGJ27">
        <v>0</v>
      </c>
      <c r="AGK27">
        <v>0</v>
      </c>
      <c r="AGL27">
        <v>0</v>
      </c>
      <c r="AGM27">
        <v>0</v>
      </c>
      <c r="AGN27">
        <v>0</v>
      </c>
      <c r="AGO27">
        <v>0</v>
      </c>
      <c r="AGP27">
        <v>0</v>
      </c>
      <c r="AGQ27">
        <v>0</v>
      </c>
      <c r="AGR27">
        <v>0</v>
      </c>
      <c r="AGS27">
        <v>0</v>
      </c>
      <c r="AGT27">
        <v>0</v>
      </c>
      <c r="AGU27">
        <v>0</v>
      </c>
      <c r="AGV27">
        <v>0</v>
      </c>
      <c r="AGW27">
        <v>0</v>
      </c>
      <c r="AGX27">
        <v>0</v>
      </c>
      <c r="AGY27">
        <v>0</v>
      </c>
      <c r="AGZ27">
        <v>0</v>
      </c>
      <c r="AHA27">
        <v>0</v>
      </c>
      <c r="AHB27">
        <v>0</v>
      </c>
      <c r="AHC27">
        <v>0</v>
      </c>
      <c r="AHD27">
        <v>0</v>
      </c>
      <c r="AHE27">
        <v>0</v>
      </c>
      <c r="AHF27">
        <v>0</v>
      </c>
      <c r="AHG27">
        <v>0</v>
      </c>
      <c r="AHH27">
        <v>0</v>
      </c>
      <c r="AHI27">
        <v>0</v>
      </c>
      <c r="AHJ27">
        <v>0</v>
      </c>
      <c r="AHK27">
        <v>0</v>
      </c>
      <c r="AHL27">
        <v>0</v>
      </c>
      <c r="AHM27">
        <v>0</v>
      </c>
      <c r="AHN27">
        <v>0</v>
      </c>
      <c r="AHO27">
        <v>0</v>
      </c>
      <c r="AHP27">
        <v>0</v>
      </c>
      <c r="AHQ27">
        <v>0</v>
      </c>
      <c r="AHR27">
        <v>0</v>
      </c>
      <c r="AHS27">
        <v>0</v>
      </c>
      <c r="AHT27">
        <v>0</v>
      </c>
      <c r="AHU27">
        <v>0</v>
      </c>
      <c r="AHV27">
        <v>0</v>
      </c>
      <c r="AHW27">
        <v>0</v>
      </c>
      <c r="AHX27">
        <v>0</v>
      </c>
      <c r="AHY27">
        <v>0</v>
      </c>
      <c r="AHZ27">
        <v>0</v>
      </c>
      <c r="AIA27">
        <v>0</v>
      </c>
      <c r="AIB27">
        <v>0</v>
      </c>
      <c r="AIC27">
        <v>0</v>
      </c>
      <c r="AID27">
        <v>0</v>
      </c>
      <c r="AIE27">
        <v>0</v>
      </c>
      <c r="AIF27">
        <v>0</v>
      </c>
      <c r="AIG27">
        <v>0</v>
      </c>
      <c r="AIH27">
        <v>0</v>
      </c>
      <c r="AII27">
        <v>0</v>
      </c>
      <c r="AIJ27">
        <v>0</v>
      </c>
      <c r="AIK27">
        <v>0</v>
      </c>
      <c r="AIL27">
        <v>0</v>
      </c>
      <c r="AIM27">
        <v>0</v>
      </c>
      <c r="AIN27">
        <v>0</v>
      </c>
      <c r="AIO27">
        <v>0</v>
      </c>
      <c r="AIP27">
        <v>0</v>
      </c>
      <c r="AIQ27">
        <v>0</v>
      </c>
      <c r="AIR27">
        <v>0</v>
      </c>
      <c r="AIS27">
        <v>0</v>
      </c>
      <c r="AIT27">
        <v>0</v>
      </c>
      <c r="AIU27">
        <v>0</v>
      </c>
      <c r="AIV27">
        <v>0</v>
      </c>
      <c r="AIW27">
        <v>0</v>
      </c>
      <c r="AIX27">
        <v>0</v>
      </c>
      <c r="AIY27">
        <v>0</v>
      </c>
      <c r="AIZ27">
        <v>0</v>
      </c>
      <c r="AJA27">
        <v>0</v>
      </c>
      <c r="AJB27">
        <v>0</v>
      </c>
      <c r="AJC27">
        <v>0</v>
      </c>
      <c r="AJD27">
        <v>0</v>
      </c>
      <c r="AJE27">
        <v>0</v>
      </c>
      <c r="AJF27">
        <v>0</v>
      </c>
      <c r="AJG27">
        <v>0</v>
      </c>
      <c r="AJH27">
        <v>0</v>
      </c>
      <c r="AJI27">
        <v>0</v>
      </c>
      <c r="AJJ27">
        <v>0</v>
      </c>
      <c r="AJK27">
        <v>0</v>
      </c>
      <c r="AJL27">
        <v>0</v>
      </c>
      <c r="AJM27">
        <v>0</v>
      </c>
      <c r="AJN27">
        <v>0</v>
      </c>
      <c r="AJO27">
        <v>0</v>
      </c>
      <c r="AJP27">
        <v>0</v>
      </c>
      <c r="AJQ27">
        <v>0</v>
      </c>
      <c r="AJR27">
        <v>0</v>
      </c>
      <c r="AJS27">
        <v>0</v>
      </c>
      <c r="AJT27">
        <v>0</v>
      </c>
      <c r="AJU27">
        <v>0</v>
      </c>
      <c r="AJV27">
        <v>0</v>
      </c>
      <c r="AJW27">
        <v>0</v>
      </c>
      <c r="AJX27">
        <v>0</v>
      </c>
      <c r="AJY27">
        <v>0</v>
      </c>
      <c r="AJZ27">
        <v>0</v>
      </c>
      <c r="AKA27">
        <v>0</v>
      </c>
      <c r="AKB27">
        <v>0</v>
      </c>
      <c r="AKC27">
        <v>0</v>
      </c>
      <c r="AKD27">
        <v>0</v>
      </c>
      <c r="AKE27">
        <v>0</v>
      </c>
      <c r="AKF27">
        <v>0</v>
      </c>
      <c r="AKG27">
        <v>0</v>
      </c>
      <c r="AKH27">
        <v>0</v>
      </c>
      <c r="AKI27">
        <v>0</v>
      </c>
      <c r="AKJ27">
        <v>0</v>
      </c>
      <c r="AKK27">
        <v>0</v>
      </c>
      <c r="AKL27">
        <v>0</v>
      </c>
      <c r="AKM27">
        <v>0</v>
      </c>
      <c r="AKN27">
        <v>0</v>
      </c>
      <c r="AKO27">
        <v>0</v>
      </c>
      <c r="AKP27">
        <v>0</v>
      </c>
      <c r="AKQ27">
        <v>0</v>
      </c>
      <c r="AKR27">
        <v>0</v>
      </c>
      <c r="AKS27">
        <v>0</v>
      </c>
      <c r="AKT27">
        <v>0</v>
      </c>
      <c r="AKU27">
        <v>0</v>
      </c>
      <c r="AKV27">
        <v>0</v>
      </c>
      <c r="AKW27">
        <v>0</v>
      </c>
      <c r="AKX27">
        <v>0</v>
      </c>
      <c r="AKY27">
        <v>0</v>
      </c>
      <c r="AKZ27">
        <v>0</v>
      </c>
      <c r="ALA27">
        <v>0</v>
      </c>
      <c r="ALB27">
        <v>0</v>
      </c>
      <c r="ALC27">
        <v>0</v>
      </c>
      <c r="ALD27">
        <v>0</v>
      </c>
      <c r="ALE27">
        <v>0</v>
      </c>
      <c r="ALF27">
        <v>0</v>
      </c>
      <c r="ALG27">
        <v>0</v>
      </c>
      <c r="ALH27">
        <v>0</v>
      </c>
      <c r="ALI27">
        <v>0</v>
      </c>
      <c r="ALJ27">
        <v>0</v>
      </c>
      <c r="ALK27">
        <v>0</v>
      </c>
      <c r="ALL27">
        <v>0</v>
      </c>
      <c r="ALM27">
        <v>0</v>
      </c>
      <c r="ALN27">
        <v>0</v>
      </c>
      <c r="ALO27">
        <v>0</v>
      </c>
      <c r="ALP27">
        <v>0</v>
      </c>
      <c r="ALQ27">
        <v>0</v>
      </c>
    </row>
    <row r="28" spans="1:1005" ht="56">
      <c r="A28" s="325" t="s">
        <v>912</v>
      </c>
      <c r="B28" s="338" t="s">
        <v>39</v>
      </c>
      <c r="C28" s="340" t="s">
        <v>76</v>
      </c>
      <c r="D28" s="632"/>
      <c r="E28" s="329" t="s">
        <v>355</v>
      </c>
      <c r="F28" t="str">
        <f t="array" ref="F28:ALQ28" ca="1">TRANSPOSE(Filtered!Y2:Y1005)</f>
        <v>Not specified</v>
      </c>
      <c r="G28" t="str">
        <f ca="1"/>
        <v>Not specified</v>
      </c>
      <c r="H28" t="str">
        <f ca="1"/>
        <v>Not specified</v>
      </c>
      <c r="I28" t="str">
        <f ca="1"/>
        <v>Not specified</v>
      </c>
      <c r="J28" t="str">
        <f ca="1"/>
        <v>Not specified</v>
      </c>
      <c r="K28" t="str">
        <f ca="1"/>
        <v>Not specified</v>
      </c>
      <c r="L28" t="str">
        <f ca="1"/>
        <v>Not specified</v>
      </c>
      <c r="M28" t="str">
        <f ca="1"/>
        <v>Not specified</v>
      </c>
      <c r="N28" t="str">
        <f ca="1"/>
        <v>Not specified</v>
      </c>
      <c r="O28" t="str">
        <f ca="1"/>
        <v>Not specified</v>
      </c>
      <c r="P28" t="str">
        <f ca="1"/>
        <v>Not specified</v>
      </c>
      <c r="Q28" t="str">
        <f ca="1"/>
        <v>Not specified</v>
      </c>
      <c r="R28" t="str">
        <f ca="1"/>
        <v>Not specified</v>
      </c>
      <c r="S28" t="str">
        <f ca="1"/>
        <v>Not specified</v>
      </c>
      <c r="T28" t="str">
        <f ca="1"/>
        <v>Not specified</v>
      </c>
      <c r="U28" t="str">
        <f ca="1"/>
        <v>Not specified</v>
      </c>
      <c r="V28" t="str">
        <f ca="1"/>
        <v>Not specified</v>
      </c>
      <c r="W28" t="str">
        <f ca="1"/>
        <v>Not specified</v>
      </c>
      <c r="X28" t="str">
        <f ca="1"/>
        <v>Not specified</v>
      </c>
      <c r="Y28" t="str">
        <f ca="1"/>
        <v>Not specified</v>
      </c>
      <c r="Z28" t="str">
        <f ca="1"/>
        <v>No</v>
      </c>
      <c r="AA28" t="str">
        <f ca="1"/>
        <v>Not specified</v>
      </c>
      <c r="AB28" t="str">
        <f ca="1"/>
        <v>Not specified</v>
      </c>
      <c r="AC28" t="str">
        <f ca="1"/>
        <v>No</v>
      </c>
      <c r="AD28" t="str">
        <f ca="1"/>
        <v>Not specified</v>
      </c>
      <c r="AE28" t="str">
        <f ca="1"/>
        <v>No</v>
      </c>
      <c r="AF28" t="str">
        <f ca="1"/>
        <v>Not specified</v>
      </c>
      <c r="AG28" t="str">
        <f ca="1"/>
        <v>Not specified</v>
      </c>
      <c r="AH28" t="str">
        <f ca="1"/>
        <v>Not specified</v>
      </c>
      <c r="AI28" t="str">
        <f ca="1"/>
        <v>Not specified</v>
      </c>
      <c r="AJ28" t="str">
        <f ca="1"/>
        <v>Not specified</v>
      </c>
      <c r="AK28" t="str">
        <f ca="1"/>
        <v>Not specified</v>
      </c>
      <c r="AL28" t="str">
        <f ca="1"/>
        <v>Not specified</v>
      </c>
      <c r="AM28" t="str">
        <f ca="1"/>
        <v>Not specified</v>
      </c>
      <c r="AN28" t="str">
        <f ca="1"/>
        <v>Not specified</v>
      </c>
      <c r="AO28" t="str">
        <f ca="1"/>
        <v>Not specified</v>
      </c>
      <c r="AP28" t="str">
        <f ca="1"/>
        <v>Not specified</v>
      </c>
      <c r="AQ28" t="str">
        <f ca="1"/>
        <v>Not specified</v>
      </c>
      <c r="AR28" t="str">
        <f ca="1"/>
        <v>Not specified</v>
      </c>
      <c r="AS28" t="str">
        <f ca="1"/>
        <v>Not specified</v>
      </c>
      <c r="AT28" t="str">
        <f ca="1"/>
        <v>Not specified</v>
      </c>
      <c r="AU28" t="str">
        <f ca="1"/>
        <v>Not specified</v>
      </c>
      <c r="AV28" t="str">
        <f ca="1"/>
        <v>Not specified</v>
      </c>
      <c r="AW28" t="str">
        <f ca="1"/>
        <v>Not specified</v>
      </c>
      <c r="AX28" t="str">
        <f ca="1"/>
        <v>Not specified</v>
      </c>
      <c r="AY28" t="str">
        <f ca="1"/>
        <v>Not specified</v>
      </c>
      <c r="AZ28" t="str">
        <f ca="1"/>
        <v>Not specified</v>
      </c>
      <c r="BA28" t="str">
        <f ca="1"/>
        <v>Not specified</v>
      </c>
      <c r="BB28" t="str">
        <f ca="1"/>
        <v>Not specified</v>
      </c>
      <c r="BC28" t="str">
        <f ca="1"/>
        <v>Not specified</v>
      </c>
      <c r="BD28" t="str">
        <f ca="1"/>
        <v>Not specified</v>
      </c>
      <c r="BE28" t="str">
        <f ca="1"/>
        <v>No</v>
      </c>
      <c r="BF28" t="str">
        <f ca="1"/>
        <v>No</v>
      </c>
      <c r="BG28" t="str">
        <f ca="1"/>
        <v>Not specified</v>
      </c>
      <c r="BH28" t="str">
        <f ca="1"/>
        <v>Not specified</v>
      </c>
      <c r="BI28" t="str">
        <f ca="1"/>
        <v>Not specified</v>
      </c>
      <c r="BJ28" t="str">
        <f ca="1"/>
        <v>No</v>
      </c>
      <c r="BK28" t="str">
        <f ca="1"/>
        <v>No</v>
      </c>
      <c r="BL28" t="str">
        <f ca="1"/>
        <v>Not specified</v>
      </c>
      <c r="BM28" t="str">
        <f ca="1"/>
        <v>Not specified</v>
      </c>
      <c r="BN28" t="str">
        <f ca="1"/>
        <v>Not specified</v>
      </c>
      <c r="BO28" t="str">
        <f ca="1"/>
        <v>Not specified</v>
      </c>
      <c r="BP28" t="str">
        <f ca="1"/>
        <v>Not specified</v>
      </c>
      <c r="BQ28" t="str">
        <f ca="1"/>
        <v>Not specified</v>
      </c>
      <c r="BR28" t="str">
        <f ca="1"/>
        <v>Not specified</v>
      </c>
      <c r="BS28" t="str">
        <f ca="1"/>
        <v>No</v>
      </c>
      <c r="BT28" t="str">
        <f ca="1"/>
        <v>No</v>
      </c>
      <c r="BU28" t="str">
        <f ca="1"/>
        <v>Not specified</v>
      </c>
      <c r="BV28" t="str">
        <f ca="1"/>
        <v>No</v>
      </c>
      <c r="BW28" t="str">
        <f ca="1"/>
        <v>Not specified</v>
      </c>
      <c r="BX28" t="str">
        <f ca="1"/>
        <v>Not specified</v>
      </c>
      <c r="BY28" t="str">
        <f ca="1"/>
        <v>Not specified</v>
      </c>
      <c r="BZ28" t="str">
        <f ca="1"/>
        <v>Not specified</v>
      </c>
      <c r="CA28" t="str">
        <f ca="1"/>
        <v>Not specified</v>
      </c>
      <c r="CB28" t="str">
        <f ca="1"/>
        <v>Not specified</v>
      </c>
      <c r="CC28" t="str">
        <f ca="1"/>
        <v>Not specified</v>
      </c>
      <c r="CD28" t="str">
        <f ca="1"/>
        <v>Not specified</v>
      </c>
      <c r="CE28" t="str">
        <f ca="1"/>
        <v>Not specified</v>
      </c>
      <c r="CF28" t="str">
        <f ca="1"/>
        <v>Not specified</v>
      </c>
      <c r="CG28" t="str">
        <f ca="1"/>
        <v>Not specified</v>
      </c>
      <c r="CH28" t="str">
        <f ca="1"/>
        <v>Not specified</v>
      </c>
      <c r="CI28" t="str">
        <f ca="1"/>
        <v>Not specified</v>
      </c>
      <c r="CJ28" t="str">
        <f ca="1"/>
        <v>Not specified</v>
      </c>
      <c r="CK28" t="str">
        <f ca="1"/>
        <v>Not specified</v>
      </c>
      <c r="CL28" t="str">
        <f ca="1"/>
        <v>Not specified</v>
      </c>
      <c r="CM28" t="str">
        <f ca="1"/>
        <v>Not specified</v>
      </c>
      <c r="CN28" t="str">
        <f ca="1"/>
        <v>Not specified</v>
      </c>
      <c r="CO28" t="str">
        <f ca="1"/>
        <v>Not specified</v>
      </c>
      <c r="CP28" t="str">
        <f ca="1"/>
        <v>Not specified</v>
      </c>
      <c r="CQ28" t="str">
        <f ca="1"/>
        <v>Not specified</v>
      </c>
      <c r="CR28" t="str">
        <f ca="1"/>
        <v>Not specified</v>
      </c>
      <c r="CS28" t="str">
        <f ca="1"/>
        <v>Not specified</v>
      </c>
      <c r="CT28" t="str">
        <f ca="1"/>
        <v>Not specified</v>
      </c>
      <c r="CU28" t="str">
        <f ca="1"/>
        <v>Not specified</v>
      </c>
      <c r="CV28" t="str">
        <f ca="1"/>
        <v>Not specified</v>
      </c>
      <c r="CW28" t="str">
        <f ca="1"/>
        <v>Not specified</v>
      </c>
      <c r="CX28" t="str">
        <f ca="1"/>
        <v>Not specified</v>
      </c>
      <c r="CY28" t="str">
        <f ca="1"/>
        <v>Not specified</v>
      </c>
      <c r="CZ28" t="str">
        <f ca="1"/>
        <v>Not specified</v>
      </c>
      <c r="DA28" t="str">
        <f ca="1"/>
        <v>No</v>
      </c>
      <c r="DB28" t="str">
        <f ca="1"/>
        <v>No</v>
      </c>
      <c r="DC28" t="str">
        <f ca="1"/>
        <v>Not specified</v>
      </c>
      <c r="DD28" t="str">
        <f ca="1"/>
        <v>Not specified</v>
      </c>
      <c r="DE28" t="str">
        <f ca="1"/>
        <v>Not specified</v>
      </c>
      <c r="DF28" t="str">
        <f ca="1"/>
        <v>Not specified</v>
      </c>
      <c r="DG28" t="str">
        <f ca="1"/>
        <v>Not specified</v>
      </c>
      <c r="DH28" t="str">
        <f ca="1"/>
        <v>Not specified</v>
      </c>
      <c r="DI28" t="str">
        <f ca="1"/>
        <v>Not specified</v>
      </c>
      <c r="DJ28" t="str">
        <f ca="1"/>
        <v>Not specified</v>
      </c>
      <c r="DK28" t="str">
        <f ca="1"/>
        <v>Not specified</v>
      </c>
      <c r="DL28" t="str">
        <f ca="1"/>
        <v>Not specified</v>
      </c>
      <c r="DM28" t="str">
        <f ca="1"/>
        <v>Not specified</v>
      </c>
      <c r="DN28" t="str">
        <f ca="1"/>
        <v>Not specified</v>
      </c>
      <c r="DO28" t="str">
        <f ca="1"/>
        <v>Not specified</v>
      </c>
      <c r="DP28" t="str">
        <f ca="1"/>
        <v>Not specified</v>
      </c>
      <c r="DQ28" t="str">
        <f ca="1"/>
        <v>Not specified</v>
      </c>
      <c r="DR28" t="str">
        <f ca="1"/>
        <v>Not specified</v>
      </c>
      <c r="DS28" t="str">
        <f ca="1"/>
        <v>Not specified</v>
      </c>
      <c r="DT28" t="str">
        <f ca="1"/>
        <v>Not specified</v>
      </c>
      <c r="DU28" t="str">
        <f ca="1"/>
        <v>Not specified</v>
      </c>
      <c r="DV28" t="str">
        <f ca="1"/>
        <v>Not specified</v>
      </c>
      <c r="DW28" t="str">
        <f ca="1"/>
        <v>Not specified</v>
      </c>
      <c r="DX28" t="str">
        <f ca="1"/>
        <v>No</v>
      </c>
      <c r="DY28" t="str">
        <f ca="1"/>
        <v>Not specified</v>
      </c>
      <c r="DZ28" t="str">
        <f ca="1"/>
        <v>Not specified</v>
      </c>
      <c r="EA28" t="str">
        <f ca="1"/>
        <v>Not specified</v>
      </c>
      <c r="EB28" t="str">
        <f ca="1"/>
        <v>Not specified</v>
      </c>
      <c r="EC28" t="str">
        <f ca="1"/>
        <v>Not specified</v>
      </c>
      <c r="ED28" t="str">
        <f ca="1"/>
        <v>Not specified</v>
      </c>
      <c r="EE28" t="str">
        <f ca="1"/>
        <v>Not specified</v>
      </c>
      <c r="EF28" t="str">
        <f ca="1"/>
        <v>Not specified</v>
      </c>
      <c r="EG28" t="str">
        <f ca="1"/>
        <v>Not specified</v>
      </c>
      <c r="EH28" t="str">
        <f ca="1"/>
        <v>Not specified</v>
      </c>
      <c r="EI28" t="str">
        <f ca="1"/>
        <v>Not specified</v>
      </c>
      <c r="EJ28" t="str">
        <f ca="1"/>
        <v>Not specified</v>
      </c>
      <c r="EK28" t="str">
        <f ca="1"/>
        <v>Not specified</v>
      </c>
      <c r="EL28" t="str">
        <f ca="1"/>
        <v>Not specified</v>
      </c>
      <c r="EM28" t="str">
        <f ca="1"/>
        <v>Not specified</v>
      </c>
      <c r="EN28" t="str">
        <f ca="1"/>
        <v>Not specified</v>
      </c>
      <c r="EO28" t="str">
        <f ca="1"/>
        <v>Not specified</v>
      </c>
      <c r="EP28" t="str">
        <f ca="1"/>
        <v>Not specified</v>
      </c>
      <c r="EQ28" t="str">
        <f ca="1"/>
        <v>Not specified</v>
      </c>
      <c r="ER28" t="str">
        <f ca="1"/>
        <v>Not specified</v>
      </c>
      <c r="ES28" t="str">
        <f ca="1"/>
        <v>Not specified</v>
      </c>
      <c r="ET28" t="str">
        <f ca="1"/>
        <v>Not specified</v>
      </c>
      <c r="EU28" t="str">
        <f ca="1"/>
        <v>Not specified</v>
      </c>
      <c r="EV28" t="str">
        <f ca="1"/>
        <v>Not specified</v>
      </c>
      <c r="EW28" t="str">
        <f ca="1"/>
        <v>Not specified</v>
      </c>
      <c r="EX28" t="str">
        <f ca="1"/>
        <v>Not specified</v>
      </c>
      <c r="EY28" t="str">
        <f ca="1"/>
        <v>Not specified</v>
      </c>
      <c r="EZ28" t="str">
        <f ca="1"/>
        <v>Not specified</v>
      </c>
      <c r="FA28" t="str">
        <f ca="1"/>
        <v>Not specified</v>
      </c>
      <c r="FB28" t="str">
        <f ca="1"/>
        <v>Not specified</v>
      </c>
      <c r="FC28" t="str">
        <f ca="1"/>
        <v>Not specified</v>
      </c>
      <c r="FD28" t="str">
        <f ca="1"/>
        <v>Not specified</v>
      </c>
      <c r="FE28" t="str">
        <f ca="1"/>
        <v>Not specified</v>
      </c>
      <c r="FF28" t="str">
        <f ca="1"/>
        <v>No</v>
      </c>
      <c r="FG28" t="str">
        <f ca="1"/>
        <v>Not specified</v>
      </c>
      <c r="FH28" t="str">
        <f ca="1"/>
        <v>Not specified</v>
      </c>
      <c r="FI28" t="str">
        <f ca="1"/>
        <v>Not specified</v>
      </c>
      <c r="FJ28" t="str">
        <f ca="1"/>
        <v>Not specified</v>
      </c>
      <c r="FK28" t="str">
        <f ca="1"/>
        <v>Not specified</v>
      </c>
      <c r="FL28" t="str">
        <f ca="1"/>
        <v>Not specified</v>
      </c>
      <c r="FM28" t="str">
        <f ca="1"/>
        <v>Not specified</v>
      </c>
      <c r="FN28" t="str">
        <f ca="1"/>
        <v>Not specified</v>
      </c>
      <c r="FO28" t="str">
        <f ca="1"/>
        <v>Not specified</v>
      </c>
      <c r="FP28" t="str">
        <f ca="1"/>
        <v>Not specified</v>
      </c>
      <c r="FQ28" t="str">
        <f ca="1"/>
        <v>Not specified</v>
      </c>
      <c r="FR28" t="str">
        <f ca="1"/>
        <v>Not specified</v>
      </c>
      <c r="FS28" t="str">
        <f ca="1"/>
        <v>Not specified</v>
      </c>
      <c r="FT28" t="str">
        <f ca="1"/>
        <v>No</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0</v>
      </c>
      <c r="PV28">
        <v>0</v>
      </c>
      <c r="PW28">
        <v>0</v>
      </c>
      <c r="PX28">
        <v>0</v>
      </c>
      <c r="PY28">
        <v>0</v>
      </c>
      <c r="PZ28">
        <v>0</v>
      </c>
      <c r="QA28">
        <v>0</v>
      </c>
      <c r="QB28">
        <v>0</v>
      </c>
      <c r="QC28">
        <v>0</v>
      </c>
      <c r="QD28">
        <v>0</v>
      </c>
      <c r="QE28">
        <v>0</v>
      </c>
      <c r="QF28">
        <v>0</v>
      </c>
      <c r="QG28">
        <v>0</v>
      </c>
      <c r="QH28">
        <v>0</v>
      </c>
      <c r="QI28">
        <v>0</v>
      </c>
      <c r="QJ28">
        <v>0</v>
      </c>
      <c r="QK28">
        <v>0</v>
      </c>
      <c r="QL28">
        <v>0</v>
      </c>
      <c r="QM28">
        <v>0</v>
      </c>
      <c r="QN28">
        <v>0</v>
      </c>
      <c r="QO28">
        <v>0</v>
      </c>
      <c r="QP28">
        <v>0</v>
      </c>
      <c r="QQ28">
        <v>0</v>
      </c>
      <c r="QR28">
        <v>0</v>
      </c>
      <c r="QS28">
        <v>0</v>
      </c>
      <c r="QT28">
        <v>0</v>
      </c>
      <c r="QU28">
        <v>0</v>
      </c>
      <c r="QV28">
        <v>0</v>
      </c>
      <c r="QW28">
        <v>0</v>
      </c>
      <c r="QX28">
        <v>0</v>
      </c>
      <c r="QY28">
        <v>0</v>
      </c>
      <c r="QZ28">
        <v>0</v>
      </c>
      <c r="RA28">
        <v>0</v>
      </c>
      <c r="RB28">
        <v>0</v>
      </c>
      <c r="RC28">
        <v>0</v>
      </c>
      <c r="RD28">
        <v>0</v>
      </c>
      <c r="RE28">
        <v>0</v>
      </c>
      <c r="RF28">
        <v>0</v>
      </c>
      <c r="RG28">
        <v>0</v>
      </c>
      <c r="RH28">
        <v>0</v>
      </c>
      <c r="RI28">
        <v>0</v>
      </c>
      <c r="RJ28">
        <v>0</v>
      </c>
      <c r="RK28">
        <v>0</v>
      </c>
      <c r="RL28">
        <v>0</v>
      </c>
      <c r="RM28">
        <v>0</v>
      </c>
      <c r="RN28">
        <v>0</v>
      </c>
      <c r="RO28">
        <v>0</v>
      </c>
      <c r="RP28">
        <v>0</v>
      </c>
      <c r="RQ28">
        <v>0</v>
      </c>
      <c r="RR28">
        <v>0</v>
      </c>
      <c r="RS28">
        <v>0</v>
      </c>
      <c r="RT28">
        <v>0</v>
      </c>
      <c r="RU28">
        <v>0</v>
      </c>
      <c r="RV28">
        <v>0</v>
      </c>
      <c r="RW28">
        <v>0</v>
      </c>
      <c r="RX28">
        <v>0</v>
      </c>
      <c r="RY28">
        <v>0</v>
      </c>
      <c r="RZ28">
        <v>0</v>
      </c>
      <c r="SA28">
        <v>0</v>
      </c>
      <c r="SB28">
        <v>0</v>
      </c>
      <c r="SC28">
        <v>0</v>
      </c>
      <c r="SD28">
        <v>0</v>
      </c>
      <c r="SE28">
        <v>0</v>
      </c>
      <c r="SF28">
        <v>0</v>
      </c>
      <c r="SG28">
        <v>0</v>
      </c>
      <c r="SH28">
        <v>0</v>
      </c>
      <c r="SI28">
        <v>0</v>
      </c>
      <c r="SJ28">
        <v>0</v>
      </c>
      <c r="SK28">
        <v>0</v>
      </c>
      <c r="SL28">
        <v>0</v>
      </c>
      <c r="SM28">
        <v>0</v>
      </c>
      <c r="SN28">
        <v>0</v>
      </c>
      <c r="SO28">
        <v>0</v>
      </c>
      <c r="SP28">
        <v>0</v>
      </c>
      <c r="SQ28">
        <v>0</v>
      </c>
      <c r="SR28">
        <v>0</v>
      </c>
      <c r="SS28">
        <v>0</v>
      </c>
      <c r="ST28">
        <v>0</v>
      </c>
      <c r="SU28">
        <v>0</v>
      </c>
      <c r="SV28">
        <v>0</v>
      </c>
      <c r="SW28">
        <v>0</v>
      </c>
      <c r="SX28">
        <v>0</v>
      </c>
      <c r="SY28">
        <v>0</v>
      </c>
      <c r="SZ28">
        <v>0</v>
      </c>
      <c r="TA28">
        <v>0</v>
      </c>
      <c r="TB28">
        <v>0</v>
      </c>
      <c r="TC28">
        <v>0</v>
      </c>
      <c r="TD28">
        <v>0</v>
      </c>
      <c r="TE28">
        <v>0</v>
      </c>
      <c r="TF28">
        <v>0</v>
      </c>
      <c r="TG28">
        <v>0</v>
      </c>
      <c r="TH28">
        <v>0</v>
      </c>
      <c r="TI28">
        <v>0</v>
      </c>
      <c r="TJ28">
        <v>0</v>
      </c>
      <c r="TK28">
        <v>0</v>
      </c>
      <c r="TL28">
        <v>0</v>
      </c>
      <c r="TM28">
        <v>0</v>
      </c>
      <c r="TN28">
        <v>0</v>
      </c>
      <c r="TO28">
        <v>0</v>
      </c>
      <c r="TP28">
        <v>0</v>
      </c>
      <c r="TQ28">
        <v>0</v>
      </c>
      <c r="TR28">
        <v>0</v>
      </c>
      <c r="TS28">
        <v>0</v>
      </c>
      <c r="TT28">
        <v>0</v>
      </c>
      <c r="TU28">
        <v>0</v>
      </c>
      <c r="TV28">
        <v>0</v>
      </c>
      <c r="TW28">
        <v>0</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0</v>
      </c>
      <c r="US28">
        <v>0</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0</v>
      </c>
      <c r="VS28">
        <v>0</v>
      </c>
      <c r="VT28">
        <v>0</v>
      </c>
      <c r="VU28">
        <v>0</v>
      </c>
      <c r="VV28">
        <v>0</v>
      </c>
      <c r="VW28">
        <v>0</v>
      </c>
      <c r="VX28">
        <v>0</v>
      </c>
      <c r="VY28">
        <v>0</v>
      </c>
      <c r="VZ28">
        <v>0</v>
      </c>
      <c r="WA28">
        <v>0</v>
      </c>
      <c r="WB28">
        <v>0</v>
      </c>
      <c r="WC28">
        <v>0</v>
      </c>
      <c r="WD28">
        <v>0</v>
      </c>
      <c r="WE28">
        <v>0</v>
      </c>
      <c r="WF28">
        <v>0</v>
      </c>
      <c r="WG28">
        <v>0</v>
      </c>
      <c r="WH28">
        <v>0</v>
      </c>
      <c r="WI28">
        <v>0</v>
      </c>
      <c r="WJ28">
        <v>0</v>
      </c>
      <c r="WK28">
        <v>0</v>
      </c>
      <c r="WL28">
        <v>0</v>
      </c>
      <c r="WM28">
        <v>0</v>
      </c>
      <c r="WN28">
        <v>0</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0</v>
      </c>
      <c r="XX28">
        <v>0</v>
      </c>
      <c r="XY28">
        <v>0</v>
      </c>
      <c r="XZ28">
        <v>0</v>
      </c>
      <c r="YA28">
        <v>0</v>
      </c>
      <c r="YB28">
        <v>0</v>
      </c>
      <c r="YC28">
        <v>0</v>
      </c>
      <c r="YD28">
        <v>0</v>
      </c>
      <c r="YE28">
        <v>0</v>
      </c>
      <c r="YF28">
        <v>0</v>
      </c>
      <c r="YG28">
        <v>0</v>
      </c>
      <c r="YH28">
        <v>0</v>
      </c>
      <c r="YI28">
        <v>0</v>
      </c>
      <c r="YJ28">
        <v>0</v>
      </c>
      <c r="YK28">
        <v>0</v>
      </c>
      <c r="YL28">
        <v>0</v>
      </c>
      <c r="YM28">
        <v>0</v>
      </c>
      <c r="YN28">
        <v>0</v>
      </c>
      <c r="YO28">
        <v>0</v>
      </c>
      <c r="YP28">
        <v>0</v>
      </c>
      <c r="YQ28">
        <v>0</v>
      </c>
      <c r="YR28">
        <v>0</v>
      </c>
      <c r="YS28">
        <v>0</v>
      </c>
      <c r="YT28">
        <v>0</v>
      </c>
      <c r="YU28">
        <v>0</v>
      </c>
      <c r="YV28">
        <v>0</v>
      </c>
      <c r="YW28">
        <v>0</v>
      </c>
      <c r="YX28">
        <v>0</v>
      </c>
      <c r="YY28">
        <v>0</v>
      </c>
      <c r="YZ28">
        <v>0</v>
      </c>
      <c r="ZA28">
        <v>0</v>
      </c>
      <c r="ZB28">
        <v>0</v>
      </c>
      <c r="ZC28">
        <v>0</v>
      </c>
      <c r="ZD28">
        <v>0</v>
      </c>
      <c r="ZE28">
        <v>0</v>
      </c>
      <c r="ZF28">
        <v>0</v>
      </c>
      <c r="ZG28">
        <v>0</v>
      </c>
      <c r="ZH28">
        <v>0</v>
      </c>
      <c r="ZI28">
        <v>0</v>
      </c>
      <c r="ZJ28">
        <v>0</v>
      </c>
      <c r="ZK28">
        <v>0</v>
      </c>
      <c r="ZL28">
        <v>0</v>
      </c>
      <c r="ZM28">
        <v>0</v>
      </c>
      <c r="ZN28">
        <v>0</v>
      </c>
      <c r="ZO28">
        <v>0</v>
      </c>
      <c r="ZP28">
        <v>0</v>
      </c>
      <c r="ZQ28">
        <v>0</v>
      </c>
      <c r="ZR28">
        <v>0</v>
      </c>
      <c r="ZS28">
        <v>0</v>
      </c>
      <c r="ZT28">
        <v>0</v>
      </c>
      <c r="ZU28">
        <v>0</v>
      </c>
      <c r="ZV28">
        <v>0</v>
      </c>
      <c r="ZW28">
        <v>0</v>
      </c>
      <c r="ZX28">
        <v>0</v>
      </c>
      <c r="ZY28">
        <v>0</v>
      </c>
      <c r="ZZ28">
        <v>0</v>
      </c>
      <c r="AAA28">
        <v>0</v>
      </c>
      <c r="AAB28">
        <v>0</v>
      </c>
      <c r="AAC28">
        <v>0</v>
      </c>
      <c r="AAD28">
        <v>0</v>
      </c>
      <c r="AAE28">
        <v>0</v>
      </c>
      <c r="AAF28">
        <v>0</v>
      </c>
      <c r="AAG28">
        <v>0</v>
      </c>
      <c r="AAH28">
        <v>0</v>
      </c>
      <c r="AAI28">
        <v>0</v>
      </c>
      <c r="AAJ28">
        <v>0</v>
      </c>
      <c r="AAK28">
        <v>0</v>
      </c>
      <c r="AAL28">
        <v>0</v>
      </c>
      <c r="AAM28">
        <v>0</v>
      </c>
      <c r="AAN28">
        <v>0</v>
      </c>
      <c r="AAO28">
        <v>0</v>
      </c>
      <c r="AAP28">
        <v>0</v>
      </c>
      <c r="AAQ28">
        <v>0</v>
      </c>
      <c r="AAR28">
        <v>0</v>
      </c>
      <c r="AAS28">
        <v>0</v>
      </c>
      <c r="AAT28">
        <v>0</v>
      </c>
      <c r="AAU28">
        <v>0</v>
      </c>
      <c r="AAV28">
        <v>0</v>
      </c>
      <c r="AAW28">
        <v>0</v>
      </c>
      <c r="AAX28">
        <v>0</v>
      </c>
      <c r="AAY28">
        <v>0</v>
      </c>
      <c r="AAZ28">
        <v>0</v>
      </c>
      <c r="ABA28">
        <v>0</v>
      </c>
      <c r="ABB28">
        <v>0</v>
      </c>
      <c r="ABC28">
        <v>0</v>
      </c>
      <c r="ABD28">
        <v>0</v>
      </c>
      <c r="ABE28">
        <v>0</v>
      </c>
      <c r="ABF28">
        <v>0</v>
      </c>
      <c r="ABG28">
        <v>0</v>
      </c>
      <c r="ABH28">
        <v>0</v>
      </c>
      <c r="ABI28">
        <v>0</v>
      </c>
      <c r="ABJ28">
        <v>0</v>
      </c>
      <c r="ABK28">
        <v>0</v>
      </c>
      <c r="ABL28">
        <v>0</v>
      </c>
      <c r="ABM28">
        <v>0</v>
      </c>
      <c r="ABN28">
        <v>0</v>
      </c>
      <c r="ABO28">
        <v>0</v>
      </c>
      <c r="ABP28">
        <v>0</v>
      </c>
      <c r="ABQ28">
        <v>0</v>
      </c>
      <c r="ABR28">
        <v>0</v>
      </c>
      <c r="ABS28">
        <v>0</v>
      </c>
      <c r="ABT28">
        <v>0</v>
      </c>
      <c r="ABU28">
        <v>0</v>
      </c>
      <c r="ABV28">
        <v>0</v>
      </c>
      <c r="ABW28">
        <v>0</v>
      </c>
      <c r="ABX28">
        <v>0</v>
      </c>
      <c r="ABY28">
        <v>0</v>
      </c>
      <c r="ABZ28">
        <v>0</v>
      </c>
      <c r="ACA28">
        <v>0</v>
      </c>
      <c r="ACB28">
        <v>0</v>
      </c>
      <c r="ACC28">
        <v>0</v>
      </c>
      <c r="ACD28">
        <v>0</v>
      </c>
      <c r="ACE28">
        <v>0</v>
      </c>
      <c r="ACF28">
        <v>0</v>
      </c>
      <c r="ACG28">
        <v>0</v>
      </c>
      <c r="ACH28">
        <v>0</v>
      </c>
      <c r="ACI28">
        <v>0</v>
      </c>
      <c r="ACJ28">
        <v>0</v>
      </c>
      <c r="ACK28">
        <v>0</v>
      </c>
      <c r="ACL28">
        <v>0</v>
      </c>
      <c r="ACM28">
        <v>0</v>
      </c>
      <c r="ACN28">
        <v>0</v>
      </c>
      <c r="ACO28">
        <v>0</v>
      </c>
      <c r="ACP28">
        <v>0</v>
      </c>
      <c r="ACQ28">
        <v>0</v>
      </c>
      <c r="ACR28">
        <v>0</v>
      </c>
      <c r="ACS28">
        <v>0</v>
      </c>
      <c r="ACT28">
        <v>0</v>
      </c>
      <c r="ACU28">
        <v>0</v>
      </c>
      <c r="ACV28">
        <v>0</v>
      </c>
      <c r="ACW28">
        <v>0</v>
      </c>
      <c r="ACX28">
        <v>0</v>
      </c>
      <c r="ACY28">
        <v>0</v>
      </c>
      <c r="ACZ28">
        <v>0</v>
      </c>
      <c r="ADA28">
        <v>0</v>
      </c>
      <c r="ADB28">
        <v>0</v>
      </c>
      <c r="ADC28">
        <v>0</v>
      </c>
      <c r="ADD28">
        <v>0</v>
      </c>
      <c r="ADE28">
        <v>0</v>
      </c>
      <c r="ADF28">
        <v>0</v>
      </c>
      <c r="ADG28">
        <v>0</v>
      </c>
      <c r="ADH28">
        <v>0</v>
      </c>
      <c r="ADI28">
        <v>0</v>
      </c>
      <c r="ADJ28">
        <v>0</v>
      </c>
      <c r="ADK28">
        <v>0</v>
      </c>
      <c r="ADL28">
        <v>0</v>
      </c>
      <c r="ADM28">
        <v>0</v>
      </c>
      <c r="ADN28">
        <v>0</v>
      </c>
      <c r="ADO28">
        <v>0</v>
      </c>
      <c r="ADP28">
        <v>0</v>
      </c>
      <c r="ADQ28">
        <v>0</v>
      </c>
      <c r="ADR28">
        <v>0</v>
      </c>
      <c r="ADS28">
        <v>0</v>
      </c>
      <c r="ADT28">
        <v>0</v>
      </c>
      <c r="ADU28">
        <v>0</v>
      </c>
      <c r="ADV28">
        <v>0</v>
      </c>
      <c r="ADW28">
        <v>0</v>
      </c>
      <c r="ADX28">
        <v>0</v>
      </c>
      <c r="ADY28">
        <v>0</v>
      </c>
      <c r="ADZ28">
        <v>0</v>
      </c>
      <c r="AEA28">
        <v>0</v>
      </c>
      <c r="AEB28">
        <v>0</v>
      </c>
      <c r="AEC28">
        <v>0</v>
      </c>
      <c r="AED28">
        <v>0</v>
      </c>
      <c r="AEE28">
        <v>0</v>
      </c>
      <c r="AEF28">
        <v>0</v>
      </c>
      <c r="AEG28">
        <v>0</v>
      </c>
      <c r="AEH28">
        <v>0</v>
      </c>
      <c r="AEI28">
        <v>0</v>
      </c>
      <c r="AEJ28">
        <v>0</v>
      </c>
      <c r="AEK28">
        <v>0</v>
      </c>
      <c r="AEL28">
        <v>0</v>
      </c>
      <c r="AEM28">
        <v>0</v>
      </c>
      <c r="AEN28">
        <v>0</v>
      </c>
      <c r="AEO28">
        <v>0</v>
      </c>
      <c r="AEP28">
        <v>0</v>
      </c>
      <c r="AEQ28">
        <v>0</v>
      </c>
      <c r="AER28">
        <v>0</v>
      </c>
      <c r="AES28">
        <v>0</v>
      </c>
      <c r="AET28">
        <v>0</v>
      </c>
      <c r="AEU28">
        <v>0</v>
      </c>
      <c r="AEV28">
        <v>0</v>
      </c>
      <c r="AEW28">
        <v>0</v>
      </c>
      <c r="AEX28">
        <v>0</v>
      </c>
      <c r="AEY28">
        <v>0</v>
      </c>
      <c r="AEZ28">
        <v>0</v>
      </c>
      <c r="AFA28">
        <v>0</v>
      </c>
      <c r="AFB28">
        <v>0</v>
      </c>
      <c r="AFC28">
        <v>0</v>
      </c>
      <c r="AFD28">
        <v>0</v>
      </c>
      <c r="AFE28">
        <v>0</v>
      </c>
      <c r="AFF28">
        <v>0</v>
      </c>
      <c r="AFG28">
        <v>0</v>
      </c>
      <c r="AFH28">
        <v>0</v>
      </c>
      <c r="AFI28">
        <v>0</v>
      </c>
      <c r="AFJ28">
        <v>0</v>
      </c>
      <c r="AFK28">
        <v>0</v>
      </c>
      <c r="AFL28">
        <v>0</v>
      </c>
      <c r="AFM28">
        <v>0</v>
      </c>
      <c r="AFN28">
        <v>0</v>
      </c>
      <c r="AFO28">
        <v>0</v>
      </c>
      <c r="AFP28">
        <v>0</v>
      </c>
      <c r="AFQ28">
        <v>0</v>
      </c>
      <c r="AFR28">
        <v>0</v>
      </c>
      <c r="AFS28">
        <v>0</v>
      </c>
      <c r="AFT28">
        <v>0</v>
      </c>
      <c r="AFU28">
        <v>0</v>
      </c>
      <c r="AFV28">
        <v>0</v>
      </c>
      <c r="AFW28">
        <v>0</v>
      </c>
      <c r="AFX28">
        <v>0</v>
      </c>
      <c r="AFY28">
        <v>0</v>
      </c>
      <c r="AFZ28">
        <v>0</v>
      </c>
      <c r="AGA28">
        <v>0</v>
      </c>
      <c r="AGB28">
        <v>0</v>
      </c>
      <c r="AGC28">
        <v>0</v>
      </c>
      <c r="AGD28">
        <v>0</v>
      </c>
      <c r="AGE28">
        <v>0</v>
      </c>
      <c r="AGF28">
        <v>0</v>
      </c>
      <c r="AGG28">
        <v>0</v>
      </c>
      <c r="AGH28">
        <v>0</v>
      </c>
      <c r="AGI28">
        <v>0</v>
      </c>
      <c r="AGJ28">
        <v>0</v>
      </c>
      <c r="AGK28">
        <v>0</v>
      </c>
      <c r="AGL28">
        <v>0</v>
      </c>
      <c r="AGM28">
        <v>0</v>
      </c>
      <c r="AGN28">
        <v>0</v>
      </c>
      <c r="AGO28">
        <v>0</v>
      </c>
      <c r="AGP28">
        <v>0</v>
      </c>
      <c r="AGQ28">
        <v>0</v>
      </c>
      <c r="AGR28">
        <v>0</v>
      </c>
      <c r="AGS28">
        <v>0</v>
      </c>
      <c r="AGT28">
        <v>0</v>
      </c>
      <c r="AGU28">
        <v>0</v>
      </c>
      <c r="AGV28">
        <v>0</v>
      </c>
      <c r="AGW28">
        <v>0</v>
      </c>
      <c r="AGX28">
        <v>0</v>
      </c>
      <c r="AGY28">
        <v>0</v>
      </c>
      <c r="AGZ28">
        <v>0</v>
      </c>
      <c r="AHA28">
        <v>0</v>
      </c>
      <c r="AHB28">
        <v>0</v>
      </c>
      <c r="AHC28">
        <v>0</v>
      </c>
      <c r="AHD28">
        <v>0</v>
      </c>
      <c r="AHE28">
        <v>0</v>
      </c>
      <c r="AHF28">
        <v>0</v>
      </c>
      <c r="AHG28">
        <v>0</v>
      </c>
      <c r="AHH28">
        <v>0</v>
      </c>
      <c r="AHI28">
        <v>0</v>
      </c>
      <c r="AHJ28">
        <v>0</v>
      </c>
      <c r="AHK28">
        <v>0</v>
      </c>
      <c r="AHL28">
        <v>0</v>
      </c>
      <c r="AHM28">
        <v>0</v>
      </c>
      <c r="AHN28">
        <v>0</v>
      </c>
      <c r="AHO28">
        <v>0</v>
      </c>
      <c r="AHP28">
        <v>0</v>
      </c>
      <c r="AHQ28">
        <v>0</v>
      </c>
      <c r="AHR28">
        <v>0</v>
      </c>
      <c r="AHS28">
        <v>0</v>
      </c>
      <c r="AHT28">
        <v>0</v>
      </c>
      <c r="AHU28">
        <v>0</v>
      </c>
      <c r="AHV28">
        <v>0</v>
      </c>
      <c r="AHW28">
        <v>0</v>
      </c>
      <c r="AHX28">
        <v>0</v>
      </c>
      <c r="AHY28">
        <v>0</v>
      </c>
      <c r="AHZ28">
        <v>0</v>
      </c>
      <c r="AIA28">
        <v>0</v>
      </c>
      <c r="AIB28">
        <v>0</v>
      </c>
      <c r="AIC28">
        <v>0</v>
      </c>
      <c r="AID28">
        <v>0</v>
      </c>
      <c r="AIE28">
        <v>0</v>
      </c>
      <c r="AIF28">
        <v>0</v>
      </c>
      <c r="AIG28">
        <v>0</v>
      </c>
      <c r="AIH28">
        <v>0</v>
      </c>
      <c r="AII28">
        <v>0</v>
      </c>
      <c r="AIJ28">
        <v>0</v>
      </c>
      <c r="AIK28">
        <v>0</v>
      </c>
      <c r="AIL28">
        <v>0</v>
      </c>
      <c r="AIM28">
        <v>0</v>
      </c>
      <c r="AIN28">
        <v>0</v>
      </c>
      <c r="AIO28">
        <v>0</v>
      </c>
      <c r="AIP28">
        <v>0</v>
      </c>
      <c r="AIQ28">
        <v>0</v>
      </c>
      <c r="AIR28">
        <v>0</v>
      </c>
      <c r="AIS28">
        <v>0</v>
      </c>
      <c r="AIT28">
        <v>0</v>
      </c>
      <c r="AIU28">
        <v>0</v>
      </c>
      <c r="AIV28">
        <v>0</v>
      </c>
      <c r="AIW28">
        <v>0</v>
      </c>
      <c r="AIX28">
        <v>0</v>
      </c>
      <c r="AIY28">
        <v>0</v>
      </c>
      <c r="AIZ28">
        <v>0</v>
      </c>
      <c r="AJA28">
        <v>0</v>
      </c>
      <c r="AJB28">
        <v>0</v>
      </c>
      <c r="AJC28">
        <v>0</v>
      </c>
      <c r="AJD28">
        <v>0</v>
      </c>
      <c r="AJE28">
        <v>0</v>
      </c>
      <c r="AJF28">
        <v>0</v>
      </c>
      <c r="AJG28">
        <v>0</v>
      </c>
      <c r="AJH28">
        <v>0</v>
      </c>
      <c r="AJI28">
        <v>0</v>
      </c>
      <c r="AJJ28">
        <v>0</v>
      </c>
      <c r="AJK28">
        <v>0</v>
      </c>
      <c r="AJL28">
        <v>0</v>
      </c>
      <c r="AJM28">
        <v>0</v>
      </c>
      <c r="AJN28">
        <v>0</v>
      </c>
      <c r="AJO28">
        <v>0</v>
      </c>
      <c r="AJP28">
        <v>0</v>
      </c>
      <c r="AJQ28">
        <v>0</v>
      </c>
      <c r="AJR28">
        <v>0</v>
      </c>
      <c r="AJS28">
        <v>0</v>
      </c>
      <c r="AJT28">
        <v>0</v>
      </c>
      <c r="AJU28">
        <v>0</v>
      </c>
      <c r="AJV28">
        <v>0</v>
      </c>
      <c r="AJW28">
        <v>0</v>
      </c>
      <c r="AJX28">
        <v>0</v>
      </c>
      <c r="AJY28">
        <v>0</v>
      </c>
      <c r="AJZ28">
        <v>0</v>
      </c>
      <c r="AKA28">
        <v>0</v>
      </c>
      <c r="AKB28">
        <v>0</v>
      </c>
      <c r="AKC28">
        <v>0</v>
      </c>
      <c r="AKD28">
        <v>0</v>
      </c>
      <c r="AKE28">
        <v>0</v>
      </c>
      <c r="AKF28">
        <v>0</v>
      </c>
      <c r="AKG28">
        <v>0</v>
      </c>
      <c r="AKH28">
        <v>0</v>
      </c>
      <c r="AKI28">
        <v>0</v>
      </c>
      <c r="AKJ28">
        <v>0</v>
      </c>
      <c r="AKK28">
        <v>0</v>
      </c>
      <c r="AKL28">
        <v>0</v>
      </c>
      <c r="AKM28">
        <v>0</v>
      </c>
      <c r="AKN28">
        <v>0</v>
      </c>
      <c r="AKO28">
        <v>0</v>
      </c>
      <c r="AKP28">
        <v>0</v>
      </c>
      <c r="AKQ28">
        <v>0</v>
      </c>
      <c r="AKR28">
        <v>0</v>
      </c>
      <c r="AKS28">
        <v>0</v>
      </c>
      <c r="AKT28">
        <v>0</v>
      </c>
      <c r="AKU28">
        <v>0</v>
      </c>
      <c r="AKV28">
        <v>0</v>
      </c>
      <c r="AKW28">
        <v>0</v>
      </c>
      <c r="AKX28">
        <v>0</v>
      </c>
      <c r="AKY28">
        <v>0</v>
      </c>
      <c r="AKZ28">
        <v>0</v>
      </c>
      <c r="ALA28">
        <v>0</v>
      </c>
      <c r="ALB28">
        <v>0</v>
      </c>
      <c r="ALC28">
        <v>0</v>
      </c>
      <c r="ALD28">
        <v>0</v>
      </c>
      <c r="ALE28">
        <v>0</v>
      </c>
      <c r="ALF28">
        <v>0</v>
      </c>
      <c r="ALG28">
        <v>0</v>
      </c>
      <c r="ALH28">
        <v>0</v>
      </c>
      <c r="ALI28">
        <v>0</v>
      </c>
      <c r="ALJ28">
        <v>0</v>
      </c>
      <c r="ALK28">
        <v>0</v>
      </c>
      <c r="ALL28">
        <v>0</v>
      </c>
      <c r="ALM28">
        <v>0</v>
      </c>
      <c r="ALN28">
        <v>0</v>
      </c>
      <c r="ALO28">
        <v>0</v>
      </c>
      <c r="ALP28">
        <v>0</v>
      </c>
      <c r="ALQ28">
        <v>0</v>
      </c>
    </row>
    <row r="29" spans="1:1005" ht="70">
      <c r="A29" s="325" t="s">
        <v>912</v>
      </c>
      <c r="B29" s="338" t="s">
        <v>40</v>
      </c>
      <c r="C29" s="340" t="s">
        <v>77</v>
      </c>
      <c r="D29" s="632"/>
      <c r="E29" s="329" t="s">
        <v>355</v>
      </c>
      <c r="F29" t="str">
        <f t="array" ref="F29:ALQ29" ca="1">TRANSPOSE(Filtered!Z2:Z1005)</f>
        <v>Not specified</v>
      </c>
      <c r="G29" t="str">
        <f ca="1"/>
        <v>Not specified</v>
      </c>
      <c r="H29" t="str">
        <f ca="1"/>
        <v>Not specified</v>
      </c>
      <c r="I29" t="str">
        <f ca="1"/>
        <v>Not specified</v>
      </c>
      <c r="J29" t="str">
        <f ca="1"/>
        <v>Not specified</v>
      </c>
      <c r="K29" t="str">
        <f ca="1"/>
        <v>Not specified</v>
      </c>
      <c r="L29" t="str">
        <f ca="1"/>
        <v>Not specified</v>
      </c>
      <c r="M29" t="str">
        <f ca="1"/>
        <v>Not specified</v>
      </c>
      <c r="N29" t="str">
        <f ca="1"/>
        <v>Not specified</v>
      </c>
      <c r="O29" t="str">
        <f ca="1"/>
        <v>Not specified</v>
      </c>
      <c r="P29" t="str">
        <f ca="1"/>
        <v>Not specified</v>
      </c>
      <c r="Q29" t="str">
        <f ca="1"/>
        <v>Not specified</v>
      </c>
      <c r="R29" t="str">
        <f ca="1"/>
        <v>Not specified</v>
      </c>
      <c r="S29" t="str">
        <f ca="1"/>
        <v>Not specified</v>
      </c>
      <c r="T29" t="str">
        <f ca="1"/>
        <v>Not specified</v>
      </c>
      <c r="U29" t="str">
        <f ca="1"/>
        <v>Not specified</v>
      </c>
      <c r="V29" t="str">
        <f ca="1"/>
        <v>Not specified</v>
      </c>
      <c r="W29" t="str">
        <f ca="1"/>
        <v>Not specified</v>
      </c>
      <c r="X29" t="str">
        <f ca="1"/>
        <v>Not specified</v>
      </c>
      <c r="Y29" t="str">
        <f ca="1"/>
        <v>Not specified</v>
      </c>
      <c r="Z29" t="str">
        <f ca="1"/>
        <v>Conditional</v>
      </c>
      <c r="AA29" t="str">
        <f ca="1"/>
        <v>Not specified</v>
      </c>
      <c r="AB29" t="str">
        <f ca="1"/>
        <v>Not specified</v>
      </c>
      <c r="AC29" t="str">
        <f ca="1"/>
        <v>No</v>
      </c>
      <c r="AD29" t="str">
        <f ca="1"/>
        <v>Not specified</v>
      </c>
      <c r="AE29" t="str">
        <f ca="1"/>
        <v>No</v>
      </c>
      <c r="AF29" t="str">
        <f ca="1"/>
        <v>Not specified</v>
      </c>
      <c r="AG29" t="str">
        <f ca="1"/>
        <v>Not specified</v>
      </c>
      <c r="AH29" t="str">
        <f ca="1"/>
        <v>Not specified</v>
      </c>
      <c r="AI29" t="str">
        <f ca="1"/>
        <v>Not specified</v>
      </c>
      <c r="AJ29" t="str">
        <f ca="1"/>
        <v>Not specified</v>
      </c>
      <c r="AK29" t="str">
        <f ca="1"/>
        <v>Not specified</v>
      </c>
      <c r="AL29" t="str">
        <f ca="1"/>
        <v>Not specified</v>
      </c>
      <c r="AM29" t="str">
        <f ca="1"/>
        <v>Not specified</v>
      </c>
      <c r="AN29" t="str">
        <f ca="1"/>
        <v>Not specified</v>
      </c>
      <c r="AO29" t="str">
        <f ca="1"/>
        <v>Not specified</v>
      </c>
      <c r="AP29" t="str">
        <f ca="1"/>
        <v>Not specified</v>
      </c>
      <c r="AQ29" t="str">
        <f ca="1"/>
        <v>Not specified</v>
      </c>
      <c r="AR29" t="str">
        <f ca="1"/>
        <v>Not specified</v>
      </c>
      <c r="AS29" t="str">
        <f ca="1"/>
        <v>Not specified</v>
      </c>
      <c r="AT29" t="str">
        <f ca="1"/>
        <v>Not specified</v>
      </c>
      <c r="AU29" t="str">
        <f ca="1"/>
        <v>Not specified</v>
      </c>
      <c r="AV29" t="str">
        <f ca="1"/>
        <v>Yes</v>
      </c>
      <c r="AW29" t="str">
        <f ca="1"/>
        <v>Not specified</v>
      </c>
      <c r="AX29" t="str">
        <f ca="1"/>
        <v>Not specified</v>
      </c>
      <c r="AY29" t="str">
        <f ca="1"/>
        <v>Not specified</v>
      </c>
      <c r="AZ29" t="str">
        <f ca="1"/>
        <v>Not specified</v>
      </c>
      <c r="BA29" t="str">
        <f ca="1"/>
        <v>Not specified</v>
      </c>
      <c r="BB29" t="str">
        <f ca="1"/>
        <v>Not specified</v>
      </c>
      <c r="BC29" t="str">
        <f ca="1"/>
        <v>Not specified</v>
      </c>
      <c r="BD29" t="str">
        <f ca="1"/>
        <v>Not specified</v>
      </c>
      <c r="BE29" t="str">
        <f ca="1"/>
        <v>No</v>
      </c>
      <c r="BF29" t="str">
        <f ca="1"/>
        <v>No</v>
      </c>
      <c r="BG29" t="str">
        <f ca="1"/>
        <v>Not specified</v>
      </c>
      <c r="BH29" t="str">
        <f ca="1"/>
        <v>Not specified</v>
      </c>
      <c r="BI29" t="str">
        <f ca="1"/>
        <v>Not specified</v>
      </c>
      <c r="BJ29" t="str">
        <f ca="1"/>
        <v>No</v>
      </c>
      <c r="BK29" t="str">
        <f ca="1"/>
        <v>Mandatory</v>
      </c>
      <c r="BL29" t="str">
        <f ca="1"/>
        <v>Not specified</v>
      </c>
      <c r="BM29" t="str">
        <f ca="1"/>
        <v>Not specified</v>
      </c>
      <c r="BN29" t="str">
        <f ca="1"/>
        <v>Not specified</v>
      </c>
      <c r="BO29" t="str">
        <f ca="1"/>
        <v>Not specified</v>
      </c>
      <c r="BP29" t="str">
        <f ca="1"/>
        <v>Not specified</v>
      </c>
      <c r="BQ29" t="str">
        <f ca="1"/>
        <v>Not specified</v>
      </c>
      <c r="BR29" t="str">
        <f ca="1"/>
        <v>Not specified</v>
      </c>
      <c r="BS29" t="str">
        <f ca="1"/>
        <v>No</v>
      </c>
      <c r="BT29" t="str">
        <f ca="1"/>
        <v>Not specified</v>
      </c>
      <c r="BU29" t="str">
        <f ca="1"/>
        <v>Not specified</v>
      </c>
      <c r="BV29" t="str">
        <f ca="1"/>
        <v>No</v>
      </c>
      <c r="BW29" t="str">
        <f ca="1"/>
        <v>Not specified</v>
      </c>
      <c r="BX29" t="str">
        <f ca="1"/>
        <v>Not specified</v>
      </c>
      <c r="BY29" t="str">
        <f ca="1"/>
        <v>Not specified</v>
      </c>
      <c r="BZ29" t="str">
        <f ca="1"/>
        <v>Not specified</v>
      </c>
      <c r="CA29" t="str">
        <f ca="1"/>
        <v>Not specified</v>
      </c>
      <c r="CB29" t="str">
        <f ca="1"/>
        <v>Not specified</v>
      </c>
      <c r="CC29" t="str">
        <f ca="1"/>
        <v>Not specified</v>
      </c>
      <c r="CD29" t="str">
        <f ca="1"/>
        <v>Not specified</v>
      </c>
      <c r="CE29" t="str">
        <f ca="1"/>
        <v>Not specified</v>
      </c>
      <c r="CF29" t="str">
        <f ca="1"/>
        <v>Not specified</v>
      </c>
      <c r="CG29" t="str">
        <f ca="1"/>
        <v>Not specified</v>
      </c>
      <c r="CH29" t="str">
        <f ca="1"/>
        <v>Not specified</v>
      </c>
      <c r="CI29" t="str">
        <f ca="1"/>
        <v>Not specified</v>
      </c>
      <c r="CJ29" t="str">
        <f ca="1"/>
        <v>Not specified</v>
      </c>
      <c r="CK29" t="str">
        <f ca="1"/>
        <v>Not specified</v>
      </c>
      <c r="CL29" t="str">
        <f ca="1"/>
        <v>Not specified</v>
      </c>
      <c r="CM29" t="str">
        <f ca="1"/>
        <v>No</v>
      </c>
      <c r="CN29" t="str">
        <f ca="1"/>
        <v>Not specified</v>
      </c>
      <c r="CO29" t="str">
        <f ca="1"/>
        <v>Not specified</v>
      </c>
      <c r="CP29" t="str">
        <f ca="1"/>
        <v>Not specified</v>
      </c>
      <c r="CQ29" t="str">
        <f ca="1"/>
        <v>Not specified</v>
      </c>
      <c r="CR29" t="str">
        <f ca="1"/>
        <v>Not specified</v>
      </c>
      <c r="CS29" t="str">
        <f ca="1"/>
        <v>Not specified</v>
      </c>
      <c r="CT29" t="str">
        <f ca="1"/>
        <v>Not specified</v>
      </c>
      <c r="CU29" t="str">
        <f ca="1"/>
        <v>Not specified</v>
      </c>
      <c r="CV29" t="str">
        <f ca="1"/>
        <v>Not specified</v>
      </c>
      <c r="CW29" t="str">
        <f ca="1"/>
        <v>Not specified</v>
      </c>
      <c r="CX29" t="str">
        <f ca="1"/>
        <v>Not specified</v>
      </c>
      <c r="CY29" t="str">
        <f ca="1"/>
        <v>Not specified</v>
      </c>
      <c r="CZ29" t="str">
        <f ca="1"/>
        <v>Not specified</v>
      </c>
      <c r="DA29" t="str">
        <f ca="1"/>
        <v>No</v>
      </c>
      <c r="DB29" t="str">
        <f ca="1"/>
        <v>No</v>
      </c>
      <c r="DC29" t="str">
        <f ca="1"/>
        <v>Not specified</v>
      </c>
      <c r="DD29" t="str">
        <f ca="1"/>
        <v>Not specified</v>
      </c>
      <c r="DE29" t="str">
        <f ca="1"/>
        <v>Not specified</v>
      </c>
      <c r="DF29" t="str">
        <f ca="1"/>
        <v>Not specified</v>
      </c>
      <c r="DG29" t="str">
        <f ca="1"/>
        <v>Not specified</v>
      </c>
      <c r="DH29" t="str">
        <f ca="1"/>
        <v>Not specified</v>
      </c>
      <c r="DI29" t="str">
        <f ca="1"/>
        <v>Not specified</v>
      </c>
      <c r="DJ29" t="str">
        <f ca="1"/>
        <v>Not specified</v>
      </c>
      <c r="DK29" t="str">
        <f ca="1"/>
        <v>Not specified</v>
      </c>
      <c r="DL29" t="str">
        <f ca="1"/>
        <v>Not specified</v>
      </c>
      <c r="DM29" t="str">
        <f ca="1"/>
        <v>Not specified</v>
      </c>
      <c r="DN29" t="str">
        <f ca="1"/>
        <v>Not specified</v>
      </c>
      <c r="DO29" t="str">
        <f ca="1"/>
        <v>Not specified</v>
      </c>
      <c r="DP29" t="str">
        <f ca="1"/>
        <v>Not specified</v>
      </c>
      <c r="DQ29" t="str">
        <f ca="1"/>
        <v>Not specified</v>
      </c>
      <c r="DR29" t="str">
        <f ca="1"/>
        <v>Not specified</v>
      </c>
      <c r="DS29" t="str">
        <f ca="1"/>
        <v>Not specified</v>
      </c>
      <c r="DT29" t="str">
        <f ca="1"/>
        <v>Not specified</v>
      </c>
      <c r="DU29" t="str">
        <f ca="1"/>
        <v>Not specified</v>
      </c>
      <c r="DV29" t="str">
        <f ca="1"/>
        <v>Not specified</v>
      </c>
      <c r="DW29" t="str">
        <f ca="1"/>
        <v>Not specified</v>
      </c>
      <c r="DX29" t="str">
        <f ca="1"/>
        <v>No</v>
      </c>
      <c r="DY29" t="str">
        <f ca="1"/>
        <v>Not specified</v>
      </c>
      <c r="DZ29" t="str">
        <f ca="1"/>
        <v>Not specified</v>
      </c>
      <c r="EA29" t="str">
        <f ca="1"/>
        <v>Not specified</v>
      </c>
      <c r="EB29" t="str">
        <f ca="1"/>
        <v>Not specified</v>
      </c>
      <c r="EC29" t="str">
        <f ca="1"/>
        <v>Not specified</v>
      </c>
      <c r="ED29" t="str">
        <f ca="1"/>
        <v>Not specified</v>
      </c>
      <c r="EE29" t="str">
        <f ca="1"/>
        <v>Not specified</v>
      </c>
      <c r="EF29" t="str">
        <f ca="1"/>
        <v>Not specified</v>
      </c>
      <c r="EG29" t="str">
        <f ca="1"/>
        <v>Not specified</v>
      </c>
      <c r="EH29" t="str">
        <f ca="1"/>
        <v>Not specified</v>
      </c>
      <c r="EI29" t="str">
        <f ca="1"/>
        <v>Not specified</v>
      </c>
      <c r="EJ29" t="str">
        <f ca="1"/>
        <v>Not specified</v>
      </c>
      <c r="EK29" t="str">
        <f ca="1"/>
        <v>Not specified</v>
      </c>
      <c r="EL29" t="str">
        <f ca="1"/>
        <v>Not specified</v>
      </c>
      <c r="EM29" t="str">
        <f ca="1"/>
        <v>Not specified</v>
      </c>
      <c r="EN29" t="str">
        <f ca="1"/>
        <v>Not specified</v>
      </c>
      <c r="EO29" t="str">
        <f ca="1"/>
        <v>Not specified</v>
      </c>
      <c r="EP29" t="str">
        <f ca="1"/>
        <v>Not specified</v>
      </c>
      <c r="EQ29" t="str">
        <f ca="1"/>
        <v>Not specified</v>
      </c>
      <c r="ER29" t="str">
        <f ca="1"/>
        <v>Not specified</v>
      </c>
      <c r="ES29" t="str">
        <f ca="1"/>
        <v>Not specified</v>
      </c>
      <c r="ET29" t="str">
        <f ca="1"/>
        <v>Not specified</v>
      </c>
      <c r="EU29" t="str">
        <f ca="1"/>
        <v>Yes</v>
      </c>
      <c r="EV29" t="str">
        <f ca="1"/>
        <v>Not specified</v>
      </c>
      <c r="EW29" t="str">
        <f ca="1"/>
        <v>Not specified</v>
      </c>
      <c r="EX29" t="str">
        <f ca="1"/>
        <v>Not specified</v>
      </c>
      <c r="EY29" t="str">
        <f ca="1"/>
        <v>Not specified</v>
      </c>
      <c r="EZ29" t="str">
        <f ca="1"/>
        <v>Not specified</v>
      </c>
      <c r="FA29" t="str">
        <f ca="1"/>
        <v>Not specified</v>
      </c>
      <c r="FB29" t="str">
        <f ca="1"/>
        <v>Not specified</v>
      </c>
      <c r="FC29" t="str">
        <f ca="1"/>
        <v>Not specified</v>
      </c>
      <c r="FD29" t="str">
        <f ca="1"/>
        <v>Not specified</v>
      </c>
      <c r="FE29" t="str">
        <f ca="1"/>
        <v>Not specified</v>
      </c>
      <c r="FF29" t="str">
        <f ca="1"/>
        <v>No</v>
      </c>
      <c r="FG29" t="str">
        <f ca="1"/>
        <v>Not specified</v>
      </c>
      <c r="FH29" t="str">
        <f ca="1"/>
        <v>Not specified</v>
      </c>
      <c r="FI29" t="str">
        <f ca="1"/>
        <v>Not specified</v>
      </c>
      <c r="FJ29" t="str">
        <f ca="1"/>
        <v>Not specified</v>
      </c>
      <c r="FK29" t="str">
        <f ca="1"/>
        <v>Not specified</v>
      </c>
      <c r="FL29" t="str">
        <f ca="1"/>
        <v>Not specified</v>
      </c>
      <c r="FM29" t="str">
        <f ca="1"/>
        <v>Not specified</v>
      </c>
      <c r="FN29" t="str">
        <f ca="1"/>
        <v>Not specified</v>
      </c>
      <c r="FO29" t="str">
        <f ca="1"/>
        <v>Not specified</v>
      </c>
      <c r="FP29" t="str">
        <f ca="1"/>
        <v>Not specified</v>
      </c>
      <c r="FQ29" t="str">
        <f ca="1"/>
        <v>Not specified</v>
      </c>
      <c r="FR29" t="str">
        <f ca="1"/>
        <v>Not specified</v>
      </c>
      <c r="FS29" t="str">
        <f ca="1"/>
        <v>Not specified</v>
      </c>
      <c r="FT29" t="str">
        <f ca="1"/>
        <v>No</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0</v>
      </c>
      <c r="QO29">
        <v>0</v>
      </c>
      <c r="QP29">
        <v>0</v>
      </c>
      <c r="QQ29">
        <v>0</v>
      </c>
      <c r="QR29">
        <v>0</v>
      </c>
      <c r="QS29">
        <v>0</v>
      </c>
      <c r="QT29">
        <v>0</v>
      </c>
      <c r="QU29">
        <v>0</v>
      </c>
      <c r="QV29">
        <v>0</v>
      </c>
      <c r="QW29">
        <v>0</v>
      </c>
      <c r="QX29">
        <v>0</v>
      </c>
      <c r="QY29">
        <v>0</v>
      </c>
      <c r="QZ29">
        <v>0</v>
      </c>
      <c r="RA29">
        <v>0</v>
      </c>
      <c r="RB29">
        <v>0</v>
      </c>
      <c r="RC29">
        <v>0</v>
      </c>
      <c r="RD29">
        <v>0</v>
      </c>
      <c r="RE29">
        <v>0</v>
      </c>
      <c r="RF29">
        <v>0</v>
      </c>
      <c r="RG29">
        <v>0</v>
      </c>
      <c r="RH29">
        <v>0</v>
      </c>
      <c r="RI29">
        <v>0</v>
      </c>
      <c r="RJ29">
        <v>0</v>
      </c>
      <c r="RK29">
        <v>0</v>
      </c>
      <c r="RL29">
        <v>0</v>
      </c>
      <c r="RM29">
        <v>0</v>
      </c>
      <c r="RN29">
        <v>0</v>
      </c>
      <c r="RO29">
        <v>0</v>
      </c>
      <c r="RP29">
        <v>0</v>
      </c>
      <c r="RQ29">
        <v>0</v>
      </c>
      <c r="RR29">
        <v>0</v>
      </c>
      <c r="RS29">
        <v>0</v>
      </c>
      <c r="RT29">
        <v>0</v>
      </c>
      <c r="RU29">
        <v>0</v>
      </c>
      <c r="RV29">
        <v>0</v>
      </c>
      <c r="RW29">
        <v>0</v>
      </c>
      <c r="RX29">
        <v>0</v>
      </c>
      <c r="RY29">
        <v>0</v>
      </c>
      <c r="RZ29">
        <v>0</v>
      </c>
      <c r="SA29">
        <v>0</v>
      </c>
      <c r="SB29">
        <v>0</v>
      </c>
      <c r="SC29">
        <v>0</v>
      </c>
      <c r="SD29">
        <v>0</v>
      </c>
      <c r="SE29">
        <v>0</v>
      </c>
      <c r="SF29">
        <v>0</v>
      </c>
      <c r="SG29">
        <v>0</v>
      </c>
      <c r="SH29">
        <v>0</v>
      </c>
      <c r="SI29">
        <v>0</v>
      </c>
      <c r="SJ29">
        <v>0</v>
      </c>
      <c r="SK29">
        <v>0</v>
      </c>
      <c r="SL29">
        <v>0</v>
      </c>
      <c r="SM29">
        <v>0</v>
      </c>
      <c r="SN29">
        <v>0</v>
      </c>
      <c r="SO29">
        <v>0</v>
      </c>
      <c r="SP29">
        <v>0</v>
      </c>
      <c r="SQ29">
        <v>0</v>
      </c>
      <c r="SR29">
        <v>0</v>
      </c>
      <c r="SS29">
        <v>0</v>
      </c>
      <c r="ST29">
        <v>0</v>
      </c>
      <c r="SU29">
        <v>0</v>
      </c>
      <c r="SV29">
        <v>0</v>
      </c>
      <c r="SW29">
        <v>0</v>
      </c>
      <c r="SX29">
        <v>0</v>
      </c>
      <c r="SY29">
        <v>0</v>
      </c>
      <c r="SZ29">
        <v>0</v>
      </c>
      <c r="TA29">
        <v>0</v>
      </c>
      <c r="TB29">
        <v>0</v>
      </c>
      <c r="TC29">
        <v>0</v>
      </c>
      <c r="TD29">
        <v>0</v>
      </c>
      <c r="TE29">
        <v>0</v>
      </c>
      <c r="TF29">
        <v>0</v>
      </c>
      <c r="TG29">
        <v>0</v>
      </c>
      <c r="TH29">
        <v>0</v>
      </c>
      <c r="TI29">
        <v>0</v>
      </c>
      <c r="TJ29">
        <v>0</v>
      </c>
      <c r="TK29">
        <v>0</v>
      </c>
      <c r="TL29">
        <v>0</v>
      </c>
      <c r="TM29">
        <v>0</v>
      </c>
      <c r="TN29">
        <v>0</v>
      </c>
      <c r="TO29">
        <v>0</v>
      </c>
      <c r="TP29">
        <v>0</v>
      </c>
      <c r="TQ29">
        <v>0</v>
      </c>
      <c r="TR29">
        <v>0</v>
      </c>
      <c r="TS29">
        <v>0</v>
      </c>
      <c r="TT29">
        <v>0</v>
      </c>
      <c r="TU29">
        <v>0</v>
      </c>
      <c r="TV29">
        <v>0</v>
      </c>
      <c r="TW29">
        <v>0</v>
      </c>
      <c r="TX29">
        <v>0</v>
      </c>
      <c r="TY29">
        <v>0</v>
      </c>
      <c r="TZ29">
        <v>0</v>
      </c>
      <c r="UA29">
        <v>0</v>
      </c>
      <c r="UB29">
        <v>0</v>
      </c>
      <c r="UC29">
        <v>0</v>
      </c>
      <c r="UD29">
        <v>0</v>
      </c>
      <c r="UE29">
        <v>0</v>
      </c>
      <c r="UF29">
        <v>0</v>
      </c>
      <c r="UG29">
        <v>0</v>
      </c>
      <c r="UH29">
        <v>0</v>
      </c>
      <c r="UI29">
        <v>0</v>
      </c>
      <c r="UJ29">
        <v>0</v>
      </c>
      <c r="UK29">
        <v>0</v>
      </c>
      <c r="UL29">
        <v>0</v>
      </c>
      <c r="UM29">
        <v>0</v>
      </c>
      <c r="UN29">
        <v>0</v>
      </c>
      <c r="UO29">
        <v>0</v>
      </c>
      <c r="UP29">
        <v>0</v>
      </c>
      <c r="UQ29">
        <v>0</v>
      </c>
      <c r="UR29">
        <v>0</v>
      </c>
      <c r="US29">
        <v>0</v>
      </c>
      <c r="UT29">
        <v>0</v>
      </c>
      <c r="UU29">
        <v>0</v>
      </c>
      <c r="UV29">
        <v>0</v>
      </c>
      <c r="UW29">
        <v>0</v>
      </c>
      <c r="UX29">
        <v>0</v>
      </c>
      <c r="UY29">
        <v>0</v>
      </c>
      <c r="UZ29">
        <v>0</v>
      </c>
      <c r="VA29">
        <v>0</v>
      </c>
      <c r="VB29">
        <v>0</v>
      </c>
      <c r="VC29">
        <v>0</v>
      </c>
      <c r="VD29">
        <v>0</v>
      </c>
      <c r="VE29">
        <v>0</v>
      </c>
      <c r="VF29">
        <v>0</v>
      </c>
      <c r="VG29">
        <v>0</v>
      </c>
      <c r="VH29">
        <v>0</v>
      </c>
      <c r="VI29">
        <v>0</v>
      </c>
      <c r="VJ29">
        <v>0</v>
      </c>
      <c r="VK29">
        <v>0</v>
      </c>
      <c r="VL29">
        <v>0</v>
      </c>
      <c r="VM29">
        <v>0</v>
      </c>
      <c r="VN29">
        <v>0</v>
      </c>
      <c r="VO29">
        <v>0</v>
      </c>
      <c r="VP29">
        <v>0</v>
      </c>
      <c r="VQ29">
        <v>0</v>
      </c>
      <c r="VR29">
        <v>0</v>
      </c>
      <c r="VS29">
        <v>0</v>
      </c>
      <c r="VT29">
        <v>0</v>
      </c>
      <c r="VU29">
        <v>0</v>
      </c>
      <c r="VV29">
        <v>0</v>
      </c>
      <c r="VW29">
        <v>0</v>
      </c>
      <c r="VX29">
        <v>0</v>
      </c>
      <c r="VY29">
        <v>0</v>
      </c>
      <c r="VZ29">
        <v>0</v>
      </c>
      <c r="WA29">
        <v>0</v>
      </c>
      <c r="WB29">
        <v>0</v>
      </c>
      <c r="WC29">
        <v>0</v>
      </c>
      <c r="WD29">
        <v>0</v>
      </c>
      <c r="WE29">
        <v>0</v>
      </c>
      <c r="WF29">
        <v>0</v>
      </c>
      <c r="WG29">
        <v>0</v>
      </c>
      <c r="WH29">
        <v>0</v>
      </c>
      <c r="WI29">
        <v>0</v>
      </c>
      <c r="WJ29">
        <v>0</v>
      </c>
      <c r="WK29">
        <v>0</v>
      </c>
      <c r="WL29">
        <v>0</v>
      </c>
      <c r="WM29">
        <v>0</v>
      </c>
      <c r="WN29">
        <v>0</v>
      </c>
      <c r="WO29">
        <v>0</v>
      </c>
      <c r="WP29">
        <v>0</v>
      </c>
      <c r="WQ29">
        <v>0</v>
      </c>
      <c r="WR29">
        <v>0</v>
      </c>
      <c r="WS29">
        <v>0</v>
      </c>
      <c r="WT29">
        <v>0</v>
      </c>
      <c r="WU29">
        <v>0</v>
      </c>
      <c r="WV29">
        <v>0</v>
      </c>
      <c r="WW29">
        <v>0</v>
      </c>
      <c r="WX29">
        <v>0</v>
      </c>
      <c r="WY29">
        <v>0</v>
      </c>
      <c r="WZ29">
        <v>0</v>
      </c>
      <c r="XA29">
        <v>0</v>
      </c>
      <c r="XB29">
        <v>0</v>
      </c>
      <c r="XC29">
        <v>0</v>
      </c>
      <c r="XD29">
        <v>0</v>
      </c>
      <c r="XE29">
        <v>0</v>
      </c>
      <c r="XF29">
        <v>0</v>
      </c>
      <c r="XG29">
        <v>0</v>
      </c>
      <c r="XH29">
        <v>0</v>
      </c>
      <c r="XI29">
        <v>0</v>
      </c>
      <c r="XJ29">
        <v>0</v>
      </c>
      <c r="XK29">
        <v>0</v>
      </c>
      <c r="XL29">
        <v>0</v>
      </c>
      <c r="XM29">
        <v>0</v>
      </c>
      <c r="XN29">
        <v>0</v>
      </c>
      <c r="XO29">
        <v>0</v>
      </c>
      <c r="XP29">
        <v>0</v>
      </c>
      <c r="XQ29">
        <v>0</v>
      </c>
      <c r="XR29">
        <v>0</v>
      </c>
      <c r="XS29">
        <v>0</v>
      </c>
      <c r="XT29">
        <v>0</v>
      </c>
      <c r="XU29">
        <v>0</v>
      </c>
      <c r="XV29">
        <v>0</v>
      </c>
      <c r="XW29">
        <v>0</v>
      </c>
      <c r="XX29">
        <v>0</v>
      </c>
      <c r="XY29">
        <v>0</v>
      </c>
      <c r="XZ29">
        <v>0</v>
      </c>
      <c r="YA29">
        <v>0</v>
      </c>
      <c r="YB29">
        <v>0</v>
      </c>
      <c r="YC29">
        <v>0</v>
      </c>
      <c r="YD29">
        <v>0</v>
      </c>
      <c r="YE29">
        <v>0</v>
      </c>
      <c r="YF29">
        <v>0</v>
      </c>
      <c r="YG29">
        <v>0</v>
      </c>
      <c r="YH29">
        <v>0</v>
      </c>
      <c r="YI29">
        <v>0</v>
      </c>
      <c r="YJ29">
        <v>0</v>
      </c>
      <c r="YK29">
        <v>0</v>
      </c>
      <c r="YL29">
        <v>0</v>
      </c>
      <c r="YM29">
        <v>0</v>
      </c>
      <c r="YN29">
        <v>0</v>
      </c>
      <c r="YO29">
        <v>0</v>
      </c>
      <c r="YP29">
        <v>0</v>
      </c>
      <c r="YQ29">
        <v>0</v>
      </c>
      <c r="YR29">
        <v>0</v>
      </c>
      <c r="YS29">
        <v>0</v>
      </c>
      <c r="YT29">
        <v>0</v>
      </c>
      <c r="YU29">
        <v>0</v>
      </c>
      <c r="YV29">
        <v>0</v>
      </c>
      <c r="YW29">
        <v>0</v>
      </c>
      <c r="YX29">
        <v>0</v>
      </c>
      <c r="YY29">
        <v>0</v>
      </c>
      <c r="YZ29">
        <v>0</v>
      </c>
      <c r="ZA29">
        <v>0</v>
      </c>
      <c r="ZB29">
        <v>0</v>
      </c>
      <c r="ZC29">
        <v>0</v>
      </c>
      <c r="ZD29">
        <v>0</v>
      </c>
      <c r="ZE29">
        <v>0</v>
      </c>
      <c r="ZF29">
        <v>0</v>
      </c>
      <c r="ZG29">
        <v>0</v>
      </c>
      <c r="ZH29">
        <v>0</v>
      </c>
      <c r="ZI29">
        <v>0</v>
      </c>
      <c r="ZJ29">
        <v>0</v>
      </c>
      <c r="ZK29">
        <v>0</v>
      </c>
      <c r="ZL29">
        <v>0</v>
      </c>
      <c r="ZM29">
        <v>0</v>
      </c>
      <c r="ZN29">
        <v>0</v>
      </c>
      <c r="ZO29">
        <v>0</v>
      </c>
      <c r="ZP29">
        <v>0</v>
      </c>
      <c r="ZQ29">
        <v>0</v>
      </c>
      <c r="ZR29">
        <v>0</v>
      </c>
      <c r="ZS29">
        <v>0</v>
      </c>
      <c r="ZT29">
        <v>0</v>
      </c>
      <c r="ZU29">
        <v>0</v>
      </c>
      <c r="ZV29">
        <v>0</v>
      </c>
      <c r="ZW29">
        <v>0</v>
      </c>
      <c r="ZX29">
        <v>0</v>
      </c>
      <c r="ZY29">
        <v>0</v>
      </c>
      <c r="ZZ29">
        <v>0</v>
      </c>
      <c r="AAA29">
        <v>0</v>
      </c>
      <c r="AAB29">
        <v>0</v>
      </c>
      <c r="AAC29">
        <v>0</v>
      </c>
      <c r="AAD29">
        <v>0</v>
      </c>
      <c r="AAE29">
        <v>0</v>
      </c>
      <c r="AAF29">
        <v>0</v>
      </c>
      <c r="AAG29">
        <v>0</v>
      </c>
      <c r="AAH29">
        <v>0</v>
      </c>
      <c r="AAI29">
        <v>0</v>
      </c>
      <c r="AAJ29">
        <v>0</v>
      </c>
      <c r="AAK29">
        <v>0</v>
      </c>
      <c r="AAL29">
        <v>0</v>
      </c>
      <c r="AAM29">
        <v>0</v>
      </c>
      <c r="AAN29">
        <v>0</v>
      </c>
      <c r="AAO29">
        <v>0</v>
      </c>
      <c r="AAP29">
        <v>0</v>
      </c>
      <c r="AAQ29">
        <v>0</v>
      </c>
      <c r="AAR29">
        <v>0</v>
      </c>
      <c r="AAS29">
        <v>0</v>
      </c>
      <c r="AAT29">
        <v>0</v>
      </c>
      <c r="AAU29">
        <v>0</v>
      </c>
      <c r="AAV29">
        <v>0</v>
      </c>
      <c r="AAW29">
        <v>0</v>
      </c>
      <c r="AAX29">
        <v>0</v>
      </c>
      <c r="AAY29">
        <v>0</v>
      </c>
      <c r="AAZ29">
        <v>0</v>
      </c>
      <c r="ABA29">
        <v>0</v>
      </c>
      <c r="ABB29">
        <v>0</v>
      </c>
      <c r="ABC29">
        <v>0</v>
      </c>
      <c r="ABD29">
        <v>0</v>
      </c>
      <c r="ABE29">
        <v>0</v>
      </c>
      <c r="ABF29">
        <v>0</v>
      </c>
      <c r="ABG29">
        <v>0</v>
      </c>
      <c r="ABH29">
        <v>0</v>
      </c>
      <c r="ABI29">
        <v>0</v>
      </c>
      <c r="ABJ29">
        <v>0</v>
      </c>
      <c r="ABK29">
        <v>0</v>
      </c>
      <c r="ABL29">
        <v>0</v>
      </c>
      <c r="ABM29">
        <v>0</v>
      </c>
      <c r="ABN29">
        <v>0</v>
      </c>
      <c r="ABO29">
        <v>0</v>
      </c>
      <c r="ABP29">
        <v>0</v>
      </c>
      <c r="ABQ29">
        <v>0</v>
      </c>
      <c r="ABR29">
        <v>0</v>
      </c>
      <c r="ABS29">
        <v>0</v>
      </c>
      <c r="ABT29">
        <v>0</v>
      </c>
      <c r="ABU29">
        <v>0</v>
      </c>
      <c r="ABV29">
        <v>0</v>
      </c>
      <c r="ABW29">
        <v>0</v>
      </c>
      <c r="ABX29">
        <v>0</v>
      </c>
      <c r="ABY29">
        <v>0</v>
      </c>
      <c r="ABZ29">
        <v>0</v>
      </c>
      <c r="ACA29">
        <v>0</v>
      </c>
      <c r="ACB29">
        <v>0</v>
      </c>
      <c r="ACC29">
        <v>0</v>
      </c>
      <c r="ACD29">
        <v>0</v>
      </c>
      <c r="ACE29">
        <v>0</v>
      </c>
      <c r="ACF29">
        <v>0</v>
      </c>
      <c r="ACG29">
        <v>0</v>
      </c>
      <c r="ACH29">
        <v>0</v>
      </c>
      <c r="ACI29">
        <v>0</v>
      </c>
      <c r="ACJ29">
        <v>0</v>
      </c>
      <c r="ACK29">
        <v>0</v>
      </c>
      <c r="ACL29">
        <v>0</v>
      </c>
      <c r="ACM29">
        <v>0</v>
      </c>
      <c r="ACN29">
        <v>0</v>
      </c>
      <c r="ACO29">
        <v>0</v>
      </c>
      <c r="ACP29">
        <v>0</v>
      </c>
      <c r="ACQ29">
        <v>0</v>
      </c>
      <c r="ACR29">
        <v>0</v>
      </c>
      <c r="ACS29">
        <v>0</v>
      </c>
      <c r="ACT29">
        <v>0</v>
      </c>
      <c r="ACU29">
        <v>0</v>
      </c>
      <c r="ACV29">
        <v>0</v>
      </c>
      <c r="ACW29">
        <v>0</v>
      </c>
      <c r="ACX29">
        <v>0</v>
      </c>
      <c r="ACY29">
        <v>0</v>
      </c>
      <c r="ACZ29">
        <v>0</v>
      </c>
      <c r="ADA29">
        <v>0</v>
      </c>
      <c r="ADB29">
        <v>0</v>
      </c>
      <c r="ADC29">
        <v>0</v>
      </c>
      <c r="ADD29">
        <v>0</v>
      </c>
      <c r="ADE29">
        <v>0</v>
      </c>
      <c r="ADF29">
        <v>0</v>
      </c>
      <c r="ADG29">
        <v>0</v>
      </c>
      <c r="ADH29">
        <v>0</v>
      </c>
      <c r="ADI29">
        <v>0</v>
      </c>
      <c r="ADJ29">
        <v>0</v>
      </c>
      <c r="ADK29">
        <v>0</v>
      </c>
      <c r="ADL29">
        <v>0</v>
      </c>
      <c r="ADM29">
        <v>0</v>
      </c>
      <c r="ADN29">
        <v>0</v>
      </c>
      <c r="ADO29">
        <v>0</v>
      </c>
      <c r="ADP29">
        <v>0</v>
      </c>
      <c r="ADQ29">
        <v>0</v>
      </c>
      <c r="ADR29">
        <v>0</v>
      </c>
      <c r="ADS29">
        <v>0</v>
      </c>
      <c r="ADT29">
        <v>0</v>
      </c>
      <c r="ADU29">
        <v>0</v>
      </c>
      <c r="ADV29">
        <v>0</v>
      </c>
      <c r="ADW29">
        <v>0</v>
      </c>
      <c r="ADX29">
        <v>0</v>
      </c>
      <c r="ADY29">
        <v>0</v>
      </c>
      <c r="ADZ29">
        <v>0</v>
      </c>
      <c r="AEA29">
        <v>0</v>
      </c>
      <c r="AEB29">
        <v>0</v>
      </c>
      <c r="AEC29">
        <v>0</v>
      </c>
      <c r="AED29">
        <v>0</v>
      </c>
      <c r="AEE29">
        <v>0</v>
      </c>
      <c r="AEF29">
        <v>0</v>
      </c>
      <c r="AEG29">
        <v>0</v>
      </c>
      <c r="AEH29">
        <v>0</v>
      </c>
      <c r="AEI29">
        <v>0</v>
      </c>
      <c r="AEJ29">
        <v>0</v>
      </c>
      <c r="AEK29">
        <v>0</v>
      </c>
      <c r="AEL29">
        <v>0</v>
      </c>
      <c r="AEM29">
        <v>0</v>
      </c>
      <c r="AEN29">
        <v>0</v>
      </c>
      <c r="AEO29">
        <v>0</v>
      </c>
      <c r="AEP29">
        <v>0</v>
      </c>
      <c r="AEQ29">
        <v>0</v>
      </c>
      <c r="AER29">
        <v>0</v>
      </c>
      <c r="AES29">
        <v>0</v>
      </c>
      <c r="AET29">
        <v>0</v>
      </c>
      <c r="AEU29">
        <v>0</v>
      </c>
      <c r="AEV29">
        <v>0</v>
      </c>
      <c r="AEW29">
        <v>0</v>
      </c>
      <c r="AEX29">
        <v>0</v>
      </c>
      <c r="AEY29">
        <v>0</v>
      </c>
      <c r="AEZ29">
        <v>0</v>
      </c>
      <c r="AFA29">
        <v>0</v>
      </c>
      <c r="AFB29">
        <v>0</v>
      </c>
      <c r="AFC29">
        <v>0</v>
      </c>
      <c r="AFD29">
        <v>0</v>
      </c>
      <c r="AFE29">
        <v>0</v>
      </c>
      <c r="AFF29">
        <v>0</v>
      </c>
      <c r="AFG29">
        <v>0</v>
      </c>
      <c r="AFH29">
        <v>0</v>
      </c>
      <c r="AFI29">
        <v>0</v>
      </c>
      <c r="AFJ29">
        <v>0</v>
      </c>
      <c r="AFK29">
        <v>0</v>
      </c>
      <c r="AFL29">
        <v>0</v>
      </c>
      <c r="AFM29">
        <v>0</v>
      </c>
      <c r="AFN29">
        <v>0</v>
      </c>
      <c r="AFO29">
        <v>0</v>
      </c>
      <c r="AFP29">
        <v>0</v>
      </c>
      <c r="AFQ29">
        <v>0</v>
      </c>
      <c r="AFR29">
        <v>0</v>
      </c>
      <c r="AFS29">
        <v>0</v>
      </c>
      <c r="AFT29">
        <v>0</v>
      </c>
      <c r="AFU29">
        <v>0</v>
      </c>
      <c r="AFV29">
        <v>0</v>
      </c>
      <c r="AFW29">
        <v>0</v>
      </c>
      <c r="AFX29">
        <v>0</v>
      </c>
      <c r="AFY29">
        <v>0</v>
      </c>
      <c r="AFZ29">
        <v>0</v>
      </c>
      <c r="AGA29">
        <v>0</v>
      </c>
      <c r="AGB29">
        <v>0</v>
      </c>
      <c r="AGC29">
        <v>0</v>
      </c>
      <c r="AGD29">
        <v>0</v>
      </c>
      <c r="AGE29">
        <v>0</v>
      </c>
      <c r="AGF29">
        <v>0</v>
      </c>
      <c r="AGG29">
        <v>0</v>
      </c>
      <c r="AGH29">
        <v>0</v>
      </c>
      <c r="AGI29">
        <v>0</v>
      </c>
      <c r="AGJ29">
        <v>0</v>
      </c>
      <c r="AGK29">
        <v>0</v>
      </c>
      <c r="AGL29">
        <v>0</v>
      </c>
      <c r="AGM29">
        <v>0</v>
      </c>
      <c r="AGN29">
        <v>0</v>
      </c>
      <c r="AGO29">
        <v>0</v>
      </c>
      <c r="AGP29">
        <v>0</v>
      </c>
      <c r="AGQ29">
        <v>0</v>
      </c>
      <c r="AGR29">
        <v>0</v>
      </c>
      <c r="AGS29">
        <v>0</v>
      </c>
      <c r="AGT29">
        <v>0</v>
      </c>
      <c r="AGU29">
        <v>0</v>
      </c>
      <c r="AGV29">
        <v>0</v>
      </c>
      <c r="AGW29">
        <v>0</v>
      </c>
      <c r="AGX29">
        <v>0</v>
      </c>
      <c r="AGY29">
        <v>0</v>
      </c>
      <c r="AGZ29">
        <v>0</v>
      </c>
      <c r="AHA29">
        <v>0</v>
      </c>
      <c r="AHB29">
        <v>0</v>
      </c>
      <c r="AHC29">
        <v>0</v>
      </c>
      <c r="AHD29">
        <v>0</v>
      </c>
      <c r="AHE29">
        <v>0</v>
      </c>
      <c r="AHF29">
        <v>0</v>
      </c>
      <c r="AHG29">
        <v>0</v>
      </c>
      <c r="AHH29">
        <v>0</v>
      </c>
      <c r="AHI29">
        <v>0</v>
      </c>
      <c r="AHJ29">
        <v>0</v>
      </c>
      <c r="AHK29">
        <v>0</v>
      </c>
      <c r="AHL29">
        <v>0</v>
      </c>
      <c r="AHM29">
        <v>0</v>
      </c>
      <c r="AHN29">
        <v>0</v>
      </c>
      <c r="AHO29">
        <v>0</v>
      </c>
      <c r="AHP29">
        <v>0</v>
      </c>
      <c r="AHQ29">
        <v>0</v>
      </c>
      <c r="AHR29">
        <v>0</v>
      </c>
      <c r="AHS29">
        <v>0</v>
      </c>
      <c r="AHT29">
        <v>0</v>
      </c>
      <c r="AHU29">
        <v>0</v>
      </c>
      <c r="AHV29">
        <v>0</v>
      </c>
      <c r="AHW29">
        <v>0</v>
      </c>
      <c r="AHX29">
        <v>0</v>
      </c>
      <c r="AHY29">
        <v>0</v>
      </c>
      <c r="AHZ29">
        <v>0</v>
      </c>
      <c r="AIA29">
        <v>0</v>
      </c>
      <c r="AIB29">
        <v>0</v>
      </c>
      <c r="AIC29">
        <v>0</v>
      </c>
      <c r="AID29">
        <v>0</v>
      </c>
      <c r="AIE29">
        <v>0</v>
      </c>
      <c r="AIF29">
        <v>0</v>
      </c>
      <c r="AIG29">
        <v>0</v>
      </c>
      <c r="AIH29">
        <v>0</v>
      </c>
      <c r="AII29">
        <v>0</v>
      </c>
      <c r="AIJ29">
        <v>0</v>
      </c>
      <c r="AIK29">
        <v>0</v>
      </c>
      <c r="AIL29">
        <v>0</v>
      </c>
      <c r="AIM29">
        <v>0</v>
      </c>
      <c r="AIN29">
        <v>0</v>
      </c>
      <c r="AIO29">
        <v>0</v>
      </c>
      <c r="AIP29">
        <v>0</v>
      </c>
      <c r="AIQ29">
        <v>0</v>
      </c>
      <c r="AIR29">
        <v>0</v>
      </c>
      <c r="AIS29">
        <v>0</v>
      </c>
      <c r="AIT29">
        <v>0</v>
      </c>
      <c r="AIU29">
        <v>0</v>
      </c>
      <c r="AIV29">
        <v>0</v>
      </c>
      <c r="AIW29">
        <v>0</v>
      </c>
      <c r="AIX29">
        <v>0</v>
      </c>
      <c r="AIY29">
        <v>0</v>
      </c>
      <c r="AIZ29">
        <v>0</v>
      </c>
      <c r="AJA29">
        <v>0</v>
      </c>
      <c r="AJB29">
        <v>0</v>
      </c>
      <c r="AJC29">
        <v>0</v>
      </c>
      <c r="AJD29">
        <v>0</v>
      </c>
      <c r="AJE29">
        <v>0</v>
      </c>
      <c r="AJF29">
        <v>0</v>
      </c>
      <c r="AJG29">
        <v>0</v>
      </c>
      <c r="AJH29">
        <v>0</v>
      </c>
      <c r="AJI29">
        <v>0</v>
      </c>
      <c r="AJJ29">
        <v>0</v>
      </c>
      <c r="AJK29">
        <v>0</v>
      </c>
      <c r="AJL29">
        <v>0</v>
      </c>
      <c r="AJM29">
        <v>0</v>
      </c>
      <c r="AJN29">
        <v>0</v>
      </c>
      <c r="AJO29">
        <v>0</v>
      </c>
      <c r="AJP29">
        <v>0</v>
      </c>
      <c r="AJQ29">
        <v>0</v>
      </c>
      <c r="AJR29">
        <v>0</v>
      </c>
      <c r="AJS29">
        <v>0</v>
      </c>
      <c r="AJT29">
        <v>0</v>
      </c>
      <c r="AJU29">
        <v>0</v>
      </c>
      <c r="AJV29">
        <v>0</v>
      </c>
      <c r="AJW29">
        <v>0</v>
      </c>
      <c r="AJX29">
        <v>0</v>
      </c>
      <c r="AJY29">
        <v>0</v>
      </c>
      <c r="AJZ29">
        <v>0</v>
      </c>
      <c r="AKA29">
        <v>0</v>
      </c>
      <c r="AKB29">
        <v>0</v>
      </c>
      <c r="AKC29">
        <v>0</v>
      </c>
      <c r="AKD29">
        <v>0</v>
      </c>
      <c r="AKE29">
        <v>0</v>
      </c>
      <c r="AKF29">
        <v>0</v>
      </c>
      <c r="AKG29">
        <v>0</v>
      </c>
      <c r="AKH29">
        <v>0</v>
      </c>
      <c r="AKI29">
        <v>0</v>
      </c>
      <c r="AKJ29">
        <v>0</v>
      </c>
      <c r="AKK29">
        <v>0</v>
      </c>
      <c r="AKL29">
        <v>0</v>
      </c>
      <c r="AKM29">
        <v>0</v>
      </c>
      <c r="AKN29">
        <v>0</v>
      </c>
      <c r="AKO29">
        <v>0</v>
      </c>
      <c r="AKP29">
        <v>0</v>
      </c>
      <c r="AKQ29">
        <v>0</v>
      </c>
      <c r="AKR29">
        <v>0</v>
      </c>
      <c r="AKS29">
        <v>0</v>
      </c>
      <c r="AKT29">
        <v>0</v>
      </c>
      <c r="AKU29">
        <v>0</v>
      </c>
      <c r="AKV29">
        <v>0</v>
      </c>
      <c r="AKW29">
        <v>0</v>
      </c>
      <c r="AKX29">
        <v>0</v>
      </c>
      <c r="AKY29">
        <v>0</v>
      </c>
      <c r="AKZ29">
        <v>0</v>
      </c>
      <c r="ALA29">
        <v>0</v>
      </c>
      <c r="ALB29">
        <v>0</v>
      </c>
      <c r="ALC29">
        <v>0</v>
      </c>
      <c r="ALD29">
        <v>0</v>
      </c>
      <c r="ALE29">
        <v>0</v>
      </c>
      <c r="ALF29">
        <v>0</v>
      </c>
      <c r="ALG29">
        <v>0</v>
      </c>
      <c r="ALH29">
        <v>0</v>
      </c>
      <c r="ALI29">
        <v>0</v>
      </c>
      <c r="ALJ29">
        <v>0</v>
      </c>
      <c r="ALK29">
        <v>0</v>
      </c>
      <c r="ALL29">
        <v>0</v>
      </c>
      <c r="ALM29">
        <v>0</v>
      </c>
      <c r="ALN29">
        <v>0</v>
      </c>
      <c r="ALO29">
        <v>0</v>
      </c>
      <c r="ALP29">
        <v>0</v>
      </c>
      <c r="ALQ29">
        <v>0</v>
      </c>
    </row>
    <row r="30" spans="1:1005" ht="98">
      <c r="A30" s="325" t="s">
        <v>912</v>
      </c>
      <c r="B30" s="338" t="s">
        <v>41</v>
      </c>
      <c r="C30" s="340" t="s">
        <v>930</v>
      </c>
      <c r="D30" s="346" t="s">
        <v>97</v>
      </c>
      <c r="E30" s="347" t="s">
        <v>799</v>
      </c>
      <c r="F30" t="str">
        <f t="array" ref="F30:ALQ30" ca="1">TRANSPOSE(Filtered!AA2:AA1005)</f>
        <v/>
      </c>
      <c r="G30" t="str">
        <f ca="1"/>
        <v>Single blind inferred from reviewer COI, but anonymity of peer review. // "Reviewer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H30" t="str">
        <f ca="1"/>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I30" t="str">
        <f ca="1"/>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J30" t="str">
        <f ca="1"/>
        <v/>
      </c>
      <c r="K30" t="str">
        <f ca="1"/>
        <v>"Reviewer and Review Confidentiality: If the reviewer wishes to disclose his/her identity to
the manuscript authors, the editor should be consulted, and the decision to disclose such
information to authors is the sole discretion of the editor" - https://pubs.acs.org/userimages/ContentEditor/1218054468605/ethics.pdf</v>
      </c>
      <c r="L30" t="str">
        <f ca="1"/>
        <v/>
      </c>
      <c r="M30" t="str">
        <f ca="1"/>
        <v/>
      </c>
      <c r="N30" t="str">
        <f ca="1"/>
        <v/>
      </c>
      <c r="O30" t="str">
        <f ca="1"/>
        <v/>
      </c>
      <c r="P30" t="str">
        <f ca="1"/>
        <v/>
      </c>
      <c r="Q30" t="str">
        <f ca="1"/>
        <v/>
      </c>
      <c r="R30" t="str">
        <f ca="1"/>
        <v/>
      </c>
      <c r="S30" t="str">
        <f ca="1"/>
        <v/>
      </c>
      <c r="T30" t="str">
        <f ca="1"/>
        <v/>
      </c>
      <c r="U30" t="str">
        <f ca="1"/>
        <v/>
      </c>
      <c r="V30" t="str">
        <f ca="1"/>
        <v/>
      </c>
      <c r="W30" t="str">
        <f ca="1"/>
        <v/>
      </c>
      <c r="X30" t="str">
        <f ca="1"/>
        <v/>
      </c>
      <c r="Y30" t="str">
        <f ca="1"/>
        <v/>
      </c>
      <c r="Z30" t="str">
        <f ca="1"/>
        <v/>
      </c>
      <c r="AA30" t="str">
        <f ca="1"/>
        <v/>
      </c>
      <c r="AB30" t="str">
        <f ca="1"/>
        <v/>
      </c>
      <c r="AC30" t="str">
        <f ca="1"/>
        <v/>
      </c>
      <c r="AD30" t="str">
        <f ca="1"/>
        <v/>
      </c>
      <c r="AE30" s="93" t="str">
        <f ca="1"/>
        <v>Further peer review policies found at https://authors.bmj.com/policies/peer-review-terms-and-conditions/; “Reviewers for The BMJ agree to have their signed comments posted if a paper is published, but not otherwise.”, and stated on every publication pre-publication history page: “For research papers The BMJ has fully open peer review. This means that accepted research papers submitted from September 2014 onwards usually have their prepublication history posted alongside them on thebmj.com. This prepublication history comprises all previous versions of the manuscript, the study protocol (submitting the protocol is mandatory for all clinical trials and encouraged for all other studies at The BMJ), the report from the manuscript committee meeting, the reviewers’ comments, and the authors’ responses to all the comments from reviewers and editors. In rare instances we determine after careful consideration that we should not make certain portions of the prepublication record publicly available. For example, in cases of stigmatised illnesses we seek to protect the confidentiality of reviewers who have these illnesses. In other instances there may be legal or regulatory considerations that make it inadvisable or impermissible to make available certain parts of the prepublication record. In all instances in which we have determined that elements of the prepublication record should not be made publicly available, we expect that authors will respect these decisions and also will not share this information.”; Credit and transfer: Publons records policy as not able to post reviews but can share review activity (https://publons.com/journal/278/bmj); “With the exception of BMJ Open (see below) and BMJ Open Science, journals from BMJ do not publish peer reviews.” // Reviews may be posted online elsewhere once the manuscript has been published; if not published, reviewers may say they have reviewed for the BMJ: “We do not restrict the use you make of your review once the manuscript has been published. However, an author’s manuscript remains confidential until it is published, and you must not disclose any information about an unpublished manuscript, including your review of it. Please note that if the article is NOT published you may refer to the journal which requested your review and the fact that you have reviewed an article for it. However, you may not post any details of the article which was reviewed, or any part of the review that would breach the confidentiality under which the article was provided to you for review.”</v>
      </c>
      <c r="AF30" s="93" t="str">
        <f ca="1"/>
        <v>Peer review activity but not full reviews may be posted to Publons according to entry at Publons — https://publons.com/journal/573/cancer-cell</v>
      </c>
      <c r="AG30" t="str">
        <f ca="1"/>
        <v/>
      </c>
      <c r="AH30" t="str">
        <f ca="1"/>
        <v>Peer review activity but not full reviews may be posted to Publons according to entry at Publons — https://publons.com/journal/270/cell
"Cell Press will not disclose any reviewer’s identity except at the specific reviewer’s request." - https://www.cell.com/reviewers</v>
      </c>
      <c r="AI30" t="str">
        <f ca="1"/>
        <v>Peer review activity but not full reviews may be posted to Publons according to entry at Publons — https://publons.com/journal/628/cell-metabolism
"Cell Press will not disclose any reviewer’s identity except at the specific reviewer’s request." - https://www.cell.com/reviewers</v>
      </c>
      <c r="AJ30" t="str">
        <f ca="1"/>
        <v>Peer review activity but not full reviews may be posted to Publons according to entry at Publons — https://publons.com/journal/586/cell-stem-cell
"Cell Press will not disclose any reviewer’s identity except at the specific reviewer’s request." - https://www.cell.com/reviewers</v>
      </c>
      <c r="AK30" t="str">
        <f ca="1"/>
        <v>Sharing review reports: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 Reviewer identity: “The anonymity of reviewers is strictly preserved from the authors, unless a reviewer voluntarily signs their comments to authors.”</v>
      </c>
      <c r="AL30" t="str">
        <f ca="1"/>
        <v>Not specified</v>
      </c>
      <c r="AM30" t="str">
        <f ca="1"/>
        <v/>
      </c>
      <c r="AN30" t="str">
        <f ca="1"/>
        <v/>
      </c>
      <c r="AO30" t="str">
        <f ca="1"/>
        <v/>
      </c>
      <c r="AP30" t="str">
        <f ca="1"/>
        <v/>
      </c>
      <c r="AQ30" t="str">
        <f ca="1"/>
        <v/>
      </c>
      <c r="AR30" t="str">
        <f ca="1"/>
        <v/>
      </c>
      <c r="AS30" t="str">
        <f ca="1"/>
        <v/>
      </c>
      <c r="AT30" t="str">
        <f ca="1"/>
        <v/>
      </c>
      <c r="AU30" t="str">
        <f ca="1"/>
        <v>Not specified</v>
      </c>
      <c r="AV30" t="str">
        <f ca="1"/>
        <v>When the editor makes a decision on a manuscript, reviewers are typically notified of that decision and are provided with the comments from all reviewers on the manuscript. The reviewers’ anonymity is preserved unless the reviewer has voluntarily signed their report. Reviewers are informed at the point of invitation to review if their report will be shared in this way. The anonymity of reviewers is strictly preserved from the authors, unless a reviewer voluntarily signs their comments to authors. A reviewer should never communicate directly with an author, unless and until such action has been agreed by the Royal Society of Chemistry, through the editor. Reviewers may disclose publicly that they have served as a reviewer for a named Royal Society of Chemistry journal. However, a reviewer must not identify himself/herself as the reviewer of a specific manuscript nor disclose the contents of the submitted review to any individual or organization. This expectation of peer review confidentiality and anonymity applies both during and after the peer review process, without time limit.</v>
      </c>
      <c r="AW30" t="str">
        <f ca="1"/>
        <v/>
      </c>
      <c r="AX30" t="str">
        <f ca="1"/>
        <v/>
      </c>
      <c r="AY30" t="str">
        <f ca="1"/>
        <v>The journal European Urology is not very specific with respect to the details of its peer review process.</v>
      </c>
      <c r="AZ30" t="str">
        <f ca="1"/>
        <v/>
      </c>
      <c r="BA30" t="str">
        <f ca="1"/>
        <v/>
      </c>
      <c r="BB30" t="str">
        <f ca="1"/>
        <v/>
      </c>
      <c r="BC30" t="str">
        <f ca="1"/>
        <v/>
      </c>
      <c r="BD30" t="str">
        <f ca="1"/>
        <v/>
      </c>
      <c r="BE30" t="str">
        <f ca="1"/>
        <v/>
      </c>
      <c r="BF30" t="str">
        <f ca="1"/>
        <v/>
      </c>
      <c r="BG30" t="str">
        <f ca="1"/>
        <v/>
      </c>
      <c r="BH30" t="str">
        <f ca="1"/>
        <v/>
      </c>
      <c r="BI30" t="str">
        <f ca="1"/>
        <v/>
      </c>
      <c r="BJ30" t="str">
        <f ca="1"/>
        <v/>
      </c>
      <c r="BK30" t="str">
        <f ca="1"/>
        <v/>
      </c>
      <c r="BL30" t="str">
        <f ca="1"/>
        <v/>
      </c>
      <c r="BM30" t="str">
        <f ca="1"/>
        <v/>
      </c>
      <c r="BN30" t="str">
        <f ca="1"/>
        <v/>
      </c>
      <c r="BO30" t="str">
        <f ca="1"/>
        <v/>
      </c>
      <c r="BP30" t="str">
        <f ca="1"/>
        <v/>
      </c>
      <c r="BQ30" t="str">
        <f ca="1"/>
        <v/>
      </c>
      <c r="BR30" t="str">
        <f ca="1"/>
        <v/>
      </c>
      <c r="BS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BT30" t="str">
        <f ca="1"/>
        <v>The journal uses a single-blind peer review process: peer reviewer identities are kept confidential (unless reviewers choose to reveal their names in their formal reviews); author identities are made known to reviewers. The existence of a manuscript under review is not revealed to anyone other than peer reviewers and editorial staff. Peer reviewers are required to maintain confidentiality about the manuscripts they review and must not divulge any information about a specific manuscript or its content to any third party without prior permission from the journal editors.</v>
      </c>
      <c r="BU30" t="str">
        <f ca="1"/>
        <v/>
      </c>
      <c r="BV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BW30" t="str">
        <f ca="1"/>
        <v/>
      </c>
      <c r="BX30" t="str">
        <f ca="1"/>
        <v/>
      </c>
      <c r="BY30" t="str">
        <f ca="1"/>
        <v/>
      </c>
      <c r="BZ30" t="str">
        <f ca="1"/>
        <v/>
      </c>
      <c r="CA30" t="str">
        <f ca="1"/>
        <v/>
      </c>
      <c r="CB30" t="str">
        <f ca="1"/>
        <v>None of our journals conduct any form of open peer review (in which the identity of the reviewer is revealed, the peer review contents are made publicly available or anyone interested in reviewing the article can do so post-publication). - https://publishingsupport.iopscience.iop.org/questions/peer-review-models-on-iop-journals/</v>
      </c>
      <c r="CC30" t="str">
        <f ca="1"/>
        <v/>
      </c>
      <c r="CD30" t="str">
        <f ca="1"/>
        <v/>
      </c>
      <c r="CE30" t="str">
        <f ca="1"/>
        <v/>
      </c>
      <c r="CF30" t="str">
        <f ca="1"/>
        <v/>
      </c>
      <c r="CG30" t="str">
        <f ca="1"/>
        <v/>
      </c>
      <c r="CH30" t="str">
        <f ca="1"/>
        <v/>
      </c>
      <c r="CI30" t="str">
        <f ca="1"/>
        <v/>
      </c>
      <c r="CJ30" t="str">
        <f ca="1"/>
        <v/>
      </c>
      <c r="CK30" t="str">
        <f ca="1"/>
        <v/>
      </c>
      <c r="CL30" t="str">
        <f ca="1"/>
        <v/>
      </c>
      <c r="CM30" t="str">
        <f ca="1"/>
        <v>Not open interaction for reviewers, but for editors: "Once 2 reviews have been completed, the submission is reviewed by all JACC associate editors in a weekly meeting. The group then comes to [a decision]" http://www.onlinejacc.org/content/73/14/A18</v>
      </c>
      <c r="CN30" t="str">
        <f ca="1"/>
        <v/>
      </c>
      <c r="CO30" t="str">
        <f ca="1"/>
        <v/>
      </c>
      <c r="CP30" t="str">
        <f ca="1"/>
        <v/>
      </c>
      <c r="CQ30" t="str">
        <f ca="1"/>
        <v/>
      </c>
      <c r="CR30" t="str">
        <f ca="1"/>
        <v/>
      </c>
      <c r="CS30" t="str">
        <f ca="1"/>
        <v/>
      </c>
      <c r="CT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CU30" t="str">
        <f ca="1"/>
        <v/>
      </c>
      <c r="CV30" t="str">
        <f ca="1"/>
        <v/>
      </c>
      <c r="CW30" t="str">
        <f ca="1"/>
        <v/>
      </c>
      <c r="CX30" t="str">
        <f ca="1"/>
        <v/>
      </c>
      <c r="CY30" t="str">
        <f ca="1"/>
        <v/>
      </c>
      <c r="CZ30" t="str">
        <f ca="1"/>
        <v/>
      </c>
      <c r="DA30" t="str">
        <f ca="1"/>
        <v/>
      </c>
      <c r="DB30" t="str">
        <f ca="1"/>
        <v/>
      </c>
      <c r="DC30" t="str">
        <f ca="1"/>
        <v/>
      </c>
      <c r="DD30" t="str">
        <f ca="1"/>
        <v/>
      </c>
      <c r="DE30" t="str">
        <f ca="1"/>
        <v/>
      </c>
      <c r="DF30" t="str">
        <f ca="1"/>
        <v/>
      </c>
      <c r="DG30" t="str">
        <f ca="1"/>
        <v/>
      </c>
      <c r="DH30" t="str">
        <f ca="1"/>
        <v/>
      </c>
      <c r="DI30" t="str">
        <f ca="1"/>
        <v/>
      </c>
      <c r="DJ30" t="str">
        <f ca="1"/>
        <v/>
      </c>
      <c r="DK30" t="str">
        <f ca="1"/>
        <v/>
      </c>
      <c r="DL30" t="str">
        <f ca="1"/>
        <v/>
      </c>
      <c r="DM30" t="str">
        <f ca="1"/>
        <v/>
      </c>
      <c r="DN30" t="str">
        <f ca="1"/>
        <v/>
      </c>
      <c r="DO30" t="str">
        <f ca="1"/>
        <v/>
      </c>
      <c r="DP30" t="str">
        <f ca="1"/>
        <v/>
      </c>
      <c r="DQ30" t="str">
        <f ca="1"/>
        <v/>
      </c>
      <c r="DR30" t="str">
        <f ca="1"/>
        <v/>
      </c>
      <c r="DS30" t="str">
        <f ca="1"/>
        <v/>
      </c>
      <c r="DT30" t="str">
        <f ca="1"/>
        <v/>
      </c>
      <c r="DU30" t="str">
        <f ca="1"/>
        <v/>
      </c>
      <c r="DV30" t="str">
        <f ca="1"/>
        <v/>
      </c>
      <c r="DW30" t="str">
        <f ca="1"/>
        <v>"The reviewing process will be double blind at the level of reviewers and area chairs (i.e., reviewers and area chairs cannot see author identities) but not at the level of senior area chairs and program chairs."</v>
      </c>
      <c r="DX30" t="str">
        <f ca="1"/>
        <v/>
      </c>
      <c r="DY30" t="str">
        <f ca="1"/>
        <v/>
      </c>
      <c r="DZ30" t="str">
        <f ca="1"/>
        <v/>
      </c>
      <c r="EA30" t="str">
        <f ca="1"/>
        <v/>
      </c>
      <c r="EB30" t="str">
        <f ca="1"/>
        <v/>
      </c>
      <c r="EC30" t="str">
        <f ca="1"/>
        <v/>
      </c>
      <c r="ED30" t="str">
        <f ca="1"/>
        <v/>
      </c>
      <c r="EE30" t="str">
        <f ca="1"/>
        <v/>
      </c>
      <c r="EF30" t="str">
        <f ca="1"/>
        <v/>
      </c>
      <c r="EG30" t="str">
        <f ca="1"/>
        <v/>
      </c>
      <c r="EH30" t="str">
        <f ca="1"/>
        <v/>
      </c>
      <c r="EI30" t="str">
        <f ca="1"/>
        <v/>
      </c>
      <c r="EJ30" t="str">
        <f ca="1"/>
        <v/>
      </c>
      <c r="EK30" t="str">
        <f ca="1"/>
        <v/>
      </c>
      <c r="EL30" t="str">
        <f ca="1"/>
        <v/>
      </c>
      <c r="EM30" t="str">
        <f ca="1"/>
        <v>The review process is conducted anonymously for all submissions, except NAS members’ own contributions where the reviewers are known to the member author and their names are published. - https://www.pnas.org/page/authors/reviewers</v>
      </c>
      <c r="EN30" t="str">
        <f ca="1"/>
        <v/>
      </c>
      <c r="EO30" t="str">
        <f ca="1"/>
        <v/>
      </c>
      <c r="EP30" t="str">
        <f ca="1"/>
        <v/>
      </c>
      <c r="EQ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ER30" t="str">
        <f ca="1"/>
        <v>Elsevier offers information on peer review in its author guidelines, but this information only becomes meaningful when additionally considering their "what is peer review" page where the meanings of different types of peer review are specified. Here one learns that double blind implies that no aspect of the peer review process is made public (apparently).</v>
      </c>
      <c r="ES30" t="str">
        <f ca="1"/>
        <v/>
      </c>
      <c r="ET30" t="str">
        <f ca="1"/>
        <v/>
      </c>
      <c r="EU30" t="str">
        <f ca="1"/>
        <v>Science employs a cross-review policy, so once all reviews are in, they are circulated among all other reviewers of a given paper</v>
      </c>
      <c r="EV30" t="str">
        <f ca="1"/>
        <v/>
      </c>
      <c r="EW30" t="str">
        <f ca="1"/>
        <v/>
      </c>
      <c r="EX30" t="str">
        <f ca="1"/>
        <v/>
      </c>
      <c r="EY30" t="str">
        <f ca="1"/>
        <v>Not specified</v>
      </c>
      <c r="EZ30" t="str">
        <f ca="1"/>
        <v>Not specified</v>
      </c>
      <c r="FA30" t="str">
        <f ca="1"/>
        <v>Not specified</v>
      </c>
      <c r="FB30" t="str">
        <f ca="1"/>
        <v/>
      </c>
      <c r="FC30" t="str">
        <f ca="1"/>
        <v/>
      </c>
      <c r="FD30" t="str">
        <f ca="1"/>
        <v/>
      </c>
      <c r="FE30" t="str">
        <f ca="1"/>
        <v/>
      </c>
      <c r="FF30" t="str">
        <f ca="1"/>
        <v>All reviewers active in a single year are are listed online: https://community.cochrane.org/editorial-and-publishing-policy-resource/cochrane-review-management/cochrane-peer-review-policy</v>
      </c>
      <c r="FG30" t="str">
        <f ca="1"/>
        <v/>
      </c>
      <c r="FH30" t="str">
        <f ca="1"/>
        <v/>
      </c>
      <c r="FI30" t="str">
        <f ca="1"/>
        <v/>
      </c>
      <c r="FJ30" t="str">
        <f ca="1"/>
        <v>"If the reviewer wishes to disclose his/her identity to
 the manuscript authors, the editor should be consulted, and the decision to disclose such
 information to authors is the sole discretion of the editor."</v>
      </c>
      <c r="FK30" t="str">
        <f ca="1"/>
        <v/>
      </c>
      <c r="FL30" t="str">
        <f ca="1"/>
        <v/>
      </c>
      <c r="FM30" t="str">
        <f ca="1"/>
        <v/>
      </c>
      <c r="FN30" t="str">
        <f ca="1"/>
        <v>Not included in Wiley's transparent peer review trial (https://authorservices.wiley.com/Reviewers/journal-reviewers/what-is-peer-review/index.html)</v>
      </c>
      <c r="FO30" t="str">
        <f ca="1"/>
        <v/>
      </c>
      <c r="FP30" t="str">
        <f ca="1"/>
        <v/>
      </c>
      <c r="FQ30" t="str">
        <f ca="1"/>
        <v/>
      </c>
      <c r="FR30" t="str">
        <f ca="1"/>
        <v/>
      </c>
      <c r="FS30" t="str">
        <f ca="1"/>
        <v/>
      </c>
      <c r="FT30" t="str">
        <f ca="1"/>
        <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0</v>
      </c>
      <c r="QV30">
        <v>0</v>
      </c>
      <c r="QW30">
        <v>0</v>
      </c>
      <c r="QX30">
        <v>0</v>
      </c>
      <c r="QY30">
        <v>0</v>
      </c>
      <c r="QZ30">
        <v>0</v>
      </c>
      <c r="RA30">
        <v>0</v>
      </c>
      <c r="RB30">
        <v>0</v>
      </c>
      <c r="RC30">
        <v>0</v>
      </c>
      <c r="RD30">
        <v>0</v>
      </c>
      <c r="RE30">
        <v>0</v>
      </c>
      <c r="RF30">
        <v>0</v>
      </c>
      <c r="RG30">
        <v>0</v>
      </c>
      <c r="RH30">
        <v>0</v>
      </c>
      <c r="RI30">
        <v>0</v>
      </c>
      <c r="RJ30">
        <v>0</v>
      </c>
      <c r="RK30">
        <v>0</v>
      </c>
      <c r="RL30">
        <v>0</v>
      </c>
      <c r="RM30">
        <v>0</v>
      </c>
      <c r="RN30">
        <v>0</v>
      </c>
      <c r="RO30">
        <v>0</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0</v>
      </c>
      <c r="TA30">
        <v>0</v>
      </c>
      <c r="TB30">
        <v>0</v>
      </c>
      <c r="TC30">
        <v>0</v>
      </c>
      <c r="TD30">
        <v>0</v>
      </c>
      <c r="TE30">
        <v>0</v>
      </c>
      <c r="TF30">
        <v>0</v>
      </c>
      <c r="TG30">
        <v>0</v>
      </c>
      <c r="TH30">
        <v>0</v>
      </c>
      <c r="TI30">
        <v>0</v>
      </c>
      <c r="TJ30">
        <v>0</v>
      </c>
      <c r="TK30">
        <v>0</v>
      </c>
      <c r="TL30">
        <v>0</v>
      </c>
      <c r="TM30">
        <v>0</v>
      </c>
      <c r="TN30">
        <v>0</v>
      </c>
      <c r="TO30">
        <v>0</v>
      </c>
      <c r="TP30">
        <v>0</v>
      </c>
      <c r="TQ30">
        <v>0</v>
      </c>
      <c r="TR30">
        <v>0</v>
      </c>
      <c r="TS30">
        <v>0</v>
      </c>
      <c r="TT30">
        <v>0</v>
      </c>
      <c r="TU30">
        <v>0</v>
      </c>
      <c r="TV30">
        <v>0</v>
      </c>
      <c r="TW30">
        <v>0</v>
      </c>
      <c r="TX30">
        <v>0</v>
      </c>
      <c r="TY30">
        <v>0</v>
      </c>
      <c r="TZ30">
        <v>0</v>
      </c>
      <c r="UA30">
        <v>0</v>
      </c>
      <c r="UB30">
        <v>0</v>
      </c>
      <c r="UC30">
        <v>0</v>
      </c>
      <c r="UD30">
        <v>0</v>
      </c>
      <c r="UE30">
        <v>0</v>
      </c>
      <c r="UF30">
        <v>0</v>
      </c>
      <c r="UG30">
        <v>0</v>
      </c>
      <c r="UH30">
        <v>0</v>
      </c>
      <c r="UI30">
        <v>0</v>
      </c>
      <c r="UJ30">
        <v>0</v>
      </c>
      <c r="UK30">
        <v>0</v>
      </c>
      <c r="UL30">
        <v>0</v>
      </c>
      <c r="UM30">
        <v>0</v>
      </c>
      <c r="UN30">
        <v>0</v>
      </c>
      <c r="UO30">
        <v>0</v>
      </c>
      <c r="UP30">
        <v>0</v>
      </c>
      <c r="UQ30">
        <v>0</v>
      </c>
      <c r="UR30">
        <v>0</v>
      </c>
      <c r="US30">
        <v>0</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0</v>
      </c>
      <c r="WO30">
        <v>0</v>
      </c>
      <c r="WP30">
        <v>0</v>
      </c>
      <c r="WQ30">
        <v>0</v>
      </c>
      <c r="WR30">
        <v>0</v>
      </c>
      <c r="WS30">
        <v>0</v>
      </c>
      <c r="WT30">
        <v>0</v>
      </c>
      <c r="WU30">
        <v>0</v>
      </c>
      <c r="WV30">
        <v>0</v>
      </c>
      <c r="WW30">
        <v>0</v>
      </c>
      <c r="WX30">
        <v>0</v>
      </c>
      <c r="WY30">
        <v>0</v>
      </c>
      <c r="WZ30">
        <v>0</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W30">
        <v>0</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0</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v>
      </c>
      <c r="AAW30">
        <v>0</v>
      </c>
      <c r="AAX30">
        <v>0</v>
      </c>
      <c r="AAY30">
        <v>0</v>
      </c>
      <c r="AAZ30">
        <v>0</v>
      </c>
      <c r="ABA30">
        <v>0</v>
      </c>
      <c r="ABB30">
        <v>0</v>
      </c>
      <c r="ABC30">
        <v>0</v>
      </c>
      <c r="ABD30">
        <v>0</v>
      </c>
      <c r="ABE30">
        <v>0</v>
      </c>
      <c r="ABF30">
        <v>0</v>
      </c>
      <c r="ABG30">
        <v>0</v>
      </c>
      <c r="ABH30">
        <v>0</v>
      </c>
      <c r="ABI30">
        <v>0</v>
      </c>
      <c r="ABJ30">
        <v>0</v>
      </c>
      <c r="ABK30">
        <v>0</v>
      </c>
      <c r="ABL30">
        <v>0</v>
      </c>
      <c r="ABM30">
        <v>0</v>
      </c>
      <c r="ABN30">
        <v>0</v>
      </c>
      <c r="ABO30">
        <v>0</v>
      </c>
      <c r="ABP30">
        <v>0</v>
      </c>
      <c r="ABQ30">
        <v>0</v>
      </c>
      <c r="ABR30">
        <v>0</v>
      </c>
      <c r="ABS30">
        <v>0</v>
      </c>
      <c r="ABT30">
        <v>0</v>
      </c>
      <c r="ABU30">
        <v>0</v>
      </c>
      <c r="ABV30">
        <v>0</v>
      </c>
      <c r="ABW30">
        <v>0</v>
      </c>
      <c r="ABX30">
        <v>0</v>
      </c>
      <c r="ABY30">
        <v>0</v>
      </c>
      <c r="ABZ30">
        <v>0</v>
      </c>
      <c r="ACA30">
        <v>0</v>
      </c>
      <c r="ACB30">
        <v>0</v>
      </c>
      <c r="ACC30">
        <v>0</v>
      </c>
      <c r="ACD30">
        <v>0</v>
      </c>
      <c r="ACE30">
        <v>0</v>
      </c>
      <c r="ACF30">
        <v>0</v>
      </c>
      <c r="ACG30">
        <v>0</v>
      </c>
      <c r="ACH30">
        <v>0</v>
      </c>
      <c r="ACI30">
        <v>0</v>
      </c>
      <c r="ACJ30">
        <v>0</v>
      </c>
      <c r="ACK30">
        <v>0</v>
      </c>
      <c r="ACL30">
        <v>0</v>
      </c>
      <c r="ACM30">
        <v>0</v>
      </c>
      <c r="ACN30">
        <v>0</v>
      </c>
      <c r="ACO30">
        <v>0</v>
      </c>
      <c r="ACP30">
        <v>0</v>
      </c>
      <c r="ACQ30">
        <v>0</v>
      </c>
      <c r="ACR30">
        <v>0</v>
      </c>
      <c r="ACS30">
        <v>0</v>
      </c>
      <c r="ACT30">
        <v>0</v>
      </c>
      <c r="ACU30">
        <v>0</v>
      </c>
      <c r="ACV30">
        <v>0</v>
      </c>
      <c r="ACW30">
        <v>0</v>
      </c>
      <c r="ACX30">
        <v>0</v>
      </c>
      <c r="ACY30">
        <v>0</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v>
      </c>
      <c r="AEZ30">
        <v>0</v>
      </c>
      <c r="AFA30">
        <v>0</v>
      </c>
      <c r="AFB30">
        <v>0</v>
      </c>
      <c r="AFC30">
        <v>0</v>
      </c>
      <c r="AFD30">
        <v>0</v>
      </c>
      <c r="AFE30">
        <v>0</v>
      </c>
      <c r="AFF30">
        <v>0</v>
      </c>
      <c r="AFG30">
        <v>0</v>
      </c>
      <c r="AFH30">
        <v>0</v>
      </c>
      <c r="AFI30">
        <v>0</v>
      </c>
      <c r="AFJ30">
        <v>0</v>
      </c>
      <c r="AFK30">
        <v>0</v>
      </c>
      <c r="AFL30">
        <v>0</v>
      </c>
      <c r="AFM30">
        <v>0</v>
      </c>
      <c r="AFN30">
        <v>0</v>
      </c>
      <c r="AFO30">
        <v>0</v>
      </c>
      <c r="AFP30">
        <v>0</v>
      </c>
      <c r="AFQ30">
        <v>0</v>
      </c>
      <c r="AFR30">
        <v>0</v>
      </c>
      <c r="AFS30">
        <v>0</v>
      </c>
      <c r="AFT30">
        <v>0</v>
      </c>
      <c r="AFU30">
        <v>0</v>
      </c>
      <c r="AFV30">
        <v>0</v>
      </c>
      <c r="AFW30">
        <v>0</v>
      </c>
      <c r="AFX30">
        <v>0</v>
      </c>
      <c r="AFY30">
        <v>0</v>
      </c>
      <c r="AFZ30">
        <v>0</v>
      </c>
      <c r="AGA30">
        <v>0</v>
      </c>
      <c r="AGB30">
        <v>0</v>
      </c>
      <c r="AGC30">
        <v>0</v>
      </c>
      <c r="AGD30">
        <v>0</v>
      </c>
      <c r="AGE30">
        <v>0</v>
      </c>
      <c r="AGF30">
        <v>0</v>
      </c>
      <c r="AGG30">
        <v>0</v>
      </c>
      <c r="AGH30">
        <v>0</v>
      </c>
      <c r="AGI30">
        <v>0</v>
      </c>
      <c r="AGJ30">
        <v>0</v>
      </c>
      <c r="AGK30">
        <v>0</v>
      </c>
      <c r="AGL30">
        <v>0</v>
      </c>
      <c r="AGM30">
        <v>0</v>
      </c>
      <c r="AGN30">
        <v>0</v>
      </c>
      <c r="AGO30">
        <v>0</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v>
      </c>
      <c r="AHP30">
        <v>0</v>
      </c>
      <c r="AHQ30">
        <v>0</v>
      </c>
      <c r="AHR30">
        <v>0</v>
      </c>
      <c r="AHS30">
        <v>0</v>
      </c>
      <c r="AHT30">
        <v>0</v>
      </c>
      <c r="AHU30">
        <v>0</v>
      </c>
      <c r="AHV30">
        <v>0</v>
      </c>
      <c r="AHW30">
        <v>0</v>
      </c>
      <c r="AHX30">
        <v>0</v>
      </c>
      <c r="AHY30">
        <v>0</v>
      </c>
      <c r="AHZ30">
        <v>0</v>
      </c>
      <c r="AIA30">
        <v>0</v>
      </c>
      <c r="AIB30">
        <v>0</v>
      </c>
      <c r="AIC30">
        <v>0</v>
      </c>
      <c r="AID30">
        <v>0</v>
      </c>
      <c r="AIE30">
        <v>0</v>
      </c>
      <c r="AIF30">
        <v>0</v>
      </c>
      <c r="AIG30">
        <v>0</v>
      </c>
      <c r="AIH30">
        <v>0</v>
      </c>
      <c r="AII30">
        <v>0</v>
      </c>
      <c r="AIJ30">
        <v>0</v>
      </c>
      <c r="AIK30">
        <v>0</v>
      </c>
      <c r="AIL30">
        <v>0</v>
      </c>
      <c r="AIM30">
        <v>0</v>
      </c>
      <c r="AIN30">
        <v>0</v>
      </c>
      <c r="AIO30">
        <v>0</v>
      </c>
      <c r="AIP30">
        <v>0</v>
      </c>
      <c r="AIQ30">
        <v>0</v>
      </c>
      <c r="AIR30">
        <v>0</v>
      </c>
      <c r="AIS30">
        <v>0</v>
      </c>
      <c r="AIT30">
        <v>0</v>
      </c>
      <c r="AIU30">
        <v>0</v>
      </c>
      <c r="AIV30">
        <v>0</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v>
      </c>
      <c r="AJZ30">
        <v>0</v>
      </c>
      <c r="AKA30">
        <v>0</v>
      </c>
      <c r="AKB30">
        <v>0</v>
      </c>
      <c r="AKC30">
        <v>0</v>
      </c>
      <c r="AKD30">
        <v>0</v>
      </c>
      <c r="AKE30">
        <v>0</v>
      </c>
      <c r="AKF30">
        <v>0</v>
      </c>
      <c r="AKG30">
        <v>0</v>
      </c>
      <c r="AKH30">
        <v>0</v>
      </c>
      <c r="AKI30">
        <v>0</v>
      </c>
      <c r="AKJ30">
        <v>0</v>
      </c>
      <c r="AKK30">
        <v>0</v>
      </c>
      <c r="AKL30">
        <v>0</v>
      </c>
      <c r="AKM30">
        <v>0</v>
      </c>
      <c r="AKN30">
        <v>0</v>
      </c>
      <c r="AKO30">
        <v>0</v>
      </c>
      <c r="AKP30">
        <v>0</v>
      </c>
      <c r="AKQ30">
        <v>0</v>
      </c>
      <c r="AKR30">
        <v>0</v>
      </c>
      <c r="AKS30">
        <v>0</v>
      </c>
      <c r="AKT30">
        <v>0</v>
      </c>
      <c r="AKU30">
        <v>0</v>
      </c>
      <c r="AKV30">
        <v>0</v>
      </c>
      <c r="AKW30">
        <v>0</v>
      </c>
      <c r="AKX30">
        <v>0</v>
      </c>
      <c r="AKY30">
        <v>0</v>
      </c>
      <c r="AKZ30">
        <v>0</v>
      </c>
      <c r="ALA30">
        <v>0</v>
      </c>
      <c r="ALB30">
        <v>0</v>
      </c>
      <c r="ALC30">
        <v>0</v>
      </c>
      <c r="ALD30">
        <v>0</v>
      </c>
      <c r="ALE30">
        <v>0</v>
      </c>
      <c r="ALF30">
        <v>0</v>
      </c>
      <c r="ALG30">
        <v>0</v>
      </c>
      <c r="ALH30">
        <v>0</v>
      </c>
      <c r="ALI30">
        <v>0</v>
      </c>
      <c r="ALJ30">
        <v>0</v>
      </c>
      <c r="ALK30">
        <v>0</v>
      </c>
      <c r="ALL30">
        <v>0</v>
      </c>
      <c r="ALM30">
        <v>0</v>
      </c>
      <c r="ALN30">
        <v>0</v>
      </c>
      <c r="ALO30">
        <v>0</v>
      </c>
      <c r="ALP30">
        <v>0</v>
      </c>
      <c r="ALQ30">
        <v>0</v>
      </c>
    </row>
    <row r="31" spans="1:1005" ht="196">
      <c r="A31" s="351" t="s">
        <v>949</v>
      </c>
      <c r="B31" s="352" t="s">
        <v>42</v>
      </c>
      <c r="C31" s="353" t="s">
        <v>950</v>
      </c>
      <c r="D31" s="352" t="s">
        <v>97</v>
      </c>
      <c r="E31" s="354" t="s">
        <v>799</v>
      </c>
      <c r="F31" t="str">
        <f t="array" ref="F31:ALQ31" ca="1">TRANSPOSE(Filtered!AB2:AB1005)</f>
        <v>"If you wish to involve a
specially qualified colleague in the review (or perhaps want to guide a junior colleague in learning
how to review), you must contact the editorial office and ask for permission ahead of time."</v>
      </c>
      <c r="G31" t="str">
        <f ca="1"/>
        <v/>
      </c>
      <c r="H31" t="str">
        <f ca="1"/>
        <v/>
      </c>
      <c r="I31" t="str">
        <f ca="1"/>
        <v>Not specified</v>
      </c>
      <c r="J31" t="str">
        <f ca="1"/>
        <v xml:space="preserve">Can I have my student write my review? No, your review should be written by you. Do not have your students write your reviews for AMR. Our authors expect, and deserve, high quality reviews from the leading scholars in the field. We understand that doctoral students need to learn how to write reviews, but there are other methods that can be used. For example, you could share your own manuscripts and the reviews you received as an author with your students to facilitate their learning. </v>
      </c>
      <c r="K31" t="str">
        <f ca="1"/>
        <v/>
      </c>
      <c r="L31" t="str">
        <f ca="1"/>
        <v/>
      </c>
      <c r="M31" t="str">
        <f ca="1"/>
        <v/>
      </c>
      <c r="N31" t="str">
        <f ca="1"/>
        <v>To treat the manuscript as confidential. The editor must be informed if the referee consults a colleague about the manuscript.</v>
      </c>
      <c r="O31" t="str">
        <f ca="1"/>
        <v/>
      </c>
      <c r="P31" t="str">
        <f ca="1"/>
        <v/>
      </c>
      <c r="Q31" t="str">
        <f ca="1"/>
        <v/>
      </c>
      <c r="R31" t="str">
        <f ca="1"/>
        <v/>
      </c>
      <c r="S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T31" t="str">
        <f ca="1"/>
        <v/>
      </c>
      <c r="U31" t="str">
        <f ca="1"/>
        <v>Annals of Internal Medicine expects reviewers to handle manuscripts in a confidential manner. Manuscripts sent for review are privileged communications and are the private property of the authors. Therefore, reviewers (like members of the editorial staff) must not publicly discuss the authors' work or appropriate their ideas before the manuscript is published. Reviewers should not keep copies of reviewed manuscripts in their personal files and are prohibited from sharing copies of the manuscript with others, except with the permission of the editor. Reviewers should destroy copies of manuscripts after submitting reviews.</v>
      </c>
      <c r="V31" t="str">
        <f ca="1"/>
        <v/>
      </c>
      <c r="W31" t="str">
        <f ca="1"/>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X31" t="str">
        <f ca="1"/>
        <v/>
      </c>
      <c r="Y31" t="str">
        <f ca="1"/>
        <v/>
      </c>
      <c r="Z31" t="str">
        <f ca="1"/>
        <v>Unless otherwise specified, OUP expects editors and reviewers to handle all submissions in confidence. If a reviewer wishes to delegate the review or seek the opinion of a colleague on a specific aspect of the paper, they are expected to clear this with the editor in the first instance.</v>
      </c>
      <c r="AA31" t="str">
        <f ca="1"/>
        <v>Not specified</v>
      </c>
      <c r="AB31" t="str">
        <f ca="1"/>
        <v>Not specified</v>
      </c>
      <c r="AC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AD31" t="str">
        <f ca="1"/>
        <v>Please note that all information regarding a submitted paper should be kept confidential.</v>
      </c>
      <c r="AE31" t="str">
        <f ca="1"/>
        <v>Unpublished manuscripts are confidential and you must not disclose their contents to anyone except a professional colleague whose input you request as part of your review process. If you do choose to discuss the manuscript and/or your review with a professional colleague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AF31" t="str">
        <f ca="1"/>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G31" t="str">
        <f ca="1"/>
        <v>Not found</v>
      </c>
      <c r="AH31" t="str">
        <f ca="1"/>
        <v>" 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AI31" t="str">
        <f ca="1"/>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J31" t="str">
        <f ca="1"/>
        <v>“In some instances, reviewers may feel that it would be helpful to obtain additional advice from a colleague. … In such cases, we ask that the reviewer contact the editor in advance to ensure that the editor has the opportunity to take additional information into account before permitting communications that have the potential to violate confidentiality. …Reviewers can collaborate with trainees (graduate students and post-docs) in the evaluation of manuscripts…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v>
      </c>
      <c r="AK31" t="str">
        <f ca="1"/>
        <v>Not found</v>
      </c>
      <c r="AL31" t="str">
        <f ca="1"/>
        <v>Not specified</v>
      </c>
      <c r="AM31" t="str">
        <f ca="1"/>
        <v>The manuscript (or its existence) should not be shown to, disclosed to, or discussed with others, except in special cases, where specific scientific advice may be sought; in that event the editor must be informed and the identities of those consulted disclosed.</v>
      </c>
      <c r="AN31" t="str">
        <f ca="1"/>
        <v/>
      </c>
      <c r="AO31" t="str">
        <f ca="1"/>
        <v>"Peer reviewers are required to maintain confidentiality about the manuscripts they review and must not divulge any information about a specific manuscript or its content to any third party without prior permission from the journal editors."</v>
      </c>
      <c r="AP31" t="str">
        <f ca="1"/>
        <v>Peer reviewers are required to maintain confidentiality about the manuscripts they review and must not divulge any information about a specific manuscript or its content to any third party without prior permission from the journal editors.</v>
      </c>
      <c r="AQ31" t="str">
        <f ca="1"/>
        <v>"Please note also that if you agree to review this manuscript, the manuscript and its' contents must be kept confidential.  If you wish to have another expert co-review the manuscript with you, you must first obtain permission from the journal office."</v>
      </c>
      <c r="AR31" t="str">
        <f ca="1"/>
        <v/>
      </c>
      <c r="AS31" t="str">
        <f ca="1"/>
        <v>"Manuscripts under review are strictly confidential. To protect the authors’ work as well as your anonymity, communications regarding the manuscript and its parts, including the abstract, may not be shared for any reason. Further, according to COPE guidelines, reviewers must refrain from using information obtained from the peer review process in any way and should not involve anyone else in the review of a manuscript without first obtaining permission from the journal."</v>
      </c>
      <c r="AT31" t="str">
        <f ca="1"/>
        <v/>
      </c>
      <c r="AU31" t="str">
        <f ca="1"/>
        <v>Not specified</v>
      </c>
      <c r="AV31" t="str">
        <f ca="1"/>
        <v>Not specified</v>
      </c>
      <c r="AW31" t="str">
        <f ca="1"/>
        <v/>
      </c>
      <c r="AX31" t="str">
        <f ca="1"/>
        <v/>
      </c>
      <c r="AY31" t="str">
        <f ca="1"/>
        <v/>
      </c>
      <c r="AZ31" t="str">
        <f ca="1"/>
        <v>Reviewers provide comments for the editor and for the authors. The journal expects reviewers to treat manuscripts as confidential communications and not to use the content for their own purposes or make copies of the manuscripts. Reviewers are also expected to declare to the editor any possible conflicts of interest.</v>
      </c>
      <c r="BA31" t="str">
        <f ca="1"/>
        <v/>
      </c>
      <c r="BB31" t="str">
        <f ca="1"/>
        <v>All reviewers are expected to uphold AGU’s ethical guidelines and to disclose any conflicts of interest to the editors. Reviewers are expected to keep manuscripts confidential.</v>
      </c>
      <c r="BC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D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E31" t="str">
        <f ca="1"/>
        <v>If you do choose to discuss the manuscript and/or your review with a professional colleague whose input you request as part of your review process, you are responsible for ensuring that they are made fully aware of the confidential nature of the discussion and that they must not disclose any information about the manuscript until the article is published. The identity of any co-reviewer and any potential conflicting or competing interests they may have must be disclosed when submitting your review.</v>
      </c>
      <c r="BF31" t="str">
        <f ca="1"/>
        <v>"These restrictions might be relaxed in the event that you wish to incorporate the comments of others in your review comments. However, other reviewers must agree to abide by the restrictions described above. If you do wish to enlist the aid of others in reviewing this paper, we ask that you inform us before proceeding. Please contact the editor who requested the review."</v>
      </c>
      <c r="BG31" t="str">
        <f ca="1"/>
        <v/>
      </c>
      <c r="BH31" t="str">
        <f ca="1"/>
        <v/>
      </c>
      <c r="BI31" t="str">
        <f ca="1"/>
        <v>Not specified</v>
      </c>
      <c r="BJ31" t="str">
        <f ca="1"/>
        <v>You should not show the paper to anyone else, including colleagues or students, unless you have asked them to write a review, or to help with your review.</v>
      </c>
      <c r="BK31" t="str">
        <f ca="1"/>
        <v>You should not show the paper to anyone else, including colleagues or students, unless you have asked them to write a review, or to help with your review.</v>
      </c>
      <c r="BL31" t="str">
        <f ca="1"/>
        <v/>
      </c>
      <c r="BM31" t="str">
        <f ca="1"/>
        <v/>
      </c>
      <c r="BN31" t="str">
        <f ca="1"/>
        <v/>
      </c>
      <c r="BO31" t="str">
        <f ca="1"/>
        <v/>
      </c>
      <c r="BP31" t="str">
        <f ca="1"/>
        <v>Papers sent to you for review are confidential. However, requesting the opinion of a single colleague may be appropriate in some circumstances. Please consult your associate editor if you’d like to the input of outside help for the review.</v>
      </c>
      <c r="BQ31" t="str">
        <f ca="1"/>
        <v>Not specified</v>
      </c>
      <c r="BR31" t="str">
        <f ca="1"/>
        <v>Not specified</v>
      </c>
      <c r="BS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T31" t="str">
        <f ca="1"/>
        <v/>
      </c>
      <c r="BU31" t="str">
        <f ca="1"/>
        <v/>
      </c>
      <c r="BV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W31" t="str">
        <f ca="1"/>
        <v/>
      </c>
      <c r="BX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Y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BZ31" t="str">
        <f ca="1"/>
        <v/>
      </c>
      <c r="CA31" t="str">
        <f ca="1"/>
        <v>Not specified</v>
      </c>
      <c r="CB31" t="str">
        <f ca="1"/>
        <v>We also ask that you do not discuss the papers you have reviewed with colleagues unless they have been published.</v>
      </c>
      <c r="CC31" t="str">
        <f ca="1"/>
        <v/>
      </c>
      <c r="CD31" t="str">
        <f ca="1"/>
        <v>"Can I have a student co-review with me? Yes, if you are a professor who is mentoring a graduate student, you may co-review the paper with them. Please be sure to contact the handling editor and indicate upon submitting your review that it was completed with a co-reviewer."</v>
      </c>
      <c r="CE31" t="str">
        <f ca="1"/>
        <v>"Since peer review is confidential, you also must not share information about the review with anyone without permission from the editors and authors."</v>
      </c>
      <c r="CF31" t="str">
        <f ca="1"/>
        <v/>
      </c>
      <c r="CG31" t="str">
        <f ca="1"/>
        <v/>
      </c>
      <c r="CH31" t="str">
        <f ca="1"/>
        <v/>
      </c>
      <c r="CI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CJ31" t="str">
        <f ca="1"/>
        <v>Inferred that this is not allowed from the following: "Treat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v>
      </c>
      <c r="CK31" t="str">
        <f ca="1"/>
        <v/>
      </c>
      <c r="CL31" t="str">
        <f ca="1"/>
        <v/>
      </c>
      <c r="CM31" t="str">
        <f ca="1"/>
        <v/>
      </c>
      <c r="CN31" t="str">
        <f ca="1"/>
        <v/>
      </c>
      <c r="CO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 Full guidelines for peer reviewers can be found on the Committee on Publication Ethics website here."</v>
      </c>
      <c r="CP31" t="str">
        <f ca="1"/>
        <v>"Ask a senior colleague, with experience of reviewing, whether you could work with them on a review. " This was part of the general T&amp;F site.</v>
      </c>
      <c r="CQ31" t="str">
        <f ca="1"/>
        <v>"Ask a senior colleague, with experience of reviewing, whether you could work with them on a review. " This was part of the general T&amp;F site.</v>
      </c>
      <c r="CR31" t="str">
        <f ca="1"/>
        <v/>
      </c>
      <c r="CS31" t="str">
        <f ca="1"/>
        <v>Not specified</v>
      </c>
      <c r="CT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CU31" t="str">
        <f ca="1"/>
        <v/>
      </c>
      <c r="CV31" t="str">
        <f ca="1"/>
        <v/>
      </c>
      <c r="CW31" t="str">
        <f ca="1"/>
        <v/>
      </c>
      <c r="CX31" t="str">
        <f ca="1"/>
        <v/>
      </c>
      <c r="CY31" t="str">
        <f ca="1"/>
        <v/>
      </c>
      <c r="CZ31" t="str">
        <f ca="1"/>
        <v>"Manuscript Confidentiality: A reviewer should treat both the submitted manuscript and data
as received from the journal, and his/her referee report and related correspondence as
confidential documents. Such documents should neither be disclosed to nor discussed with
others except, in special cases, when shared in confidence with persons from whom specific
expert advice may be sought. In such instances, the identities of those to be consulted should
be disclosed to the editor in advance"</v>
      </c>
      <c r="DA31" t="str">
        <f ca="1"/>
        <v>"Treat the manuscript as confidential: The manuscript (or its existence) should not be shown to, disclosed to, or discussed with others, except in special cases, where specific scientific advice may be sought; in that event the editor must be informed and the identities of those consulted disclosed. Information acquired by a reviewer from such a paper is not available for disclosure or citation until the paper is published."</v>
      </c>
      <c r="DB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C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D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E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F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G31" t="str">
        <f ca="1"/>
        <v>We ask referees to treat the review process as strictly confidential, and not to discuss the manuscript with anyone not directly involved in the review. 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H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I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J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K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L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M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N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O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P31" t="str">
        <f ca="1"/>
        <v>It is acceptable to consult with laboratory colleagues, but please identify them to the editors. Consulting with experts from outside the referee’s own laboratory may be acceptable, but please check with the editors before doing so, to avoid involving anyone who may have been excluded by the authors.</v>
      </c>
      <c r="DQ31" t="str">
        <f ca="1"/>
        <v>It is acceptable to consult with laboratory colleagues, but please identify them to the editors.</v>
      </c>
      <c r="DR31" t="str">
        <f ca="1"/>
        <v>It is acceptable to consult with laboratory colleagues, but please identify them to the editors.</v>
      </c>
      <c r="DS31" t="str">
        <f ca="1"/>
        <v>It is acceptable to consult with laboratory colleagues, but please identify them to the editors.</v>
      </c>
      <c r="DT31" t="str">
        <f ca="1"/>
        <v>It is acceptable to consult with laboratory colleagues, but please identify them to the editors.</v>
      </c>
      <c r="DU31" t="str">
        <f ca="1"/>
        <v>It is acceptable to consult with laboratory colleagues, but please identify them to the editors.</v>
      </c>
      <c r="DV31" t="str">
        <f ca="1"/>
        <v>It is acceptable to consult with laboratory colleagues, but please identify them to the editors.</v>
      </c>
      <c r="DW31" t="str">
        <f ca="1"/>
        <v/>
      </c>
      <c r="DX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DY31" t="str">
        <f ca="1"/>
        <v>In some instances, reviewers may feel that it would be helpful to obtain additional advice from a colleague. In such cases, we ask that the reviewer contact the editor in advance to ensure that the editor has the opportunity to take additional information into account before permitting communications that have the potential to violate confidentiality. It is not appropriate to discuss unpublished manuscripts at laboratory meetings or journal clubs. Reviewers can collaborate with trainees (graduate students and post-docs) in the evaluation of manuscripts, and we appreciate that such collaboration functions as an important training exercise. However, we ask that reviewers keep the number of collaborators to a minimum and include the identities of all the individuals involved in the “comments to the editors” component of their review. Regardless, the person originally invited to review the manuscript is ultimately responsible for maintaining confidentiality and for the content and accuracy of the report. We encourage referees to inform collaborating reviewers about appropriate guidelines and ethics for peer review, as outlined in this document.</v>
      </c>
      <c r="DZ31" t="str">
        <f ca="1"/>
        <v/>
      </c>
      <c r="EA31" t="str">
        <f ca="1"/>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EB31" t="str">
        <f ca="1"/>
        <v/>
      </c>
      <c r="EC31" t="str">
        <f ca="1"/>
        <v/>
      </c>
      <c r="ED31" t="str">
        <f ca="1"/>
        <v>A reviewer should recognize that a manuscript under review is a confidential document. Reviewers should not use or disseminate unpublished information, arguments, or interpretations contained in an unpublished manuscript, except with the consent of the author. During review, the manuscript should neither be shown to nor discussed with others except, in special cases, to persons from whom specific advice may be sought. In that event, the reviewer maintains responsibility for ensuring confidentiality. The reviewer should inform the editor of others who make significant contributions to a review.</v>
      </c>
      <c r="EE31" t="str">
        <f ca="1"/>
        <v>Trainee Reviewers
 Trainees (students, residents) may review for the journal if they have the expertise to review the subject matter of the manuscript. They should be assisted by a senior mentor during the review process, and the mentor must sign off on the review. Trainees must abide by all reviewer guidelines, including the necessity to recuse themselves if they have a conflict of interest, including intellectual (e.g., having a strong belief that makes it difficult for you to evaluate the reported findings), financial (e.g., gaining a financial benefit if the work is either published or not published), or personal (e.g., having a personal or professional relationship with one or more of the authors that makes it difficult to fairly evaluate the work).</v>
      </c>
      <c r="EF31" t="str">
        <f ca="1"/>
        <v/>
      </c>
      <c r="EG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H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I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J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K31" t="str">
        <f ca="1"/>
        <v/>
      </c>
      <c r="EL31" t="str">
        <f ca="1"/>
        <v>Reviewers are required to treat all submitted manuscripts in strict confidence and should not share information about submissions with any other parties unless previously agreed with the editor. The involvement of a third party in the review must be declared at the time of the submission of the review.</v>
      </c>
      <c r="EM31" t="str">
        <f ca="1"/>
        <v>Material under review is a privileged communication that should not be shared or discussed with anyone outside the designated review process unless necessary and approved by the editor. If you wish to consult a colleague for assistance with the review, please ensure they are free of any conflicts of interest and agree to abide by journal policies.</v>
      </c>
      <c r="EN31" t="str">
        <f ca="1"/>
        <v>Sometimes a reviewer will want to involve junior researchers in the review of an article as it can be good practice and experience for that person. However, you should ensure that you obtain permission from the journal editor prior to accepting the invitation to review. The names of everyone involved in doing the review should be submitted to the editor so that the journal records accurately reflect the review process that took place.</v>
      </c>
      <c r="EO31" t="str">
        <f ca="1"/>
        <v/>
      </c>
      <c r="EP31" t="str">
        <f ca="1"/>
        <v/>
      </c>
      <c r="EQ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ER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ES31" t="str">
        <f ca="1"/>
        <v>Not specified</v>
      </c>
      <c r="ET31" t="str">
        <f ca="1"/>
        <v>Although referees may consult and seek advice from other researchers or colleagues, the referee must ensure that the confidentiality of these materials is preserved. In such cases, we require referees to provide the names and contact information of those researchers who have been consulted.</v>
      </c>
      <c r="EU31" t="str">
        <f ca="1"/>
        <v xml:space="preserve"> Please do not share the manuscript with any colleagues without the explicit permission of the editor. </v>
      </c>
      <c r="EV31" t="str">
        <f ca="1"/>
        <v xml:space="preserve"> Please do not share the manuscript with any colleagues without the explicit permission of the editor. </v>
      </c>
      <c r="EW31" t="str">
        <f ca="1"/>
        <v xml:space="preserve"> It is acceptable to consult with laboratory colleagues, but we ask that they are identified to the Editorial Board Member. </v>
      </c>
      <c r="EX31" t="str">
        <f ca="1"/>
        <v/>
      </c>
      <c r="EY31" t="str">
        <f ca="1"/>
        <v>Confidentiality: Respect the confidentiality of the peer review process and refrain from using information obtained during the peer review process for your own or another’s advantage, or to disadvantage or discredit others (e.g. see COPE Case 14-06: Possible breach of reviewer confidentiality). Do not involve anyone else in the review of a manuscript (including early career researchers you are mentoring), without first obtaining permission from the journal (e.g. see COPE Case 11-29: Reviewer asks trainee to review manuscript). The names of any individuals who have helped with the review should be included so that they are associated with the manuscript in the journal’s records and can also receive due recognition for their efforts.</v>
      </c>
      <c r="EZ31" t="str">
        <f ca="1"/>
        <v/>
      </c>
      <c r="FA31" t="str">
        <f ca="1"/>
        <v/>
      </c>
      <c r="FB31" t="str">
        <f ca="1"/>
        <v/>
      </c>
      <c r="FC31" t="str">
        <f ca="1"/>
        <v/>
      </c>
      <c r="FD31" t="str">
        <f ca="1"/>
        <v/>
      </c>
      <c r="FE31" t="str">
        <f ca="1"/>
        <v/>
      </c>
      <c r="FF31" t="str">
        <f ca="1"/>
        <v/>
      </c>
      <c r="FG31" t="str">
        <f ca="1"/>
        <v/>
      </c>
      <c r="FH31" t="str">
        <f ca="1"/>
        <v>The peer-review process rests on the assumption that an assigned reviewer will treat all manuscripts as privileged information. A reviewer may request advice from another party, subject to the general principle of confidentiality and notification of the JCI.</v>
      </c>
      <c r="FI31" t="str">
        <f ca="1"/>
        <v xml:space="preserve">Supervisors who wish to involve their students or junior researchers in peer review must request permission from the editor and abide by the editor’s decision. In cases where a student performs the review under the guidance of the supervisor, that should be noted and the student should be acknowledged as the reviewer of record. </v>
      </c>
      <c r="FJ31" t="str">
        <f ca="1"/>
        <v/>
      </c>
      <c r="FK31" t="str">
        <f ca="1"/>
        <v/>
      </c>
      <c r="FL31" t="str">
        <f ca="1"/>
        <v/>
      </c>
      <c r="FM31" t="str">
        <f ca="1"/>
        <v/>
      </c>
      <c r="FN31" t="str">
        <f ca="1"/>
        <v/>
      </c>
      <c r="FO31" t="str">
        <f ca="1"/>
        <v/>
      </c>
      <c r="FP31" t="str">
        <f ca="1"/>
        <v/>
      </c>
      <c r="FQ31" t="str">
        <f ca="1"/>
        <v/>
      </c>
      <c r="FR31" t="str">
        <f ca="1"/>
        <v/>
      </c>
      <c r="FS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FT31" t="str">
        <f ca="1"/>
        <v>If you accept, you must treat the materials you receive as confidential documents. This means you can’t share them with anyone without prior authorization from the editor. Since peer review is confidential, you also must not share information about the review with anyone without permission from the editors and authors.</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0</v>
      </c>
      <c r="PI31">
        <v>0</v>
      </c>
      <c r="PJ31">
        <v>0</v>
      </c>
      <c r="PK31">
        <v>0</v>
      </c>
      <c r="PL31">
        <v>0</v>
      </c>
      <c r="PM31">
        <v>0</v>
      </c>
      <c r="PN31">
        <v>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0</v>
      </c>
      <c r="QO31">
        <v>0</v>
      </c>
      <c r="QP31">
        <v>0</v>
      </c>
      <c r="QQ31">
        <v>0</v>
      </c>
      <c r="QR31">
        <v>0</v>
      </c>
      <c r="QS31">
        <v>0</v>
      </c>
      <c r="QT31">
        <v>0</v>
      </c>
      <c r="QU31">
        <v>0</v>
      </c>
      <c r="QV31">
        <v>0</v>
      </c>
      <c r="QW31">
        <v>0</v>
      </c>
      <c r="QX31">
        <v>0</v>
      </c>
      <c r="QY31">
        <v>0</v>
      </c>
      <c r="QZ31">
        <v>0</v>
      </c>
      <c r="RA31">
        <v>0</v>
      </c>
      <c r="RB31">
        <v>0</v>
      </c>
      <c r="RC31">
        <v>0</v>
      </c>
      <c r="RD31">
        <v>0</v>
      </c>
      <c r="RE31">
        <v>0</v>
      </c>
      <c r="RF31">
        <v>0</v>
      </c>
      <c r="RG31">
        <v>0</v>
      </c>
      <c r="RH31">
        <v>0</v>
      </c>
      <c r="RI31">
        <v>0</v>
      </c>
      <c r="RJ31">
        <v>0</v>
      </c>
      <c r="RK31">
        <v>0</v>
      </c>
      <c r="RL31">
        <v>0</v>
      </c>
      <c r="RM31">
        <v>0</v>
      </c>
      <c r="RN31">
        <v>0</v>
      </c>
      <c r="RO31">
        <v>0</v>
      </c>
      <c r="RP31">
        <v>0</v>
      </c>
      <c r="RQ31">
        <v>0</v>
      </c>
      <c r="RR31">
        <v>0</v>
      </c>
      <c r="RS31">
        <v>0</v>
      </c>
      <c r="RT31">
        <v>0</v>
      </c>
      <c r="RU31">
        <v>0</v>
      </c>
      <c r="RV31">
        <v>0</v>
      </c>
      <c r="RW31">
        <v>0</v>
      </c>
      <c r="RX31">
        <v>0</v>
      </c>
      <c r="RY31">
        <v>0</v>
      </c>
      <c r="RZ31">
        <v>0</v>
      </c>
      <c r="SA31">
        <v>0</v>
      </c>
      <c r="SB31">
        <v>0</v>
      </c>
      <c r="SC31">
        <v>0</v>
      </c>
      <c r="SD31">
        <v>0</v>
      </c>
      <c r="SE31">
        <v>0</v>
      </c>
      <c r="SF31">
        <v>0</v>
      </c>
      <c r="SG31">
        <v>0</v>
      </c>
      <c r="SH31">
        <v>0</v>
      </c>
      <c r="SI31">
        <v>0</v>
      </c>
      <c r="SJ31">
        <v>0</v>
      </c>
      <c r="SK31">
        <v>0</v>
      </c>
      <c r="SL31">
        <v>0</v>
      </c>
      <c r="SM31">
        <v>0</v>
      </c>
      <c r="SN31">
        <v>0</v>
      </c>
      <c r="SO31">
        <v>0</v>
      </c>
      <c r="SP31">
        <v>0</v>
      </c>
      <c r="SQ31">
        <v>0</v>
      </c>
      <c r="SR31">
        <v>0</v>
      </c>
      <c r="SS31">
        <v>0</v>
      </c>
      <c r="ST31">
        <v>0</v>
      </c>
      <c r="SU31">
        <v>0</v>
      </c>
      <c r="SV31">
        <v>0</v>
      </c>
      <c r="SW31">
        <v>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0</v>
      </c>
      <c r="TU31">
        <v>0</v>
      </c>
      <c r="TV31">
        <v>0</v>
      </c>
      <c r="TW31">
        <v>0</v>
      </c>
      <c r="TX31">
        <v>0</v>
      </c>
      <c r="TY31">
        <v>0</v>
      </c>
      <c r="TZ31">
        <v>0</v>
      </c>
      <c r="UA31">
        <v>0</v>
      </c>
      <c r="UB31">
        <v>0</v>
      </c>
      <c r="UC31">
        <v>0</v>
      </c>
      <c r="UD31">
        <v>0</v>
      </c>
      <c r="UE31">
        <v>0</v>
      </c>
      <c r="UF31">
        <v>0</v>
      </c>
      <c r="UG31">
        <v>0</v>
      </c>
      <c r="UH31">
        <v>0</v>
      </c>
      <c r="UI31">
        <v>0</v>
      </c>
      <c r="UJ31">
        <v>0</v>
      </c>
      <c r="UK31">
        <v>0</v>
      </c>
      <c r="UL31">
        <v>0</v>
      </c>
      <c r="UM31">
        <v>0</v>
      </c>
      <c r="UN31">
        <v>0</v>
      </c>
      <c r="UO31">
        <v>0</v>
      </c>
      <c r="UP31">
        <v>0</v>
      </c>
      <c r="UQ31">
        <v>0</v>
      </c>
      <c r="UR31">
        <v>0</v>
      </c>
      <c r="US31">
        <v>0</v>
      </c>
      <c r="UT31">
        <v>0</v>
      </c>
      <c r="UU31">
        <v>0</v>
      </c>
      <c r="UV31">
        <v>0</v>
      </c>
      <c r="UW31">
        <v>0</v>
      </c>
      <c r="UX31">
        <v>0</v>
      </c>
      <c r="UY31">
        <v>0</v>
      </c>
      <c r="UZ31">
        <v>0</v>
      </c>
      <c r="VA31">
        <v>0</v>
      </c>
      <c r="VB31">
        <v>0</v>
      </c>
      <c r="VC31">
        <v>0</v>
      </c>
      <c r="VD31">
        <v>0</v>
      </c>
      <c r="VE31">
        <v>0</v>
      </c>
      <c r="VF31">
        <v>0</v>
      </c>
      <c r="VG31">
        <v>0</v>
      </c>
      <c r="VH31">
        <v>0</v>
      </c>
      <c r="VI31">
        <v>0</v>
      </c>
      <c r="VJ31">
        <v>0</v>
      </c>
      <c r="VK31">
        <v>0</v>
      </c>
      <c r="VL31">
        <v>0</v>
      </c>
      <c r="VM31">
        <v>0</v>
      </c>
      <c r="VN31">
        <v>0</v>
      </c>
      <c r="VO31">
        <v>0</v>
      </c>
      <c r="VP31">
        <v>0</v>
      </c>
      <c r="VQ31">
        <v>0</v>
      </c>
      <c r="VR31">
        <v>0</v>
      </c>
      <c r="VS31">
        <v>0</v>
      </c>
      <c r="VT31">
        <v>0</v>
      </c>
      <c r="VU31">
        <v>0</v>
      </c>
      <c r="VV31">
        <v>0</v>
      </c>
      <c r="VW31">
        <v>0</v>
      </c>
      <c r="VX31">
        <v>0</v>
      </c>
      <c r="VY31">
        <v>0</v>
      </c>
      <c r="VZ31">
        <v>0</v>
      </c>
      <c r="WA31">
        <v>0</v>
      </c>
      <c r="WB31">
        <v>0</v>
      </c>
      <c r="WC31">
        <v>0</v>
      </c>
      <c r="WD31">
        <v>0</v>
      </c>
      <c r="WE31">
        <v>0</v>
      </c>
      <c r="WF31">
        <v>0</v>
      </c>
      <c r="WG31">
        <v>0</v>
      </c>
      <c r="WH31">
        <v>0</v>
      </c>
      <c r="WI31">
        <v>0</v>
      </c>
      <c r="WJ31">
        <v>0</v>
      </c>
      <c r="WK31">
        <v>0</v>
      </c>
      <c r="WL31">
        <v>0</v>
      </c>
      <c r="WM31">
        <v>0</v>
      </c>
      <c r="WN31">
        <v>0</v>
      </c>
      <c r="WO31">
        <v>0</v>
      </c>
      <c r="WP31">
        <v>0</v>
      </c>
      <c r="WQ31">
        <v>0</v>
      </c>
      <c r="WR31">
        <v>0</v>
      </c>
      <c r="WS31">
        <v>0</v>
      </c>
      <c r="WT31">
        <v>0</v>
      </c>
      <c r="WU31">
        <v>0</v>
      </c>
      <c r="WV31">
        <v>0</v>
      </c>
      <c r="WW31">
        <v>0</v>
      </c>
      <c r="WX31">
        <v>0</v>
      </c>
      <c r="WY31">
        <v>0</v>
      </c>
      <c r="WZ31">
        <v>0</v>
      </c>
      <c r="XA31">
        <v>0</v>
      </c>
      <c r="XB31">
        <v>0</v>
      </c>
      <c r="XC31">
        <v>0</v>
      </c>
      <c r="XD31">
        <v>0</v>
      </c>
      <c r="XE31">
        <v>0</v>
      </c>
      <c r="XF31">
        <v>0</v>
      </c>
      <c r="XG31">
        <v>0</v>
      </c>
      <c r="XH31">
        <v>0</v>
      </c>
      <c r="XI31">
        <v>0</v>
      </c>
      <c r="XJ31">
        <v>0</v>
      </c>
      <c r="XK31">
        <v>0</v>
      </c>
      <c r="XL31">
        <v>0</v>
      </c>
      <c r="XM31">
        <v>0</v>
      </c>
      <c r="XN31">
        <v>0</v>
      </c>
      <c r="XO31">
        <v>0</v>
      </c>
      <c r="XP31">
        <v>0</v>
      </c>
      <c r="XQ31">
        <v>0</v>
      </c>
      <c r="XR31">
        <v>0</v>
      </c>
      <c r="XS31">
        <v>0</v>
      </c>
      <c r="XT31">
        <v>0</v>
      </c>
      <c r="XU31">
        <v>0</v>
      </c>
      <c r="XV31">
        <v>0</v>
      </c>
      <c r="XW31">
        <v>0</v>
      </c>
      <c r="XX31">
        <v>0</v>
      </c>
      <c r="XY31">
        <v>0</v>
      </c>
      <c r="XZ31">
        <v>0</v>
      </c>
      <c r="YA31">
        <v>0</v>
      </c>
      <c r="YB31">
        <v>0</v>
      </c>
      <c r="YC31">
        <v>0</v>
      </c>
      <c r="YD31">
        <v>0</v>
      </c>
      <c r="YE31">
        <v>0</v>
      </c>
      <c r="YF31">
        <v>0</v>
      </c>
      <c r="YG31">
        <v>0</v>
      </c>
      <c r="YH31">
        <v>0</v>
      </c>
      <c r="YI31">
        <v>0</v>
      </c>
      <c r="YJ31">
        <v>0</v>
      </c>
      <c r="YK31">
        <v>0</v>
      </c>
      <c r="YL31">
        <v>0</v>
      </c>
      <c r="YM31">
        <v>0</v>
      </c>
      <c r="YN31">
        <v>0</v>
      </c>
      <c r="YO31">
        <v>0</v>
      </c>
      <c r="YP31">
        <v>0</v>
      </c>
      <c r="YQ31">
        <v>0</v>
      </c>
      <c r="YR31">
        <v>0</v>
      </c>
      <c r="YS31">
        <v>0</v>
      </c>
      <c r="YT31">
        <v>0</v>
      </c>
      <c r="YU31">
        <v>0</v>
      </c>
      <c r="YV31">
        <v>0</v>
      </c>
      <c r="YW31">
        <v>0</v>
      </c>
      <c r="YX31">
        <v>0</v>
      </c>
      <c r="YY31">
        <v>0</v>
      </c>
      <c r="YZ31">
        <v>0</v>
      </c>
      <c r="ZA31">
        <v>0</v>
      </c>
      <c r="ZB31">
        <v>0</v>
      </c>
      <c r="ZC31">
        <v>0</v>
      </c>
      <c r="ZD31">
        <v>0</v>
      </c>
      <c r="ZE31">
        <v>0</v>
      </c>
      <c r="ZF31">
        <v>0</v>
      </c>
      <c r="ZG31">
        <v>0</v>
      </c>
      <c r="ZH31">
        <v>0</v>
      </c>
      <c r="ZI31">
        <v>0</v>
      </c>
      <c r="ZJ31">
        <v>0</v>
      </c>
      <c r="ZK31">
        <v>0</v>
      </c>
      <c r="ZL31">
        <v>0</v>
      </c>
      <c r="ZM31">
        <v>0</v>
      </c>
      <c r="ZN31">
        <v>0</v>
      </c>
      <c r="ZO31">
        <v>0</v>
      </c>
      <c r="ZP31">
        <v>0</v>
      </c>
      <c r="ZQ31">
        <v>0</v>
      </c>
      <c r="ZR31">
        <v>0</v>
      </c>
      <c r="ZS31">
        <v>0</v>
      </c>
      <c r="ZT31">
        <v>0</v>
      </c>
      <c r="ZU31">
        <v>0</v>
      </c>
      <c r="ZV31">
        <v>0</v>
      </c>
      <c r="ZW31">
        <v>0</v>
      </c>
      <c r="ZX31">
        <v>0</v>
      </c>
      <c r="ZY31">
        <v>0</v>
      </c>
      <c r="ZZ31">
        <v>0</v>
      </c>
      <c r="AAA31">
        <v>0</v>
      </c>
      <c r="AAB31">
        <v>0</v>
      </c>
      <c r="AAC31">
        <v>0</v>
      </c>
      <c r="AAD31">
        <v>0</v>
      </c>
      <c r="AAE31">
        <v>0</v>
      </c>
      <c r="AAF31">
        <v>0</v>
      </c>
      <c r="AAG31">
        <v>0</v>
      </c>
      <c r="AAH31">
        <v>0</v>
      </c>
      <c r="AAI31">
        <v>0</v>
      </c>
      <c r="AAJ31">
        <v>0</v>
      </c>
      <c r="AAK31">
        <v>0</v>
      </c>
      <c r="AAL31">
        <v>0</v>
      </c>
      <c r="AAM31">
        <v>0</v>
      </c>
      <c r="AAN31">
        <v>0</v>
      </c>
      <c r="AAO31">
        <v>0</v>
      </c>
      <c r="AAP31">
        <v>0</v>
      </c>
      <c r="AAQ31">
        <v>0</v>
      </c>
      <c r="AAR31">
        <v>0</v>
      </c>
      <c r="AAS31">
        <v>0</v>
      </c>
      <c r="AAT31">
        <v>0</v>
      </c>
      <c r="AAU31">
        <v>0</v>
      </c>
      <c r="AAV31">
        <v>0</v>
      </c>
      <c r="AAW31">
        <v>0</v>
      </c>
      <c r="AAX31">
        <v>0</v>
      </c>
      <c r="AAY31">
        <v>0</v>
      </c>
      <c r="AAZ31">
        <v>0</v>
      </c>
      <c r="ABA31">
        <v>0</v>
      </c>
      <c r="ABB31">
        <v>0</v>
      </c>
      <c r="ABC31">
        <v>0</v>
      </c>
      <c r="ABD31">
        <v>0</v>
      </c>
      <c r="ABE31">
        <v>0</v>
      </c>
      <c r="ABF31">
        <v>0</v>
      </c>
      <c r="ABG31">
        <v>0</v>
      </c>
      <c r="ABH31">
        <v>0</v>
      </c>
      <c r="ABI31">
        <v>0</v>
      </c>
      <c r="ABJ31">
        <v>0</v>
      </c>
      <c r="ABK31">
        <v>0</v>
      </c>
      <c r="ABL31">
        <v>0</v>
      </c>
      <c r="ABM31">
        <v>0</v>
      </c>
      <c r="ABN31">
        <v>0</v>
      </c>
      <c r="ABO31">
        <v>0</v>
      </c>
      <c r="ABP31">
        <v>0</v>
      </c>
      <c r="ABQ31">
        <v>0</v>
      </c>
      <c r="ABR31">
        <v>0</v>
      </c>
      <c r="ABS31">
        <v>0</v>
      </c>
      <c r="ABT31">
        <v>0</v>
      </c>
      <c r="ABU31">
        <v>0</v>
      </c>
      <c r="ABV31">
        <v>0</v>
      </c>
      <c r="ABW31">
        <v>0</v>
      </c>
      <c r="ABX31">
        <v>0</v>
      </c>
      <c r="ABY31">
        <v>0</v>
      </c>
      <c r="ABZ31">
        <v>0</v>
      </c>
      <c r="ACA31">
        <v>0</v>
      </c>
      <c r="ACB31">
        <v>0</v>
      </c>
      <c r="ACC31">
        <v>0</v>
      </c>
      <c r="ACD31">
        <v>0</v>
      </c>
      <c r="ACE31">
        <v>0</v>
      </c>
      <c r="ACF31">
        <v>0</v>
      </c>
      <c r="ACG31">
        <v>0</v>
      </c>
      <c r="ACH31">
        <v>0</v>
      </c>
      <c r="ACI31">
        <v>0</v>
      </c>
      <c r="ACJ31">
        <v>0</v>
      </c>
      <c r="ACK31">
        <v>0</v>
      </c>
      <c r="ACL31">
        <v>0</v>
      </c>
      <c r="ACM31">
        <v>0</v>
      </c>
      <c r="ACN31">
        <v>0</v>
      </c>
      <c r="ACO31">
        <v>0</v>
      </c>
      <c r="ACP31">
        <v>0</v>
      </c>
      <c r="ACQ31">
        <v>0</v>
      </c>
      <c r="ACR31">
        <v>0</v>
      </c>
      <c r="ACS31">
        <v>0</v>
      </c>
      <c r="ACT31">
        <v>0</v>
      </c>
      <c r="ACU31">
        <v>0</v>
      </c>
      <c r="ACV31">
        <v>0</v>
      </c>
      <c r="ACW31">
        <v>0</v>
      </c>
      <c r="ACX31">
        <v>0</v>
      </c>
      <c r="ACY31">
        <v>0</v>
      </c>
      <c r="ACZ31">
        <v>0</v>
      </c>
      <c r="ADA31">
        <v>0</v>
      </c>
      <c r="ADB31">
        <v>0</v>
      </c>
      <c r="ADC31">
        <v>0</v>
      </c>
      <c r="ADD31">
        <v>0</v>
      </c>
      <c r="ADE31">
        <v>0</v>
      </c>
      <c r="ADF31">
        <v>0</v>
      </c>
      <c r="ADG31">
        <v>0</v>
      </c>
      <c r="ADH31">
        <v>0</v>
      </c>
      <c r="ADI31">
        <v>0</v>
      </c>
      <c r="ADJ31">
        <v>0</v>
      </c>
      <c r="ADK31">
        <v>0</v>
      </c>
      <c r="ADL31">
        <v>0</v>
      </c>
      <c r="ADM31">
        <v>0</v>
      </c>
      <c r="ADN31">
        <v>0</v>
      </c>
      <c r="ADO31">
        <v>0</v>
      </c>
      <c r="ADP31">
        <v>0</v>
      </c>
      <c r="ADQ31">
        <v>0</v>
      </c>
      <c r="ADR31">
        <v>0</v>
      </c>
      <c r="ADS31">
        <v>0</v>
      </c>
      <c r="ADT31">
        <v>0</v>
      </c>
      <c r="ADU31">
        <v>0</v>
      </c>
      <c r="ADV31">
        <v>0</v>
      </c>
      <c r="ADW31">
        <v>0</v>
      </c>
      <c r="ADX31">
        <v>0</v>
      </c>
      <c r="ADY31">
        <v>0</v>
      </c>
      <c r="ADZ31">
        <v>0</v>
      </c>
      <c r="AEA31">
        <v>0</v>
      </c>
      <c r="AEB31">
        <v>0</v>
      </c>
      <c r="AEC31">
        <v>0</v>
      </c>
      <c r="AED31">
        <v>0</v>
      </c>
      <c r="AEE31">
        <v>0</v>
      </c>
      <c r="AEF31">
        <v>0</v>
      </c>
      <c r="AEG31">
        <v>0</v>
      </c>
      <c r="AEH31">
        <v>0</v>
      </c>
      <c r="AEI31">
        <v>0</v>
      </c>
      <c r="AEJ31">
        <v>0</v>
      </c>
      <c r="AEK31">
        <v>0</v>
      </c>
      <c r="AEL31">
        <v>0</v>
      </c>
      <c r="AEM31">
        <v>0</v>
      </c>
      <c r="AEN31">
        <v>0</v>
      </c>
      <c r="AEO31">
        <v>0</v>
      </c>
      <c r="AEP31">
        <v>0</v>
      </c>
      <c r="AEQ31">
        <v>0</v>
      </c>
      <c r="AER31">
        <v>0</v>
      </c>
      <c r="AES31">
        <v>0</v>
      </c>
      <c r="AET31">
        <v>0</v>
      </c>
      <c r="AEU31">
        <v>0</v>
      </c>
      <c r="AEV31">
        <v>0</v>
      </c>
      <c r="AEW31">
        <v>0</v>
      </c>
      <c r="AEX31">
        <v>0</v>
      </c>
      <c r="AEY31">
        <v>0</v>
      </c>
      <c r="AEZ31">
        <v>0</v>
      </c>
      <c r="AFA31">
        <v>0</v>
      </c>
      <c r="AFB31">
        <v>0</v>
      </c>
      <c r="AFC31">
        <v>0</v>
      </c>
      <c r="AFD31">
        <v>0</v>
      </c>
      <c r="AFE31">
        <v>0</v>
      </c>
      <c r="AFF31">
        <v>0</v>
      </c>
      <c r="AFG31">
        <v>0</v>
      </c>
      <c r="AFH31">
        <v>0</v>
      </c>
      <c r="AFI31">
        <v>0</v>
      </c>
      <c r="AFJ31">
        <v>0</v>
      </c>
      <c r="AFK31">
        <v>0</v>
      </c>
      <c r="AFL31">
        <v>0</v>
      </c>
      <c r="AFM31">
        <v>0</v>
      </c>
      <c r="AFN31">
        <v>0</v>
      </c>
      <c r="AFO31">
        <v>0</v>
      </c>
      <c r="AFP31">
        <v>0</v>
      </c>
      <c r="AFQ31">
        <v>0</v>
      </c>
      <c r="AFR31">
        <v>0</v>
      </c>
      <c r="AFS31">
        <v>0</v>
      </c>
      <c r="AFT31">
        <v>0</v>
      </c>
      <c r="AFU31">
        <v>0</v>
      </c>
      <c r="AFV31">
        <v>0</v>
      </c>
      <c r="AFW31">
        <v>0</v>
      </c>
      <c r="AFX31">
        <v>0</v>
      </c>
      <c r="AFY31">
        <v>0</v>
      </c>
      <c r="AFZ31">
        <v>0</v>
      </c>
      <c r="AGA31">
        <v>0</v>
      </c>
      <c r="AGB31">
        <v>0</v>
      </c>
      <c r="AGC31">
        <v>0</v>
      </c>
      <c r="AGD31">
        <v>0</v>
      </c>
      <c r="AGE31">
        <v>0</v>
      </c>
      <c r="AGF31">
        <v>0</v>
      </c>
      <c r="AGG31">
        <v>0</v>
      </c>
      <c r="AGH31">
        <v>0</v>
      </c>
      <c r="AGI31">
        <v>0</v>
      </c>
      <c r="AGJ31">
        <v>0</v>
      </c>
      <c r="AGK31">
        <v>0</v>
      </c>
      <c r="AGL31">
        <v>0</v>
      </c>
      <c r="AGM31">
        <v>0</v>
      </c>
      <c r="AGN31">
        <v>0</v>
      </c>
      <c r="AGO31">
        <v>0</v>
      </c>
      <c r="AGP31">
        <v>0</v>
      </c>
      <c r="AGQ31">
        <v>0</v>
      </c>
      <c r="AGR31">
        <v>0</v>
      </c>
      <c r="AGS31">
        <v>0</v>
      </c>
      <c r="AGT31">
        <v>0</v>
      </c>
      <c r="AGU31">
        <v>0</v>
      </c>
      <c r="AGV31">
        <v>0</v>
      </c>
      <c r="AGW31">
        <v>0</v>
      </c>
      <c r="AGX31">
        <v>0</v>
      </c>
      <c r="AGY31">
        <v>0</v>
      </c>
      <c r="AGZ31">
        <v>0</v>
      </c>
      <c r="AHA31">
        <v>0</v>
      </c>
      <c r="AHB31">
        <v>0</v>
      </c>
      <c r="AHC31">
        <v>0</v>
      </c>
      <c r="AHD31">
        <v>0</v>
      </c>
      <c r="AHE31">
        <v>0</v>
      </c>
      <c r="AHF31">
        <v>0</v>
      </c>
      <c r="AHG31">
        <v>0</v>
      </c>
      <c r="AHH31">
        <v>0</v>
      </c>
      <c r="AHI31">
        <v>0</v>
      </c>
      <c r="AHJ31">
        <v>0</v>
      </c>
      <c r="AHK31">
        <v>0</v>
      </c>
      <c r="AHL31">
        <v>0</v>
      </c>
      <c r="AHM31">
        <v>0</v>
      </c>
      <c r="AHN31">
        <v>0</v>
      </c>
      <c r="AHO31">
        <v>0</v>
      </c>
      <c r="AHP31">
        <v>0</v>
      </c>
      <c r="AHQ31">
        <v>0</v>
      </c>
      <c r="AHR31">
        <v>0</v>
      </c>
      <c r="AHS31">
        <v>0</v>
      </c>
      <c r="AHT31">
        <v>0</v>
      </c>
      <c r="AHU31">
        <v>0</v>
      </c>
      <c r="AHV31">
        <v>0</v>
      </c>
      <c r="AHW31">
        <v>0</v>
      </c>
      <c r="AHX31">
        <v>0</v>
      </c>
      <c r="AHY31">
        <v>0</v>
      </c>
      <c r="AHZ31">
        <v>0</v>
      </c>
      <c r="AIA31">
        <v>0</v>
      </c>
      <c r="AIB31">
        <v>0</v>
      </c>
      <c r="AIC31">
        <v>0</v>
      </c>
      <c r="AID31">
        <v>0</v>
      </c>
      <c r="AIE31">
        <v>0</v>
      </c>
      <c r="AIF31">
        <v>0</v>
      </c>
      <c r="AIG31">
        <v>0</v>
      </c>
      <c r="AIH31">
        <v>0</v>
      </c>
      <c r="AII31">
        <v>0</v>
      </c>
      <c r="AIJ31">
        <v>0</v>
      </c>
      <c r="AIK31">
        <v>0</v>
      </c>
      <c r="AIL31">
        <v>0</v>
      </c>
      <c r="AIM31">
        <v>0</v>
      </c>
      <c r="AIN31">
        <v>0</v>
      </c>
      <c r="AIO31">
        <v>0</v>
      </c>
      <c r="AIP31">
        <v>0</v>
      </c>
      <c r="AIQ31">
        <v>0</v>
      </c>
      <c r="AIR31">
        <v>0</v>
      </c>
      <c r="AIS31">
        <v>0</v>
      </c>
      <c r="AIT31">
        <v>0</v>
      </c>
      <c r="AIU31">
        <v>0</v>
      </c>
      <c r="AIV31">
        <v>0</v>
      </c>
      <c r="AIW31">
        <v>0</v>
      </c>
      <c r="AIX31">
        <v>0</v>
      </c>
      <c r="AIY31">
        <v>0</v>
      </c>
      <c r="AIZ31">
        <v>0</v>
      </c>
      <c r="AJA31">
        <v>0</v>
      </c>
      <c r="AJB31">
        <v>0</v>
      </c>
      <c r="AJC31">
        <v>0</v>
      </c>
      <c r="AJD31">
        <v>0</v>
      </c>
      <c r="AJE31">
        <v>0</v>
      </c>
      <c r="AJF31">
        <v>0</v>
      </c>
      <c r="AJG31">
        <v>0</v>
      </c>
      <c r="AJH31">
        <v>0</v>
      </c>
      <c r="AJI31">
        <v>0</v>
      </c>
      <c r="AJJ31">
        <v>0</v>
      </c>
      <c r="AJK31">
        <v>0</v>
      </c>
      <c r="AJL31">
        <v>0</v>
      </c>
      <c r="AJM31">
        <v>0</v>
      </c>
      <c r="AJN31">
        <v>0</v>
      </c>
      <c r="AJO31">
        <v>0</v>
      </c>
      <c r="AJP31">
        <v>0</v>
      </c>
      <c r="AJQ31">
        <v>0</v>
      </c>
      <c r="AJR31">
        <v>0</v>
      </c>
      <c r="AJS31">
        <v>0</v>
      </c>
      <c r="AJT31">
        <v>0</v>
      </c>
      <c r="AJU31">
        <v>0</v>
      </c>
      <c r="AJV31">
        <v>0</v>
      </c>
      <c r="AJW31">
        <v>0</v>
      </c>
      <c r="AJX31">
        <v>0</v>
      </c>
      <c r="AJY31">
        <v>0</v>
      </c>
      <c r="AJZ31">
        <v>0</v>
      </c>
      <c r="AKA31">
        <v>0</v>
      </c>
      <c r="AKB31">
        <v>0</v>
      </c>
      <c r="AKC31">
        <v>0</v>
      </c>
      <c r="AKD31">
        <v>0</v>
      </c>
      <c r="AKE31">
        <v>0</v>
      </c>
      <c r="AKF31">
        <v>0</v>
      </c>
      <c r="AKG31">
        <v>0</v>
      </c>
      <c r="AKH31">
        <v>0</v>
      </c>
      <c r="AKI31">
        <v>0</v>
      </c>
      <c r="AKJ31">
        <v>0</v>
      </c>
      <c r="AKK31">
        <v>0</v>
      </c>
      <c r="AKL31">
        <v>0</v>
      </c>
      <c r="AKM31">
        <v>0</v>
      </c>
      <c r="AKN31">
        <v>0</v>
      </c>
      <c r="AKO31">
        <v>0</v>
      </c>
      <c r="AKP31">
        <v>0</v>
      </c>
      <c r="AKQ31">
        <v>0</v>
      </c>
      <c r="AKR31">
        <v>0</v>
      </c>
      <c r="AKS31">
        <v>0</v>
      </c>
      <c r="AKT31">
        <v>0</v>
      </c>
      <c r="AKU31">
        <v>0</v>
      </c>
      <c r="AKV31">
        <v>0</v>
      </c>
      <c r="AKW31">
        <v>0</v>
      </c>
      <c r="AKX31">
        <v>0</v>
      </c>
      <c r="AKY31">
        <v>0</v>
      </c>
      <c r="AKZ31">
        <v>0</v>
      </c>
      <c r="ALA31">
        <v>0</v>
      </c>
      <c r="ALB31">
        <v>0</v>
      </c>
      <c r="ALC31">
        <v>0</v>
      </c>
      <c r="ALD31">
        <v>0</v>
      </c>
      <c r="ALE31">
        <v>0</v>
      </c>
      <c r="ALF31">
        <v>0</v>
      </c>
      <c r="ALG31">
        <v>0</v>
      </c>
      <c r="ALH31">
        <v>0</v>
      </c>
      <c r="ALI31">
        <v>0</v>
      </c>
      <c r="ALJ31">
        <v>0</v>
      </c>
      <c r="ALK31">
        <v>0</v>
      </c>
      <c r="ALL31">
        <v>0</v>
      </c>
      <c r="ALM31">
        <v>0</v>
      </c>
      <c r="ALN31">
        <v>0</v>
      </c>
      <c r="ALO31">
        <v>0</v>
      </c>
      <c r="ALP31">
        <v>0</v>
      </c>
      <c r="ALQ31">
        <v>0</v>
      </c>
    </row>
    <row r="32" spans="1:1005" ht="28">
      <c r="A32" s="351" t="s">
        <v>949</v>
      </c>
      <c r="B32" s="352" t="s">
        <v>43</v>
      </c>
      <c r="C32" s="357" t="s">
        <v>80</v>
      </c>
      <c r="D32" s="352" t="s">
        <v>273</v>
      </c>
      <c r="E32" s="358" t="s">
        <v>988</v>
      </c>
      <c r="F32" s="93" t="str">
        <f t="array" ref="F32:ALQ32" ca="1">TRANSPOSE(Filtered!AC2:AC1005)</f>
        <v>https://journals.lww.com/academicmedicine/Documents/ReviewerFAQs_Sept2012_v1.pdf</v>
      </c>
      <c r="G32" t="str">
        <f ca="1"/>
        <v/>
      </c>
      <c r="H32" t="str">
        <f ca="1"/>
        <v/>
      </c>
      <c r="I32" t="str">
        <f ca="1"/>
        <v/>
      </c>
      <c r="J32" s="93" t="str">
        <f ca="1"/>
        <v>https://aom.org/Publications/AMR/Frequently-Asked-Questions.aspx#amrR7</v>
      </c>
      <c r="K32" t="str">
        <f ca="1"/>
        <v/>
      </c>
      <c r="L32" t="str">
        <f ca="1"/>
        <v/>
      </c>
      <c r="M32" t="str">
        <f ca="1"/>
        <v/>
      </c>
      <c r="N32" t="str">
        <f ca="1"/>
        <v/>
      </c>
      <c r="O32" s="93" t="str">
        <f ca="1"/>
        <v>https://www.aeaweb.org/content/file?id=222</v>
      </c>
      <c r="P32" s="93" t="str">
        <f ca="1"/>
        <v>https://ajps.org/ajps-reviewer-instructions/</v>
      </c>
      <c r="Q32" s="93" t="str">
        <f ca="1"/>
        <v>https://ajph.aphapublications.org/page/authors.html</v>
      </c>
      <c r="R32" t="str">
        <f ca="1"/>
        <v/>
      </c>
      <c r="S32" s="93" t="str">
        <f ca="1"/>
        <v>https://uk.sagepub.com/en-gb/eur/how-to-review-articles</v>
      </c>
      <c r="T32" t="str">
        <f ca="1"/>
        <v/>
      </c>
      <c r="U32" s="93" t="str">
        <f ca="1"/>
        <v>http://annals.org/aim/pages/authors</v>
      </c>
      <c r="V32" t="str">
        <f ca="1"/>
        <v/>
      </c>
      <c r="W32" s="93" t="str">
        <f ca="1"/>
        <v>https://authors.bmj.com/policies/peer-review-terms-and-conditions/</v>
      </c>
      <c r="X32" t="str">
        <f ca="1"/>
        <v/>
      </c>
      <c r="Y32" t="str">
        <f ca="1"/>
        <v/>
      </c>
      <c r="Z32" s="93" t="str">
        <f ca="1"/>
        <v>https://academic.oup.com/journals/pages/authors/ethics</v>
      </c>
      <c r="AA32" t="str">
        <f ca="1"/>
        <v/>
      </c>
      <c r="AB32" t="str">
        <f ca="1"/>
        <v/>
      </c>
      <c r="AC32" s="93" t="str">
        <f ca="1"/>
        <v>https://www.elsevier.com/reviewers/how-to-review</v>
      </c>
      <c r="AD32" s="93" t="str">
        <f ca="1"/>
        <v>http://www.bloodjournal.org/page/authors/author-guide/peer-review</v>
      </c>
      <c r="AE32" s="93" t="str">
        <f ca="1"/>
        <v>https://www.bmj.com/about-bmj/resources-reviewers</v>
      </c>
      <c r="AF32" s="93" t="str">
        <f ca="1"/>
        <v>https://www.cell.com/reviewers</v>
      </c>
      <c r="AG32" t="str">
        <f ca="1"/>
        <v>Not found</v>
      </c>
      <c r="AH32" s="93" t="str">
        <f ca="1"/>
        <v>https://www.cell.com/reviewers</v>
      </c>
      <c r="AI32" s="93" t="str">
        <f ca="1"/>
        <v>https://www.cell.com/reviewers</v>
      </c>
      <c r="AJ32" s="93" t="str">
        <f ca="1"/>
        <v>https://www.cell.com/reviewers</v>
      </c>
      <c r="AK32" t="str">
        <f ca="1"/>
        <v>Not found</v>
      </c>
      <c r="AL32" t="str">
        <f ca="1"/>
        <v>Not found</v>
      </c>
      <c r="AM32" s="93" t="str">
        <f ca="1"/>
        <v>https://www.rsc.org/journals-books-databases/journal-authors-reviewers/reviewer-responsibilities/#ethical-responsibilities</v>
      </c>
      <c r="AN32" t="str">
        <f ca="1"/>
        <v/>
      </c>
      <c r="AO32" t="str">
        <f ca="1"/>
        <v/>
      </c>
      <c r="AP32" s="93" t="str">
        <f ca="1"/>
        <v>https://www.ahajournals.org/pb-assets/Ethical%20ConductPolicyApril2017finalWeb.pdf</v>
      </c>
      <c r="AQ32" s="93" t="str">
        <f ca="1"/>
        <v>https://ccr.msubmit.net/cgi-bin/main.plex?form_type=display_rev_instructions</v>
      </c>
      <c r="AR32" t="str">
        <f ca="1"/>
        <v/>
      </c>
      <c r="AS32" s="93" t="str">
        <f ca="1"/>
        <v>http://www.diabetesjournals.org/for-reviewers</v>
      </c>
      <c r="AT32" t="str">
        <f ca="1"/>
        <v/>
      </c>
      <c r="AU32" t="str">
        <f ca="1"/>
        <v/>
      </c>
      <c r="AV32" t="str">
        <f ca="1"/>
        <v/>
      </c>
      <c r="AW32" t="str">
        <f ca="1"/>
        <v/>
      </c>
      <c r="AX32" t="str">
        <f ca="1"/>
        <v/>
      </c>
      <c r="AY32" t="str">
        <f ca="1"/>
        <v/>
      </c>
      <c r="AZ32" s="93" t="str">
        <f ca="1"/>
        <v>https://www.gastrojournal.org/content/authorinfo</v>
      </c>
      <c r="BA32" t="str">
        <f ca="1"/>
        <v/>
      </c>
      <c r="BB32" s="93" t="str">
        <f ca="1"/>
        <v>https://publications.agu.org/reviewer-resources/</v>
      </c>
      <c r="BC32" s="93" t="str">
        <f ca="1"/>
        <v>https://www.elsevier.com/reviewers/how-to-review</v>
      </c>
      <c r="BD32" s="93" t="str">
        <f ca="1"/>
        <v>https://www.elsevier.com/reviewers/how-to-review</v>
      </c>
      <c r="BE32" s="93" t="str">
        <f ca="1"/>
        <v>https://authors.bmj.com/policies/peer-review-terms-and-conditions/</v>
      </c>
      <c r="BF32" s="93" t="str">
        <f ca="1"/>
        <v>https://www.healthaffairs.org/help-for-reviewers</v>
      </c>
      <c r="BG32" t="str">
        <f ca="1"/>
        <v/>
      </c>
      <c r="BH32" t="str">
        <f ca="1"/>
        <v/>
      </c>
      <c r="BI32" t="str">
        <f ca="1"/>
        <v/>
      </c>
      <c r="BJ32" s="93" t="str">
        <f ca="1"/>
        <v>http://cvpr2019.thecvf.com/submission/main_conference/reviewer_guidelines</v>
      </c>
      <c r="BK32" s="93" t="str">
        <f ca="1"/>
        <v>http://iccv2019.thecvf.com/submission/main_conference/reviewer_guidelines</v>
      </c>
      <c r="BL32" t="str">
        <f ca="1"/>
        <v/>
      </c>
      <c r="BM32" t="str">
        <f ca="1"/>
        <v/>
      </c>
      <c r="BN32" t="str">
        <f ca="1"/>
        <v/>
      </c>
      <c r="BO32" t="str">
        <f ca="1"/>
        <v/>
      </c>
      <c r="BP32" s="93" t="str">
        <f ca="1"/>
        <v>https://signalprocessingsociety.org/publications-resources/publications-faq</v>
      </c>
      <c r="BQ32" t="str">
        <f ca="1"/>
        <v/>
      </c>
      <c r="BR32" t="str">
        <f ca="1"/>
        <v/>
      </c>
      <c r="BS32" s="93" t="str">
        <f ca="1"/>
        <v>https://www.elsevier.com/reviewers/how-to-review</v>
      </c>
      <c r="BT32" t="str">
        <f ca="1"/>
        <v/>
      </c>
      <c r="BU32" t="str">
        <f ca="1"/>
        <v/>
      </c>
      <c r="BV32" s="93" t="str">
        <f ca="1"/>
        <v>https://www.elsevier.com/reviewers/how-to-review</v>
      </c>
      <c r="BW32" t="str">
        <f ca="1"/>
        <v/>
      </c>
      <c r="BX32" s="93" t="str">
        <f ca="1"/>
        <v>https://www.elsevier.com/reviewers/how-to-review</v>
      </c>
      <c r="BY32" s="93" t="str">
        <f ca="1"/>
        <v>https://www.elsevier.com/reviewers/how-to-review</v>
      </c>
      <c r="BZ32" t="str">
        <f ca="1"/>
        <v/>
      </c>
      <c r="CA32" t="str">
        <f ca="1"/>
        <v/>
      </c>
      <c r="CB32" s="93" t="str">
        <f ca="1"/>
        <v>https://publishingsupport.iopscience.iop.org/questions/ethics-for-reviewers/</v>
      </c>
      <c r="CC32" t="str">
        <f ca="1"/>
        <v/>
      </c>
      <c r="CD32" s="93" t="str">
        <f ca="1"/>
        <v>https://www.apa.org/pubs/journals/reviewer-instructions.pdf</v>
      </c>
      <c r="CE32" s="93" t="str">
        <f ca="1"/>
        <v>https://www.elsevier.com/reviewers/how-to-review</v>
      </c>
      <c r="CF32" t="str">
        <f ca="1"/>
        <v/>
      </c>
      <c r="CG32" t="str">
        <f ca="1"/>
        <v/>
      </c>
      <c r="CH32" t="str">
        <f ca="1"/>
        <v/>
      </c>
      <c r="CI32" s="93" t="str">
        <f ca="1"/>
        <v>https://us.sagepub.com/en-us/nam/how-to-review-articles</v>
      </c>
      <c r="CJ32" s="93" t="str">
        <f ca="1"/>
        <v>http://www.rsc.org/journals-books-databases/journal-authors-reviewers/reviewer-responsibilities/#review-procedure</v>
      </c>
      <c r="CK32" t="str">
        <f ca="1"/>
        <v/>
      </c>
      <c r="CL32" t="str">
        <f ca="1"/>
        <v/>
      </c>
      <c r="CM32" t="str">
        <f ca="1"/>
        <v/>
      </c>
      <c r="CN32" t="str">
        <f ca="1"/>
        <v/>
      </c>
      <c r="CO32" s="93" t="str">
        <f ca="1"/>
        <v>https://us.sagepub.com/en-us/nam/how-to-review-articles</v>
      </c>
      <c r="CP32" t="str">
        <f ca="1"/>
        <v/>
      </c>
      <c r="CQ32" t="str">
        <f ca="1"/>
        <v/>
      </c>
      <c r="CR32" t="str">
        <f ca="1"/>
        <v/>
      </c>
      <c r="CS32" t="str">
        <f ca="1"/>
        <v/>
      </c>
      <c r="CT32" s="93" t="str">
        <f ca="1"/>
        <v>https://www.elsevier.com/reviewers/how-to-review</v>
      </c>
      <c r="CU32" t="str">
        <f ca="1"/>
        <v/>
      </c>
      <c r="CV32" t="str">
        <f ca="1"/>
        <v/>
      </c>
      <c r="CW32" t="str">
        <f ca="1"/>
        <v/>
      </c>
      <c r="CX32" t="str">
        <f ca="1"/>
        <v/>
      </c>
      <c r="CY32" t="str">
        <f ca="1"/>
        <v/>
      </c>
      <c r="CZ32" s="93" t="str">
        <f ca="1"/>
        <v>https://pubs.acs.org/userimages/ContentEditor/1218054468605/ethics.pdf</v>
      </c>
      <c r="DA32" s="93" t="str">
        <f ca="1"/>
        <v>https://www.rsc.org/journals-books-databases/journal-authors-reviewers/reviewer-responsibilities/#ethical-responsibilities</v>
      </c>
      <c r="DB32" s="93" t="str">
        <f ca="1"/>
        <v>https://www.nature.com/nature/for-referees/policies-and-processes</v>
      </c>
      <c r="DC32" s="93" t="str">
        <f ca="1"/>
        <v>https://www.nature.com/nbt/for-referees/policies-and-processes</v>
      </c>
      <c r="DD32" s="93" t="str">
        <f ca="1"/>
        <v>https://www.nature.com/ncb/for-referees/policies-and-processes</v>
      </c>
      <c r="DE32" s="93" t="str">
        <f ca="1"/>
        <v>https://www.nature.com/nchem/for-referees/policies-and-processes</v>
      </c>
      <c r="DF32" s="93" t="str">
        <f ca="1"/>
        <v>https://www.nature.com/nclimate/for-referees/policies-and-processes</v>
      </c>
      <c r="DG32" s="93" t="str">
        <f ca="1"/>
        <v>https://www.nature.com/ncomms/journal-policies/guide-to-referees</v>
      </c>
      <c r="DH32" s="93" t="str">
        <f ca="1"/>
        <v>https://www.nature.com/ng/for-referees/policies-and-processes</v>
      </c>
      <c r="DI32" s="93" t="str">
        <f ca="1"/>
        <v>https://www.nature.com/ni/for-referees/policies-and-processes</v>
      </c>
      <c r="DJ32" s="93" t="str">
        <f ca="1"/>
        <v>https://www.nature.com/nmat/for-referees/policies-and-processes</v>
      </c>
      <c r="DK32" s="93" t="str">
        <f ca="1"/>
        <v>https://www.nature.com/nm/for-referees/policies-and-processes</v>
      </c>
      <c r="DL32" s="93" t="str">
        <f ca="1"/>
        <v>https://www.nature.com/nmeth/for-referees/policies-and-processes</v>
      </c>
      <c r="DM32" s="93" t="str">
        <f ca="1"/>
        <v>https://www.nature.com/nnano/for-referees/policies-and-processes</v>
      </c>
      <c r="DN32" s="93" t="str">
        <f ca="1"/>
        <v>https://www.nature.com/neuro/for-referees/policies-and-processes</v>
      </c>
      <c r="DO32" s="93" t="str">
        <f ca="1"/>
        <v>https://www.nature.com/nphoton/for-referees/policies-and-processes</v>
      </c>
      <c r="DP32" s="93" t="str">
        <f ca="1"/>
        <v>https://www.nature.com/nphys/for-referees/policies-and-processes</v>
      </c>
      <c r="DQ32" s="93" t="str">
        <f ca="1"/>
        <v>https://www.nature.com/nrc/for-referees</v>
      </c>
      <c r="DR32" s="93" t="str">
        <f ca="1"/>
        <v>https://www.nature.com/nrg/for-referees</v>
      </c>
      <c r="DS32" s="93" t="str">
        <f ca="1"/>
        <v>https://www.nature.com/nrc/for-referees</v>
      </c>
      <c r="DT32" s="93" t="str">
        <f ca="1"/>
        <v>https://www.nature.com/nrg/for-referees</v>
      </c>
      <c r="DU32" s="93" t="str">
        <f ca="1"/>
        <v>https://www.nature.com/nrg/for-referees</v>
      </c>
      <c r="DV32" s="93" t="str">
        <f ca="1"/>
        <v>https://www.nature.com/nrg/for-referees</v>
      </c>
      <c r="DW32" t="str">
        <f ca="1"/>
        <v/>
      </c>
      <c r="DX32" s="93" t="str">
        <f ca="1"/>
        <v>https://www.elsevier.com/reviewers/how-to-review</v>
      </c>
      <c r="DY32" s="93" t="str">
        <f ca="1"/>
        <v>https://www.cell.com/reviewers</v>
      </c>
      <c r="DZ32" t="str">
        <f ca="1"/>
        <v/>
      </c>
      <c r="EA32" s="93" t="str">
        <f ca="1"/>
        <v>https://authorservices.wiley.com/Reviewers/journal-reviewers/how-to-perform-a-peer-review/general-and-ethical-guidelines.html</v>
      </c>
      <c r="EB32" t="str">
        <f ca="1"/>
        <v/>
      </c>
      <c r="EC32" t="str">
        <f ca="1"/>
        <v/>
      </c>
      <c r="ED32" s="93" t="str">
        <f ca="1"/>
        <v>https://www.osapublishing.org/submit/review/peer_review.cfm#overview</v>
      </c>
      <c r="EE32" s="93" t="str">
        <f ca="1"/>
        <v>http://www.aappublications.org/content/pediatrics-reviewer-guidelines</v>
      </c>
      <c r="EF32" t="str">
        <f ca="1"/>
        <v/>
      </c>
      <c r="EG32" s="93" t="str">
        <f ca="1"/>
        <v>https://journals.aps.org/prb/authors/editorial-policies-practices#anonymity</v>
      </c>
      <c r="EH32" s="93" t="str">
        <f ca="1"/>
        <v>https://journals.aps.org/prd/authors/editorial-policies-practices#anonymity</v>
      </c>
      <c r="EI32" s="93" t="str">
        <f ca="1"/>
        <v>https://journals.aps.org/prl/authors/editorial-policies-practices#anonymity</v>
      </c>
      <c r="EJ32" s="93" t="str">
        <f ca="1"/>
        <v>https://journals.aps.org/prx/authors/editorial-policies-practices</v>
      </c>
      <c r="EK32" t="str">
        <f ca="1"/>
        <v/>
      </c>
      <c r="EL32" s="93" t="str">
        <f ca="1"/>
        <v>https://journals.plos.org/plosone/s/reviewer-guidelines</v>
      </c>
      <c r="EM32" s="93" t="str">
        <f ca="1"/>
        <v>https://www.pnas.org/page/authors/reviewers</v>
      </c>
      <c r="EN32" s="93" t="str">
        <f ca="1"/>
        <v>https://uk.sagepub.com/en-gb/eur/how-to-review-articles</v>
      </c>
      <c r="EO32" t="str">
        <f ca="1"/>
        <v/>
      </c>
      <c r="EP32" t="str">
        <f ca="1"/>
        <v/>
      </c>
      <c r="EQ32" s="93" t="str">
        <f ca="1"/>
        <v>https://www.elsevier.com/reviewers/how-to-review</v>
      </c>
      <c r="ER32" s="93" t="str">
        <f ca="1"/>
        <v>https://www.elsevier.com/reviewers/how-to-review</v>
      </c>
      <c r="ES32" t="str">
        <f ca="1"/>
        <v/>
      </c>
      <c r="ET32" s="93" t="str">
        <f ca="1"/>
        <v>https://journals.aps.org/rmp/info/procedures.html</v>
      </c>
      <c r="EU32" s="93" t="str">
        <f ca="1"/>
        <v>https://www.sciencemag.org/authors/peer-review-science-publications</v>
      </c>
      <c r="EV32" s="93" t="str">
        <f ca="1"/>
        <v>https://stm.sciencemag.org/content/information-reviewers</v>
      </c>
      <c r="EW32" s="93" t="str">
        <f ca="1"/>
        <v>https://www.nature.com/srep/journal-policies/referees#confidentiality</v>
      </c>
      <c r="EX32" t="str">
        <f ca="1"/>
        <v/>
      </c>
      <c r="EY32" s="93" t="str">
        <f ca="1"/>
        <v>https://authorservices.wiley.com/Reviewers/journal-reviewers/how-to-perform-a-peer-review/general-and-ethical-guidelines.html</v>
      </c>
      <c r="EZ32" t="str">
        <f ca="1"/>
        <v/>
      </c>
      <c r="FA32" t="str">
        <f ca="1"/>
        <v/>
      </c>
      <c r="FB32" t="str">
        <f ca="1"/>
        <v/>
      </c>
      <c r="FC32" t="str">
        <f ca="1"/>
        <v/>
      </c>
      <c r="FD32" t="str">
        <f ca="1"/>
        <v/>
      </c>
      <c r="FE32" t="str">
        <f ca="1"/>
        <v/>
      </c>
      <c r="FF32" t="str">
        <f ca="1"/>
        <v/>
      </c>
      <c r="FG32" t="str">
        <f ca="1"/>
        <v/>
      </c>
      <c r="FH32" s="93" t="str">
        <f ca="1"/>
        <v>https://www.jci.org/kiosks/authors#Editorial_Policies</v>
      </c>
      <c r="FI32" s="93" t="str">
        <f ca="1"/>
        <v>https://authorservices.wiley.com/Reviewers/journal-reviewers/how-to-perform-a-peer-review/general-and-ethical-guidelines.html</v>
      </c>
      <c r="FJ32" t="str">
        <f ca="1"/>
        <v/>
      </c>
      <c r="FK32" t="str">
        <f ca="1"/>
        <v/>
      </c>
      <c r="FL32" t="str">
        <f ca="1"/>
        <v/>
      </c>
      <c r="FM32" t="str">
        <f ca="1"/>
        <v/>
      </c>
      <c r="FN32" t="str">
        <f ca="1"/>
        <v/>
      </c>
      <c r="FO32" t="str">
        <f ca="1"/>
        <v/>
      </c>
      <c r="FP32" t="str">
        <f ca="1"/>
        <v/>
      </c>
      <c r="FQ32" t="str">
        <f ca="1"/>
        <v/>
      </c>
      <c r="FR32" t="str">
        <f ca="1"/>
        <v/>
      </c>
      <c r="FS32" s="93" t="str">
        <f ca="1"/>
        <v>https://www.elsevier.com/reviewers/how-to-review</v>
      </c>
      <c r="FT32" s="93" t="str">
        <f ca="1"/>
        <v>https://www.elsevier.com/reviewers/how-to-review</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0</v>
      </c>
      <c r="PT32">
        <v>0</v>
      </c>
      <c r="PU32">
        <v>0</v>
      </c>
      <c r="PV32">
        <v>0</v>
      </c>
      <c r="PW32">
        <v>0</v>
      </c>
      <c r="PX32">
        <v>0</v>
      </c>
      <c r="PY32">
        <v>0</v>
      </c>
      <c r="PZ32">
        <v>0</v>
      </c>
      <c r="QA32">
        <v>0</v>
      </c>
      <c r="QB32">
        <v>0</v>
      </c>
      <c r="QC32">
        <v>0</v>
      </c>
      <c r="QD32">
        <v>0</v>
      </c>
      <c r="QE32">
        <v>0</v>
      </c>
      <c r="QF32">
        <v>0</v>
      </c>
      <c r="QG32">
        <v>0</v>
      </c>
      <c r="QH32">
        <v>0</v>
      </c>
      <c r="QI32">
        <v>0</v>
      </c>
      <c r="QJ32">
        <v>0</v>
      </c>
      <c r="QK32">
        <v>0</v>
      </c>
      <c r="QL32">
        <v>0</v>
      </c>
      <c r="QM32">
        <v>0</v>
      </c>
      <c r="QN32">
        <v>0</v>
      </c>
      <c r="QO32">
        <v>0</v>
      </c>
      <c r="QP32">
        <v>0</v>
      </c>
      <c r="QQ32">
        <v>0</v>
      </c>
      <c r="QR32">
        <v>0</v>
      </c>
      <c r="QS32">
        <v>0</v>
      </c>
      <c r="QT32">
        <v>0</v>
      </c>
      <c r="QU32">
        <v>0</v>
      </c>
      <c r="QV32">
        <v>0</v>
      </c>
      <c r="QW32">
        <v>0</v>
      </c>
      <c r="QX32">
        <v>0</v>
      </c>
      <c r="QY32">
        <v>0</v>
      </c>
      <c r="QZ32">
        <v>0</v>
      </c>
      <c r="RA32">
        <v>0</v>
      </c>
      <c r="RB32">
        <v>0</v>
      </c>
      <c r="RC32">
        <v>0</v>
      </c>
      <c r="RD32">
        <v>0</v>
      </c>
      <c r="RE32">
        <v>0</v>
      </c>
      <c r="RF32">
        <v>0</v>
      </c>
      <c r="RG32">
        <v>0</v>
      </c>
      <c r="RH32">
        <v>0</v>
      </c>
      <c r="RI32">
        <v>0</v>
      </c>
      <c r="RJ32">
        <v>0</v>
      </c>
      <c r="RK32">
        <v>0</v>
      </c>
      <c r="RL32">
        <v>0</v>
      </c>
      <c r="RM32">
        <v>0</v>
      </c>
      <c r="RN32">
        <v>0</v>
      </c>
      <c r="RO32">
        <v>0</v>
      </c>
      <c r="RP32">
        <v>0</v>
      </c>
      <c r="RQ32">
        <v>0</v>
      </c>
      <c r="RR32">
        <v>0</v>
      </c>
      <c r="RS32">
        <v>0</v>
      </c>
      <c r="RT32">
        <v>0</v>
      </c>
      <c r="RU32">
        <v>0</v>
      </c>
      <c r="RV32">
        <v>0</v>
      </c>
      <c r="RW32">
        <v>0</v>
      </c>
      <c r="RX32">
        <v>0</v>
      </c>
      <c r="RY32">
        <v>0</v>
      </c>
      <c r="RZ32">
        <v>0</v>
      </c>
      <c r="SA32">
        <v>0</v>
      </c>
      <c r="SB32">
        <v>0</v>
      </c>
      <c r="SC32">
        <v>0</v>
      </c>
      <c r="SD32">
        <v>0</v>
      </c>
      <c r="SE32">
        <v>0</v>
      </c>
      <c r="SF32">
        <v>0</v>
      </c>
      <c r="SG32">
        <v>0</v>
      </c>
      <c r="SH32">
        <v>0</v>
      </c>
      <c r="SI32">
        <v>0</v>
      </c>
      <c r="SJ32">
        <v>0</v>
      </c>
      <c r="SK32">
        <v>0</v>
      </c>
      <c r="SL32">
        <v>0</v>
      </c>
      <c r="SM32">
        <v>0</v>
      </c>
      <c r="SN32">
        <v>0</v>
      </c>
      <c r="SO32">
        <v>0</v>
      </c>
      <c r="SP32">
        <v>0</v>
      </c>
      <c r="SQ32">
        <v>0</v>
      </c>
      <c r="SR32">
        <v>0</v>
      </c>
      <c r="SS32">
        <v>0</v>
      </c>
      <c r="ST32">
        <v>0</v>
      </c>
      <c r="SU32">
        <v>0</v>
      </c>
      <c r="SV32">
        <v>0</v>
      </c>
      <c r="SW32">
        <v>0</v>
      </c>
      <c r="SX32">
        <v>0</v>
      </c>
      <c r="SY32">
        <v>0</v>
      </c>
      <c r="SZ32">
        <v>0</v>
      </c>
      <c r="TA32">
        <v>0</v>
      </c>
      <c r="TB32">
        <v>0</v>
      </c>
      <c r="TC32">
        <v>0</v>
      </c>
      <c r="TD32">
        <v>0</v>
      </c>
      <c r="TE32">
        <v>0</v>
      </c>
      <c r="TF32">
        <v>0</v>
      </c>
      <c r="TG32">
        <v>0</v>
      </c>
      <c r="TH32">
        <v>0</v>
      </c>
      <c r="TI32">
        <v>0</v>
      </c>
      <c r="TJ32">
        <v>0</v>
      </c>
      <c r="TK32">
        <v>0</v>
      </c>
      <c r="TL32">
        <v>0</v>
      </c>
      <c r="TM32">
        <v>0</v>
      </c>
      <c r="TN32">
        <v>0</v>
      </c>
      <c r="TO32">
        <v>0</v>
      </c>
      <c r="TP32">
        <v>0</v>
      </c>
      <c r="TQ32">
        <v>0</v>
      </c>
      <c r="TR32">
        <v>0</v>
      </c>
      <c r="TS32">
        <v>0</v>
      </c>
      <c r="TT32">
        <v>0</v>
      </c>
      <c r="TU32">
        <v>0</v>
      </c>
      <c r="TV32">
        <v>0</v>
      </c>
      <c r="TW32">
        <v>0</v>
      </c>
      <c r="TX32">
        <v>0</v>
      </c>
      <c r="TY32">
        <v>0</v>
      </c>
      <c r="TZ32">
        <v>0</v>
      </c>
      <c r="UA32">
        <v>0</v>
      </c>
      <c r="UB32">
        <v>0</v>
      </c>
      <c r="UC32">
        <v>0</v>
      </c>
      <c r="UD32">
        <v>0</v>
      </c>
      <c r="UE32">
        <v>0</v>
      </c>
      <c r="UF32">
        <v>0</v>
      </c>
      <c r="UG32">
        <v>0</v>
      </c>
      <c r="UH32">
        <v>0</v>
      </c>
      <c r="UI32">
        <v>0</v>
      </c>
      <c r="UJ32">
        <v>0</v>
      </c>
      <c r="UK32">
        <v>0</v>
      </c>
      <c r="UL32">
        <v>0</v>
      </c>
      <c r="UM32">
        <v>0</v>
      </c>
      <c r="UN32">
        <v>0</v>
      </c>
      <c r="UO32">
        <v>0</v>
      </c>
      <c r="UP32">
        <v>0</v>
      </c>
      <c r="UQ32">
        <v>0</v>
      </c>
      <c r="UR32">
        <v>0</v>
      </c>
      <c r="US32">
        <v>0</v>
      </c>
      <c r="UT32">
        <v>0</v>
      </c>
      <c r="UU32">
        <v>0</v>
      </c>
      <c r="UV32">
        <v>0</v>
      </c>
      <c r="UW32">
        <v>0</v>
      </c>
      <c r="UX32">
        <v>0</v>
      </c>
      <c r="UY32">
        <v>0</v>
      </c>
      <c r="UZ32">
        <v>0</v>
      </c>
      <c r="VA32">
        <v>0</v>
      </c>
      <c r="VB32">
        <v>0</v>
      </c>
      <c r="VC32">
        <v>0</v>
      </c>
      <c r="VD32">
        <v>0</v>
      </c>
      <c r="VE32">
        <v>0</v>
      </c>
      <c r="VF32">
        <v>0</v>
      </c>
      <c r="VG32">
        <v>0</v>
      </c>
      <c r="VH32">
        <v>0</v>
      </c>
      <c r="VI32">
        <v>0</v>
      </c>
      <c r="VJ32">
        <v>0</v>
      </c>
      <c r="VK32">
        <v>0</v>
      </c>
      <c r="VL32">
        <v>0</v>
      </c>
      <c r="VM32">
        <v>0</v>
      </c>
      <c r="VN32">
        <v>0</v>
      </c>
      <c r="VO32">
        <v>0</v>
      </c>
      <c r="VP32">
        <v>0</v>
      </c>
      <c r="VQ32">
        <v>0</v>
      </c>
      <c r="VR32">
        <v>0</v>
      </c>
      <c r="VS32">
        <v>0</v>
      </c>
      <c r="VT32">
        <v>0</v>
      </c>
      <c r="VU32">
        <v>0</v>
      </c>
      <c r="VV32">
        <v>0</v>
      </c>
      <c r="VW32">
        <v>0</v>
      </c>
      <c r="VX32">
        <v>0</v>
      </c>
      <c r="VY32">
        <v>0</v>
      </c>
      <c r="VZ32">
        <v>0</v>
      </c>
      <c r="WA32">
        <v>0</v>
      </c>
      <c r="WB32">
        <v>0</v>
      </c>
      <c r="WC32">
        <v>0</v>
      </c>
      <c r="WD32">
        <v>0</v>
      </c>
      <c r="WE32">
        <v>0</v>
      </c>
      <c r="WF32">
        <v>0</v>
      </c>
      <c r="WG32">
        <v>0</v>
      </c>
      <c r="WH32">
        <v>0</v>
      </c>
      <c r="WI32">
        <v>0</v>
      </c>
      <c r="WJ32">
        <v>0</v>
      </c>
      <c r="WK32">
        <v>0</v>
      </c>
      <c r="WL32">
        <v>0</v>
      </c>
      <c r="WM32">
        <v>0</v>
      </c>
      <c r="WN32">
        <v>0</v>
      </c>
      <c r="WO32">
        <v>0</v>
      </c>
      <c r="WP32">
        <v>0</v>
      </c>
      <c r="WQ32">
        <v>0</v>
      </c>
      <c r="WR32">
        <v>0</v>
      </c>
      <c r="WS32">
        <v>0</v>
      </c>
      <c r="WT32">
        <v>0</v>
      </c>
      <c r="WU32">
        <v>0</v>
      </c>
      <c r="WV32">
        <v>0</v>
      </c>
      <c r="WW32">
        <v>0</v>
      </c>
      <c r="WX32">
        <v>0</v>
      </c>
      <c r="WY32">
        <v>0</v>
      </c>
      <c r="WZ32">
        <v>0</v>
      </c>
      <c r="XA32">
        <v>0</v>
      </c>
      <c r="XB32">
        <v>0</v>
      </c>
      <c r="XC32">
        <v>0</v>
      </c>
      <c r="XD32">
        <v>0</v>
      </c>
      <c r="XE32">
        <v>0</v>
      </c>
      <c r="XF32">
        <v>0</v>
      </c>
      <c r="XG32">
        <v>0</v>
      </c>
      <c r="XH32">
        <v>0</v>
      </c>
      <c r="XI32">
        <v>0</v>
      </c>
      <c r="XJ32">
        <v>0</v>
      </c>
      <c r="XK32">
        <v>0</v>
      </c>
      <c r="XL32">
        <v>0</v>
      </c>
      <c r="XM32">
        <v>0</v>
      </c>
      <c r="XN32">
        <v>0</v>
      </c>
      <c r="XO32">
        <v>0</v>
      </c>
      <c r="XP32">
        <v>0</v>
      </c>
      <c r="XQ32">
        <v>0</v>
      </c>
      <c r="XR32">
        <v>0</v>
      </c>
      <c r="XS32">
        <v>0</v>
      </c>
      <c r="XT32">
        <v>0</v>
      </c>
      <c r="XU32">
        <v>0</v>
      </c>
      <c r="XV32">
        <v>0</v>
      </c>
      <c r="XW32">
        <v>0</v>
      </c>
      <c r="XX32">
        <v>0</v>
      </c>
      <c r="XY32">
        <v>0</v>
      </c>
      <c r="XZ32">
        <v>0</v>
      </c>
      <c r="YA32">
        <v>0</v>
      </c>
      <c r="YB32">
        <v>0</v>
      </c>
      <c r="YC32">
        <v>0</v>
      </c>
      <c r="YD32">
        <v>0</v>
      </c>
      <c r="YE32">
        <v>0</v>
      </c>
      <c r="YF32">
        <v>0</v>
      </c>
      <c r="YG32">
        <v>0</v>
      </c>
      <c r="YH32">
        <v>0</v>
      </c>
      <c r="YI32">
        <v>0</v>
      </c>
      <c r="YJ32">
        <v>0</v>
      </c>
      <c r="YK32">
        <v>0</v>
      </c>
      <c r="YL32">
        <v>0</v>
      </c>
      <c r="YM32">
        <v>0</v>
      </c>
      <c r="YN32">
        <v>0</v>
      </c>
      <c r="YO32">
        <v>0</v>
      </c>
      <c r="YP32">
        <v>0</v>
      </c>
      <c r="YQ32">
        <v>0</v>
      </c>
      <c r="YR32">
        <v>0</v>
      </c>
      <c r="YS32">
        <v>0</v>
      </c>
      <c r="YT32">
        <v>0</v>
      </c>
      <c r="YU32">
        <v>0</v>
      </c>
      <c r="YV32">
        <v>0</v>
      </c>
      <c r="YW32">
        <v>0</v>
      </c>
      <c r="YX32">
        <v>0</v>
      </c>
      <c r="YY32">
        <v>0</v>
      </c>
      <c r="YZ32">
        <v>0</v>
      </c>
      <c r="ZA32">
        <v>0</v>
      </c>
      <c r="ZB32">
        <v>0</v>
      </c>
      <c r="ZC32">
        <v>0</v>
      </c>
      <c r="ZD32">
        <v>0</v>
      </c>
      <c r="ZE32">
        <v>0</v>
      </c>
      <c r="ZF32">
        <v>0</v>
      </c>
      <c r="ZG32">
        <v>0</v>
      </c>
      <c r="ZH32">
        <v>0</v>
      </c>
      <c r="ZI32">
        <v>0</v>
      </c>
      <c r="ZJ32">
        <v>0</v>
      </c>
      <c r="ZK32">
        <v>0</v>
      </c>
      <c r="ZL32">
        <v>0</v>
      </c>
      <c r="ZM32">
        <v>0</v>
      </c>
      <c r="ZN32">
        <v>0</v>
      </c>
      <c r="ZO32">
        <v>0</v>
      </c>
      <c r="ZP32">
        <v>0</v>
      </c>
      <c r="ZQ32">
        <v>0</v>
      </c>
      <c r="ZR32">
        <v>0</v>
      </c>
      <c r="ZS32">
        <v>0</v>
      </c>
      <c r="ZT32">
        <v>0</v>
      </c>
      <c r="ZU32">
        <v>0</v>
      </c>
      <c r="ZV32">
        <v>0</v>
      </c>
      <c r="ZW32">
        <v>0</v>
      </c>
      <c r="ZX32">
        <v>0</v>
      </c>
      <c r="ZY32">
        <v>0</v>
      </c>
      <c r="ZZ32">
        <v>0</v>
      </c>
      <c r="AAA32">
        <v>0</v>
      </c>
      <c r="AAB32">
        <v>0</v>
      </c>
      <c r="AAC32">
        <v>0</v>
      </c>
      <c r="AAD32">
        <v>0</v>
      </c>
      <c r="AAE32">
        <v>0</v>
      </c>
      <c r="AAF32">
        <v>0</v>
      </c>
      <c r="AAG32">
        <v>0</v>
      </c>
      <c r="AAH32">
        <v>0</v>
      </c>
      <c r="AAI32">
        <v>0</v>
      </c>
      <c r="AAJ32">
        <v>0</v>
      </c>
      <c r="AAK32">
        <v>0</v>
      </c>
      <c r="AAL32">
        <v>0</v>
      </c>
      <c r="AAM32">
        <v>0</v>
      </c>
      <c r="AAN32">
        <v>0</v>
      </c>
      <c r="AAO32">
        <v>0</v>
      </c>
      <c r="AAP32">
        <v>0</v>
      </c>
      <c r="AAQ32">
        <v>0</v>
      </c>
      <c r="AAR32">
        <v>0</v>
      </c>
      <c r="AAS32">
        <v>0</v>
      </c>
      <c r="AAT32">
        <v>0</v>
      </c>
      <c r="AAU32">
        <v>0</v>
      </c>
      <c r="AAV32">
        <v>0</v>
      </c>
      <c r="AAW32">
        <v>0</v>
      </c>
      <c r="AAX32">
        <v>0</v>
      </c>
      <c r="AAY32">
        <v>0</v>
      </c>
      <c r="AAZ32">
        <v>0</v>
      </c>
      <c r="ABA32">
        <v>0</v>
      </c>
      <c r="ABB32">
        <v>0</v>
      </c>
      <c r="ABC32">
        <v>0</v>
      </c>
      <c r="ABD32">
        <v>0</v>
      </c>
      <c r="ABE32">
        <v>0</v>
      </c>
      <c r="ABF32">
        <v>0</v>
      </c>
      <c r="ABG32">
        <v>0</v>
      </c>
      <c r="ABH32">
        <v>0</v>
      </c>
      <c r="ABI32">
        <v>0</v>
      </c>
      <c r="ABJ32">
        <v>0</v>
      </c>
      <c r="ABK32">
        <v>0</v>
      </c>
      <c r="ABL32">
        <v>0</v>
      </c>
      <c r="ABM32">
        <v>0</v>
      </c>
      <c r="ABN32">
        <v>0</v>
      </c>
      <c r="ABO32">
        <v>0</v>
      </c>
      <c r="ABP32">
        <v>0</v>
      </c>
      <c r="ABQ32">
        <v>0</v>
      </c>
      <c r="ABR32">
        <v>0</v>
      </c>
      <c r="ABS32">
        <v>0</v>
      </c>
      <c r="ABT32">
        <v>0</v>
      </c>
      <c r="ABU32">
        <v>0</v>
      </c>
      <c r="ABV32">
        <v>0</v>
      </c>
      <c r="ABW32">
        <v>0</v>
      </c>
      <c r="ABX32">
        <v>0</v>
      </c>
      <c r="ABY32">
        <v>0</v>
      </c>
      <c r="ABZ32">
        <v>0</v>
      </c>
      <c r="ACA32">
        <v>0</v>
      </c>
      <c r="ACB32">
        <v>0</v>
      </c>
      <c r="ACC32">
        <v>0</v>
      </c>
      <c r="ACD32">
        <v>0</v>
      </c>
      <c r="ACE32">
        <v>0</v>
      </c>
      <c r="ACF32">
        <v>0</v>
      </c>
      <c r="ACG32">
        <v>0</v>
      </c>
      <c r="ACH32">
        <v>0</v>
      </c>
      <c r="ACI32">
        <v>0</v>
      </c>
      <c r="ACJ32">
        <v>0</v>
      </c>
      <c r="ACK32">
        <v>0</v>
      </c>
      <c r="ACL32">
        <v>0</v>
      </c>
      <c r="ACM32">
        <v>0</v>
      </c>
      <c r="ACN32">
        <v>0</v>
      </c>
      <c r="ACO32">
        <v>0</v>
      </c>
      <c r="ACP32">
        <v>0</v>
      </c>
      <c r="ACQ32">
        <v>0</v>
      </c>
      <c r="ACR32">
        <v>0</v>
      </c>
      <c r="ACS32">
        <v>0</v>
      </c>
      <c r="ACT32">
        <v>0</v>
      </c>
      <c r="ACU32">
        <v>0</v>
      </c>
      <c r="ACV32">
        <v>0</v>
      </c>
      <c r="ACW32">
        <v>0</v>
      </c>
      <c r="ACX32">
        <v>0</v>
      </c>
      <c r="ACY32">
        <v>0</v>
      </c>
      <c r="ACZ32">
        <v>0</v>
      </c>
      <c r="ADA32">
        <v>0</v>
      </c>
      <c r="ADB32">
        <v>0</v>
      </c>
      <c r="ADC32">
        <v>0</v>
      </c>
      <c r="ADD32">
        <v>0</v>
      </c>
      <c r="ADE32">
        <v>0</v>
      </c>
      <c r="ADF32">
        <v>0</v>
      </c>
      <c r="ADG32">
        <v>0</v>
      </c>
      <c r="ADH32">
        <v>0</v>
      </c>
      <c r="ADI32">
        <v>0</v>
      </c>
      <c r="ADJ32">
        <v>0</v>
      </c>
      <c r="ADK32">
        <v>0</v>
      </c>
      <c r="ADL32">
        <v>0</v>
      </c>
      <c r="ADM32">
        <v>0</v>
      </c>
      <c r="ADN32">
        <v>0</v>
      </c>
      <c r="ADO32">
        <v>0</v>
      </c>
      <c r="ADP32">
        <v>0</v>
      </c>
      <c r="ADQ32">
        <v>0</v>
      </c>
      <c r="ADR32">
        <v>0</v>
      </c>
      <c r="ADS32">
        <v>0</v>
      </c>
      <c r="ADT32">
        <v>0</v>
      </c>
      <c r="ADU32">
        <v>0</v>
      </c>
      <c r="ADV32">
        <v>0</v>
      </c>
      <c r="ADW32">
        <v>0</v>
      </c>
      <c r="ADX32">
        <v>0</v>
      </c>
      <c r="ADY32">
        <v>0</v>
      </c>
      <c r="ADZ32">
        <v>0</v>
      </c>
      <c r="AEA32">
        <v>0</v>
      </c>
      <c r="AEB32">
        <v>0</v>
      </c>
      <c r="AEC32">
        <v>0</v>
      </c>
      <c r="AED32">
        <v>0</v>
      </c>
      <c r="AEE32">
        <v>0</v>
      </c>
      <c r="AEF32">
        <v>0</v>
      </c>
      <c r="AEG32">
        <v>0</v>
      </c>
      <c r="AEH32">
        <v>0</v>
      </c>
      <c r="AEI32">
        <v>0</v>
      </c>
      <c r="AEJ32">
        <v>0</v>
      </c>
      <c r="AEK32">
        <v>0</v>
      </c>
      <c r="AEL32">
        <v>0</v>
      </c>
      <c r="AEM32">
        <v>0</v>
      </c>
      <c r="AEN32">
        <v>0</v>
      </c>
      <c r="AEO32">
        <v>0</v>
      </c>
      <c r="AEP32">
        <v>0</v>
      </c>
      <c r="AEQ32">
        <v>0</v>
      </c>
      <c r="AER32">
        <v>0</v>
      </c>
      <c r="AES32">
        <v>0</v>
      </c>
      <c r="AET32">
        <v>0</v>
      </c>
      <c r="AEU32">
        <v>0</v>
      </c>
      <c r="AEV32">
        <v>0</v>
      </c>
      <c r="AEW32">
        <v>0</v>
      </c>
      <c r="AEX32">
        <v>0</v>
      </c>
      <c r="AEY32">
        <v>0</v>
      </c>
      <c r="AEZ32">
        <v>0</v>
      </c>
      <c r="AFA32">
        <v>0</v>
      </c>
      <c r="AFB32">
        <v>0</v>
      </c>
      <c r="AFC32">
        <v>0</v>
      </c>
      <c r="AFD32">
        <v>0</v>
      </c>
      <c r="AFE32">
        <v>0</v>
      </c>
      <c r="AFF32">
        <v>0</v>
      </c>
      <c r="AFG32">
        <v>0</v>
      </c>
      <c r="AFH32">
        <v>0</v>
      </c>
      <c r="AFI32">
        <v>0</v>
      </c>
      <c r="AFJ32">
        <v>0</v>
      </c>
      <c r="AFK32">
        <v>0</v>
      </c>
      <c r="AFL32">
        <v>0</v>
      </c>
      <c r="AFM32">
        <v>0</v>
      </c>
      <c r="AFN32">
        <v>0</v>
      </c>
      <c r="AFO32">
        <v>0</v>
      </c>
      <c r="AFP32">
        <v>0</v>
      </c>
      <c r="AFQ32">
        <v>0</v>
      </c>
      <c r="AFR32">
        <v>0</v>
      </c>
      <c r="AFS32">
        <v>0</v>
      </c>
      <c r="AFT32">
        <v>0</v>
      </c>
      <c r="AFU32">
        <v>0</v>
      </c>
      <c r="AFV32">
        <v>0</v>
      </c>
      <c r="AFW32">
        <v>0</v>
      </c>
      <c r="AFX32">
        <v>0</v>
      </c>
      <c r="AFY32">
        <v>0</v>
      </c>
      <c r="AFZ32">
        <v>0</v>
      </c>
      <c r="AGA32">
        <v>0</v>
      </c>
      <c r="AGB32">
        <v>0</v>
      </c>
      <c r="AGC32">
        <v>0</v>
      </c>
      <c r="AGD32">
        <v>0</v>
      </c>
      <c r="AGE32">
        <v>0</v>
      </c>
      <c r="AGF32">
        <v>0</v>
      </c>
      <c r="AGG32">
        <v>0</v>
      </c>
      <c r="AGH32">
        <v>0</v>
      </c>
      <c r="AGI32">
        <v>0</v>
      </c>
      <c r="AGJ32">
        <v>0</v>
      </c>
      <c r="AGK32">
        <v>0</v>
      </c>
      <c r="AGL32">
        <v>0</v>
      </c>
      <c r="AGM32">
        <v>0</v>
      </c>
      <c r="AGN32">
        <v>0</v>
      </c>
      <c r="AGO32">
        <v>0</v>
      </c>
      <c r="AGP32">
        <v>0</v>
      </c>
      <c r="AGQ32">
        <v>0</v>
      </c>
      <c r="AGR32">
        <v>0</v>
      </c>
      <c r="AGS32">
        <v>0</v>
      </c>
      <c r="AGT32">
        <v>0</v>
      </c>
      <c r="AGU32">
        <v>0</v>
      </c>
      <c r="AGV32">
        <v>0</v>
      </c>
      <c r="AGW32">
        <v>0</v>
      </c>
      <c r="AGX32">
        <v>0</v>
      </c>
      <c r="AGY32">
        <v>0</v>
      </c>
      <c r="AGZ32">
        <v>0</v>
      </c>
      <c r="AHA32">
        <v>0</v>
      </c>
      <c r="AHB32">
        <v>0</v>
      </c>
      <c r="AHC32">
        <v>0</v>
      </c>
      <c r="AHD32">
        <v>0</v>
      </c>
      <c r="AHE32">
        <v>0</v>
      </c>
      <c r="AHF32">
        <v>0</v>
      </c>
      <c r="AHG32">
        <v>0</v>
      </c>
      <c r="AHH32">
        <v>0</v>
      </c>
      <c r="AHI32">
        <v>0</v>
      </c>
      <c r="AHJ32">
        <v>0</v>
      </c>
      <c r="AHK32">
        <v>0</v>
      </c>
      <c r="AHL32">
        <v>0</v>
      </c>
      <c r="AHM32">
        <v>0</v>
      </c>
      <c r="AHN32">
        <v>0</v>
      </c>
      <c r="AHO32">
        <v>0</v>
      </c>
      <c r="AHP32">
        <v>0</v>
      </c>
      <c r="AHQ32">
        <v>0</v>
      </c>
      <c r="AHR32">
        <v>0</v>
      </c>
      <c r="AHS32">
        <v>0</v>
      </c>
      <c r="AHT32">
        <v>0</v>
      </c>
      <c r="AHU32">
        <v>0</v>
      </c>
      <c r="AHV32">
        <v>0</v>
      </c>
      <c r="AHW32">
        <v>0</v>
      </c>
      <c r="AHX32">
        <v>0</v>
      </c>
      <c r="AHY32">
        <v>0</v>
      </c>
      <c r="AHZ32">
        <v>0</v>
      </c>
      <c r="AIA32">
        <v>0</v>
      </c>
      <c r="AIB32">
        <v>0</v>
      </c>
      <c r="AIC32">
        <v>0</v>
      </c>
      <c r="AID32">
        <v>0</v>
      </c>
      <c r="AIE32">
        <v>0</v>
      </c>
      <c r="AIF32">
        <v>0</v>
      </c>
      <c r="AIG32">
        <v>0</v>
      </c>
      <c r="AIH32">
        <v>0</v>
      </c>
      <c r="AII32">
        <v>0</v>
      </c>
      <c r="AIJ32">
        <v>0</v>
      </c>
      <c r="AIK32">
        <v>0</v>
      </c>
      <c r="AIL32">
        <v>0</v>
      </c>
      <c r="AIM32">
        <v>0</v>
      </c>
      <c r="AIN32">
        <v>0</v>
      </c>
      <c r="AIO32">
        <v>0</v>
      </c>
      <c r="AIP32">
        <v>0</v>
      </c>
      <c r="AIQ32">
        <v>0</v>
      </c>
      <c r="AIR32">
        <v>0</v>
      </c>
      <c r="AIS32">
        <v>0</v>
      </c>
      <c r="AIT32">
        <v>0</v>
      </c>
      <c r="AIU32">
        <v>0</v>
      </c>
      <c r="AIV32">
        <v>0</v>
      </c>
      <c r="AIW32">
        <v>0</v>
      </c>
      <c r="AIX32">
        <v>0</v>
      </c>
      <c r="AIY32">
        <v>0</v>
      </c>
      <c r="AIZ32">
        <v>0</v>
      </c>
      <c r="AJA32">
        <v>0</v>
      </c>
      <c r="AJB32">
        <v>0</v>
      </c>
      <c r="AJC32">
        <v>0</v>
      </c>
      <c r="AJD32">
        <v>0</v>
      </c>
      <c r="AJE32">
        <v>0</v>
      </c>
      <c r="AJF32">
        <v>0</v>
      </c>
      <c r="AJG32">
        <v>0</v>
      </c>
      <c r="AJH32">
        <v>0</v>
      </c>
      <c r="AJI32">
        <v>0</v>
      </c>
      <c r="AJJ32">
        <v>0</v>
      </c>
      <c r="AJK32">
        <v>0</v>
      </c>
      <c r="AJL32">
        <v>0</v>
      </c>
      <c r="AJM32">
        <v>0</v>
      </c>
      <c r="AJN32">
        <v>0</v>
      </c>
      <c r="AJO32">
        <v>0</v>
      </c>
      <c r="AJP32">
        <v>0</v>
      </c>
      <c r="AJQ32">
        <v>0</v>
      </c>
      <c r="AJR32">
        <v>0</v>
      </c>
      <c r="AJS32">
        <v>0</v>
      </c>
      <c r="AJT32">
        <v>0</v>
      </c>
      <c r="AJU32">
        <v>0</v>
      </c>
      <c r="AJV32">
        <v>0</v>
      </c>
      <c r="AJW32">
        <v>0</v>
      </c>
      <c r="AJX32">
        <v>0</v>
      </c>
      <c r="AJY32">
        <v>0</v>
      </c>
      <c r="AJZ32">
        <v>0</v>
      </c>
      <c r="AKA32">
        <v>0</v>
      </c>
      <c r="AKB32">
        <v>0</v>
      </c>
      <c r="AKC32">
        <v>0</v>
      </c>
      <c r="AKD32">
        <v>0</v>
      </c>
      <c r="AKE32">
        <v>0</v>
      </c>
      <c r="AKF32">
        <v>0</v>
      </c>
      <c r="AKG32">
        <v>0</v>
      </c>
      <c r="AKH32">
        <v>0</v>
      </c>
      <c r="AKI32">
        <v>0</v>
      </c>
      <c r="AKJ32">
        <v>0</v>
      </c>
      <c r="AKK32">
        <v>0</v>
      </c>
      <c r="AKL32">
        <v>0</v>
      </c>
      <c r="AKM32">
        <v>0</v>
      </c>
      <c r="AKN32">
        <v>0</v>
      </c>
      <c r="AKO32">
        <v>0</v>
      </c>
      <c r="AKP32">
        <v>0</v>
      </c>
      <c r="AKQ32">
        <v>0</v>
      </c>
      <c r="AKR32">
        <v>0</v>
      </c>
      <c r="AKS32">
        <v>0</v>
      </c>
      <c r="AKT32">
        <v>0</v>
      </c>
      <c r="AKU32">
        <v>0</v>
      </c>
      <c r="AKV32">
        <v>0</v>
      </c>
      <c r="AKW32">
        <v>0</v>
      </c>
      <c r="AKX32">
        <v>0</v>
      </c>
      <c r="AKY32">
        <v>0</v>
      </c>
      <c r="AKZ32">
        <v>0</v>
      </c>
      <c r="ALA32">
        <v>0</v>
      </c>
      <c r="ALB32">
        <v>0</v>
      </c>
      <c r="ALC32">
        <v>0</v>
      </c>
      <c r="ALD32">
        <v>0</v>
      </c>
      <c r="ALE32">
        <v>0</v>
      </c>
      <c r="ALF32">
        <v>0</v>
      </c>
      <c r="ALG32">
        <v>0</v>
      </c>
      <c r="ALH32">
        <v>0</v>
      </c>
      <c r="ALI32">
        <v>0</v>
      </c>
      <c r="ALJ32">
        <v>0</v>
      </c>
      <c r="ALK32">
        <v>0</v>
      </c>
      <c r="ALL32">
        <v>0</v>
      </c>
      <c r="ALM32">
        <v>0</v>
      </c>
      <c r="ALN32">
        <v>0</v>
      </c>
      <c r="ALO32">
        <v>0</v>
      </c>
      <c r="ALP32">
        <v>0</v>
      </c>
      <c r="ALQ32">
        <v>0</v>
      </c>
    </row>
    <row r="33" spans="1:1005" ht="70">
      <c r="A33" s="351" t="s">
        <v>949</v>
      </c>
      <c r="B33" s="352" t="s">
        <v>44</v>
      </c>
      <c r="C33" s="357" t="s">
        <v>1045</v>
      </c>
      <c r="D33" s="352" t="s">
        <v>274</v>
      </c>
      <c r="E33" s="354" t="s">
        <v>354</v>
      </c>
      <c r="F33" t="str">
        <f t="array" ref="F33:ALQ33" ca="1">TRANSPOSE(Filtered!AD2:AD1005)</f>
        <v>Yes</v>
      </c>
      <c r="G33" t="str">
        <f ca="1"/>
        <v>Unsure</v>
      </c>
      <c r="H33" t="str">
        <f ca="1"/>
        <v>Unsure</v>
      </c>
      <c r="I33" t="str">
        <f ca="1"/>
        <v>Unsure</v>
      </c>
      <c r="J33" t="str">
        <f ca="1"/>
        <v>No</v>
      </c>
      <c r="K33" t="str">
        <f ca="1"/>
        <v>Unsure</v>
      </c>
      <c r="L33" t="str">
        <f ca="1"/>
        <v>Unsure</v>
      </c>
      <c r="M33" t="str">
        <f ca="1"/>
        <v>Unsure</v>
      </c>
      <c r="N33" t="str">
        <f ca="1"/>
        <v>unsure</v>
      </c>
      <c r="O33" t="str">
        <f ca="1"/>
        <v>Unsure</v>
      </c>
      <c r="P33" t="str">
        <f ca="1"/>
        <v>Unsure</v>
      </c>
      <c r="Q33" t="str">
        <f ca="1"/>
        <v>Unsure</v>
      </c>
      <c r="R33" t="str">
        <f ca="1"/>
        <v>Unsure</v>
      </c>
      <c r="S33" t="str">
        <f ca="1"/>
        <v>Yes</v>
      </c>
      <c r="T33" t="str">
        <f ca="1"/>
        <v>Unsure</v>
      </c>
      <c r="U33" t="str">
        <f ca="1"/>
        <v>No</v>
      </c>
      <c r="V33" t="str">
        <f ca="1"/>
        <v>Unsure</v>
      </c>
      <c r="W33" t="str">
        <f ca="1"/>
        <v>Yes</v>
      </c>
      <c r="X33" t="str">
        <f ca="1"/>
        <v>Unsure</v>
      </c>
      <c r="Y33" t="str">
        <f ca="1"/>
        <v>Unsure</v>
      </c>
      <c r="Z33" t="str">
        <f ca="1"/>
        <v>Yes</v>
      </c>
      <c r="AA33" t="str">
        <f ca="1"/>
        <v>Not specified</v>
      </c>
      <c r="AB33" t="str">
        <f ca="1"/>
        <v>Not specified</v>
      </c>
      <c r="AC33" t="str">
        <f ca="1"/>
        <v>Unsure</v>
      </c>
      <c r="AD33" t="str">
        <f ca="1"/>
        <v>No</v>
      </c>
      <c r="AE33" t="str">
        <f ca="1"/>
        <v>Yes</v>
      </c>
      <c r="AF33" t="str">
        <f ca="1"/>
        <v>Yes</v>
      </c>
      <c r="AG33" t="str">
        <f ca="1"/>
        <v>Unsure</v>
      </c>
      <c r="AH33" t="str">
        <f ca="1"/>
        <v>Yes</v>
      </c>
      <c r="AI33" t="str">
        <f ca="1"/>
        <v>Yes</v>
      </c>
      <c r="AJ33" t="str">
        <f ca="1"/>
        <v>Yes</v>
      </c>
      <c r="AK33" t="str">
        <f ca="1"/>
        <v>Unsure</v>
      </c>
      <c r="AL33" t="str">
        <f ca="1"/>
        <v>Unsure</v>
      </c>
      <c r="AM33" t="str">
        <f ca="1"/>
        <v>Unsure</v>
      </c>
      <c r="AN33" t="str">
        <f ca="1"/>
        <v>Unsure</v>
      </c>
      <c r="AO33" t="str">
        <f ca="1"/>
        <v>Unsure</v>
      </c>
      <c r="AP33" t="str">
        <f ca="1"/>
        <v>Unsure</v>
      </c>
      <c r="AQ33" t="str">
        <f ca="1"/>
        <v>Yes</v>
      </c>
      <c r="AR33" t="str">
        <f ca="1"/>
        <v>Unsure</v>
      </c>
      <c r="AS33" t="str">
        <f ca="1"/>
        <v>Unsure</v>
      </c>
      <c r="AT33" t="str">
        <f ca="1"/>
        <v>Unsure</v>
      </c>
      <c r="AU33" t="str">
        <f ca="1"/>
        <v>Unsure</v>
      </c>
      <c r="AV33" t="str">
        <f ca="1"/>
        <v>Unsure</v>
      </c>
      <c r="AW33" t="str">
        <f ca="1"/>
        <v>Unsure</v>
      </c>
      <c r="AX33" t="str">
        <f ca="1"/>
        <v>Unsure</v>
      </c>
      <c r="AY33" t="str">
        <f ca="1"/>
        <v>Unsure</v>
      </c>
      <c r="AZ33" t="str">
        <f ca="1"/>
        <v>Unsure</v>
      </c>
      <c r="BA33" t="str">
        <f ca="1"/>
        <v>Unsure</v>
      </c>
      <c r="BB33" t="str">
        <f ca="1"/>
        <v>Unsure</v>
      </c>
      <c r="BC33" t="str">
        <f ca="1"/>
        <v>Unsure</v>
      </c>
      <c r="BD33" t="str">
        <f ca="1"/>
        <v>Unsure</v>
      </c>
      <c r="BE33" t="str">
        <f ca="1"/>
        <v>Yes</v>
      </c>
      <c r="BF33" t="str">
        <f ca="1"/>
        <v>Yes</v>
      </c>
      <c r="BG33" t="str">
        <f ca="1"/>
        <v>Unsure</v>
      </c>
      <c r="BH33" t="str">
        <f ca="1"/>
        <v>Unsure</v>
      </c>
      <c r="BI33" t="str">
        <f ca="1"/>
        <v>Unsure</v>
      </c>
      <c r="BJ33" t="str">
        <f ca="1"/>
        <v>Yes</v>
      </c>
      <c r="BK33" t="str">
        <f ca="1"/>
        <v>Yes</v>
      </c>
      <c r="BL33" t="str">
        <f ca="1"/>
        <v>Unsure</v>
      </c>
      <c r="BM33" t="str">
        <f ca="1"/>
        <v>Unsure</v>
      </c>
      <c r="BN33" t="str">
        <f ca="1"/>
        <v>Unsure</v>
      </c>
      <c r="BO33" t="str">
        <f ca="1"/>
        <v>Unsure</v>
      </c>
      <c r="BP33" t="str">
        <f ca="1"/>
        <v>Unsure</v>
      </c>
      <c r="BQ33" t="str">
        <f ca="1"/>
        <v>Unsure</v>
      </c>
      <c r="BR33" t="str">
        <f ca="1"/>
        <v>Unsure</v>
      </c>
      <c r="BS33" t="str">
        <f ca="1"/>
        <v>Unsure</v>
      </c>
      <c r="BT33" t="str">
        <f ca="1"/>
        <v>Unsure</v>
      </c>
      <c r="BU33" t="str">
        <f ca="1"/>
        <v>Unsure</v>
      </c>
      <c r="BV33" t="str">
        <f ca="1"/>
        <v>Unsure</v>
      </c>
      <c r="BW33" t="str">
        <f ca="1"/>
        <v>Unsure</v>
      </c>
      <c r="BX33" t="str">
        <f ca="1"/>
        <v>Unsure</v>
      </c>
      <c r="BY33" t="str">
        <f ca="1"/>
        <v>Unsure</v>
      </c>
      <c r="BZ33" t="str">
        <f ca="1"/>
        <v>Unsure</v>
      </c>
      <c r="CA33" t="str">
        <f ca="1"/>
        <v>Unsure</v>
      </c>
      <c r="CB33" t="str">
        <f ca="1"/>
        <v>No</v>
      </c>
      <c r="CC33" t="str">
        <f ca="1"/>
        <v>Unsure</v>
      </c>
      <c r="CD33" t="str">
        <f ca="1"/>
        <v>Yes</v>
      </c>
      <c r="CE33" t="str">
        <f ca="1"/>
        <v>Unsure</v>
      </c>
      <c r="CF33" t="str">
        <f ca="1"/>
        <v>Unsure</v>
      </c>
      <c r="CG33" t="str">
        <f ca="1"/>
        <v>Unsure</v>
      </c>
      <c r="CH33" t="str">
        <f ca="1"/>
        <v>Unsure</v>
      </c>
      <c r="CI33" t="str">
        <f ca="1"/>
        <v>Yes</v>
      </c>
      <c r="CJ33" t="str">
        <f ca="1"/>
        <v>Unsure</v>
      </c>
      <c r="CK33" t="str">
        <f ca="1"/>
        <v>Unsure</v>
      </c>
      <c r="CL33" t="str">
        <f ca="1"/>
        <v>Unsure</v>
      </c>
      <c r="CM33" t="str">
        <f ca="1"/>
        <v>Unsure</v>
      </c>
      <c r="CN33" t="str">
        <f ca="1"/>
        <v>Unsure</v>
      </c>
      <c r="CO33" t="str">
        <f ca="1"/>
        <v>Unsure</v>
      </c>
      <c r="CP33" t="str">
        <f ca="1"/>
        <v>Unsure</v>
      </c>
      <c r="CQ33" t="str">
        <f ca="1"/>
        <v>Unsure</v>
      </c>
      <c r="CR33" t="str">
        <f ca="1"/>
        <v>Unsure</v>
      </c>
      <c r="CS33" t="str">
        <f ca="1"/>
        <v>Unsure</v>
      </c>
      <c r="CT33" t="str">
        <f ca="1"/>
        <v>Unsure</v>
      </c>
      <c r="CU33" t="str">
        <f ca="1"/>
        <v>Unsure</v>
      </c>
      <c r="CV33" t="str">
        <f ca="1"/>
        <v>Unsure</v>
      </c>
      <c r="CW33" t="str">
        <f ca="1"/>
        <v>Unsure</v>
      </c>
      <c r="CX33" t="str">
        <f ca="1"/>
        <v>Unsure</v>
      </c>
      <c r="CY33" t="str">
        <f ca="1"/>
        <v>Unsure</v>
      </c>
      <c r="CZ33" t="str">
        <f ca="1"/>
        <v>Yes</v>
      </c>
      <c r="DA33" t="str">
        <f ca="1"/>
        <v>Yes</v>
      </c>
      <c r="DB33" t="str">
        <f ca="1"/>
        <v>Unsure</v>
      </c>
      <c r="DC33" t="str">
        <f ca="1"/>
        <v>Unsure</v>
      </c>
      <c r="DD33" t="str">
        <f ca="1"/>
        <v>Unsure</v>
      </c>
      <c r="DE33" t="str">
        <f ca="1"/>
        <v>Unsure</v>
      </c>
      <c r="DF33" t="str">
        <f ca="1"/>
        <v>Unsure</v>
      </c>
      <c r="DG33" t="str">
        <f ca="1"/>
        <v>Unsure</v>
      </c>
      <c r="DH33" t="str">
        <f ca="1"/>
        <v>Unsure</v>
      </c>
      <c r="DI33" t="str">
        <f ca="1"/>
        <v>Unsure</v>
      </c>
      <c r="DJ33" t="str">
        <f ca="1"/>
        <v>Unsure</v>
      </c>
      <c r="DK33" t="str">
        <f ca="1"/>
        <v>Unsure</v>
      </c>
      <c r="DL33" t="str">
        <f ca="1"/>
        <v>Unsure</v>
      </c>
      <c r="DM33" t="str">
        <f ca="1"/>
        <v>Unsure</v>
      </c>
      <c r="DN33" t="str">
        <f ca="1"/>
        <v>Unsure</v>
      </c>
      <c r="DO33" t="str">
        <f ca="1"/>
        <v>Unsure</v>
      </c>
      <c r="DP33" t="str">
        <f ca="1"/>
        <v>Unsure</v>
      </c>
      <c r="DQ33" t="str">
        <f ca="1"/>
        <v>Yes</v>
      </c>
      <c r="DR33" t="str">
        <f ca="1"/>
        <v>Yes</v>
      </c>
      <c r="DS33" t="str">
        <f ca="1"/>
        <v>Yes</v>
      </c>
      <c r="DT33" t="str">
        <f ca="1"/>
        <v>Yes</v>
      </c>
      <c r="DU33" t="str">
        <f ca="1"/>
        <v>Yes</v>
      </c>
      <c r="DV33" t="str">
        <f ca="1"/>
        <v>Yes</v>
      </c>
      <c r="DW33" t="str">
        <f ca="1"/>
        <v>Unsure</v>
      </c>
      <c r="DX33" t="str">
        <f ca="1"/>
        <v>Unsure</v>
      </c>
      <c r="DY33" t="str">
        <f ca="1"/>
        <v>Yes</v>
      </c>
      <c r="DZ33" t="str">
        <f ca="1"/>
        <v>Unsure</v>
      </c>
      <c r="EA33" t="str">
        <f ca="1"/>
        <v>Yes</v>
      </c>
      <c r="EB33" t="str">
        <f ca="1"/>
        <v>Unsure</v>
      </c>
      <c r="EC33" t="str">
        <f ca="1"/>
        <v>Unsure</v>
      </c>
      <c r="ED33" t="str">
        <f ca="1"/>
        <v>Yes</v>
      </c>
      <c r="EE33" t="str">
        <f ca="1"/>
        <v>Yes</v>
      </c>
      <c r="EF33" t="str">
        <f ca="1"/>
        <v>Unsure</v>
      </c>
      <c r="EG33" t="str">
        <f ca="1"/>
        <v>Yes</v>
      </c>
      <c r="EH33" t="str">
        <f ca="1"/>
        <v>Yes</v>
      </c>
      <c r="EI33" t="str">
        <f ca="1"/>
        <v>Yes</v>
      </c>
      <c r="EJ33" t="str">
        <f ca="1"/>
        <v>Yes</v>
      </c>
      <c r="EK33" t="str">
        <f ca="1"/>
        <v>Unsure</v>
      </c>
      <c r="EL33" t="str">
        <f ca="1"/>
        <v>Yes</v>
      </c>
      <c r="EM33" t="str">
        <f ca="1"/>
        <v>Yes</v>
      </c>
      <c r="EN33" t="str">
        <f ca="1"/>
        <v>Yes</v>
      </c>
      <c r="EO33" t="str">
        <f ca="1"/>
        <v>Unsure</v>
      </c>
      <c r="EP33" t="str">
        <f ca="1"/>
        <v>Unsure</v>
      </c>
      <c r="EQ33" t="str">
        <f ca="1"/>
        <v>Unsure</v>
      </c>
      <c r="ER33" t="str">
        <f ca="1"/>
        <v>Unsure</v>
      </c>
      <c r="ES33" t="str">
        <f ca="1"/>
        <v>Unsure</v>
      </c>
      <c r="ET33" t="str">
        <f ca="1"/>
        <v>Yes</v>
      </c>
      <c r="EU33" t="str">
        <f ca="1"/>
        <v>Unsure</v>
      </c>
      <c r="EV33" t="str">
        <f ca="1"/>
        <v>Unsure</v>
      </c>
      <c r="EW33" t="str">
        <f ca="1"/>
        <v>Yes</v>
      </c>
      <c r="EX33" t="str">
        <f ca="1"/>
        <v>Unsure</v>
      </c>
      <c r="EY33" t="str">
        <f ca="1"/>
        <v>Unsure</v>
      </c>
      <c r="EZ33" t="str">
        <f ca="1"/>
        <v>Unsure</v>
      </c>
      <c r="FA33" t="str">
        <f ca="1"/>
        <v>Unsure</v>
      </c>
      <c r="FB33" t="str">
        <f ca="1"/>
        <v>Unsure</v>
      </c>
      <c r="FC33" t="str">
        <f ca="1"/>
        <v>Unsure</v>
      </c>
      <c r="FD33" t="str">
        <f ca="1"/>
        <v>Unsure</v>
      </c>
      <c r="FE33" t="str">
        <f ca="1"/>
        <v>Unsure</v>
      </c>
      <c r="FF33" t="str">
        <f ca="1"/>
        <v>Unsure</v>
      </c>
      <c r="FG33" t="str">
        <f ca="1"/>
        <v>Unsure</v>
      </c>
      <c r="FH33" t="str">
        <f ca="1"/>
        <v>Unsure</v>
      </c>
      <c r="FI33" t="str">
        <f ca="1"/>
        <v>Unsure</v>
      </c>
      <c r="FJ33" t="str">
        <f ca="1"/>
        <v>Unsure</v>
      </c>
      <c r="FK33" t="str">
        <f ca="1"/>
        <v>Unsure</v>
      </c>
      <c r="FL33" t="str">
        <f ca="1"/>
        <v>Unsure</v>
      </c>
      <c r="FM33" t="str">
        <f ca="1"/>
        <v>Unsure</v>
      </c>
      <c r="FN33" t="str">
        <f ca="1"/>
        <v>Unsure</v>
      </c>
      <c r="FO33" t="str">
        <f ca="1"/>
        <v>Unsure</v>
      </c>
      <c r="FP33" t="str">
        <f ca="1"/>
        <v>Unsure</v>
      </c>
      <c r="FQ33" t="str">
        <f ca="1"/>
        <v>Unsure</v>
      </c>
      <c r="FR33" t="str">
        <f ca="1"/>
        <v>Unsure</v>
      </c>
      <c r="FS33" t="str">
        <f ca="1"/>
        <v>Unsure</v>
      </c>
      <c r="FT33" t="str">
        <f ca="1"/>
        <v>Unsure</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c r="OS33">
        <v>0</v>
      </c>
      <c r="OT33">
        <v>0</v>
      </c>
      <c r="OU33">
        <v>0</v>
      </c>
      <c r="OV33">
        <v>0</v>
      </c>
      <c r="OW33">
        <v>0</v>
      </c>
      <c r="OX33">
        <v>0</v>
      </c>
      <c r="OY33">
        <v>0</v>
      </c>
      <c r="OZ33">
        <v>0</v>
      </c>
      <c r="PA33">
        <v>0</v>
      </c>
      <c r="PB33">
        <v>0</v>
      </c>
      <c r="PC33">
        <v>0</v>
      </c>
      <c r="PD33">
        <v>0</v>
      </c>
      <c r="PE33">
        <v>0</v>
      </c>
      <c r="PF33">
        <v>0</v>
      </c>
      <c r="PG33">
        <v>0</v>
      </c>
      <c r="PH33">
        <v>0</v>
      </c>
      <c r="PI33">
        <v>0</v>
      </c>
      <c r="PJ33">
        <v>0</v>
      </c>
      <c r="PK33">
        <v>0</v>
      </c>
      <c r="PL33">
        <v>0</v>
      </c>
      <c r="PM33">
        <v>0</v>
      </c>
      <c r="PN33">
        <v>0</v>
      </c>
      <c r="PO33">
        <v>0</v>
      </c>
      <c r="PP33">
        <v>0</v>
      </c>
      <c r="PQ33">
        <v>0</v>
      </c>
      <c r="PR33">
        <v>0</v>
      </c>
      <c r="PS33">
        <v>0</v>
      </c>
      <c r="PT33">
        <v>0</v>
      </c>
      <c r="PU33">
        <v>0</v>
      </c>
      <c r="PV33">
        <v>0</v>
      </c>
      <c r="PW33">
        <v>0</v>
      </c>
      <c r="PX33">
        <v>0</v>
      </c>
      <c r="PY33">
        <v>0</v>
      </c>
      <c r="PZ33">
        <v>0</v>
      </c>
      <c r="QA33">
        <v>0</v>
      </c>
      <c r="QB33">
        <v>0</v>
      </c>
      <c r="QC33">
        <v>0</v>
      </c>
      <c r="QD33">
        <v>0</v>
      </c>
      <c r="QE33">
        <v>0</v>
      </c>
      <c r="QF33">
        <v>0</v>
      </c>
      <c r="QG33">
        <v>0</v>
      </c>
      <c r="QH33">
        <v>0</v>
      </c>
      <c r="QI33">
        <v>0</v>
      </c>
      <c r="QJ33">
        <v>0</v>
      </c>
      <c r="QK33">
        <v>0</v>
      </c>
      <c r="QL33">
        <v>0</v>
      </c>
      <c r="QM33">
        <v>0</v>
      </c>
      <c r="QN33">
        <v>0</v>
      </c>
      <c r="QO33">
        <v>0</v>
      </c>
      <c r="QP33">
        <v>0</v>
      </c>
      <c r="QQ33">
        <v>0</v>
      </c>
      <c r="QR33">
        <v>0</v>
      </c>
      <c r="QS33">
        <v>0</v>
      </c>
      <c r="QT33">
        <v>0</v>
      </c>
      <c r="QU33">
        <v>0</v>
      </c>
      <c r="QV33">
        <v>0</v>
      </c>
      <c r="QW33">
        <v>0</v>
      </c>
      <c r="QX33">
        <v>0</v>
      </c>
      <c r="QY33">
        <v>0</v>
      </c>
      <c r="QZ33">
        <v>0</v>
      </c>
      <c r="RA33">
        <v>0</v>
      </c>
      <c r="RB33">
        <v>0</v>
      </c>
      <c r="RC33">
        <v>0</v>
      </c>
      <c r="RD33">
        <v>0</v>
      </c>
      <c r="RE33">
        <v>0</v>
      </c>
      <c r="RF33">
        <v>0</v>
      </c>
      <c r="RG33">
        <v>0</v>
      </c>
      <c r="RH33">
        <v>0</v>
      </c>
      <c r="RI33">
        <v>0</v>
      </c>
      <c r="RJ33">
        <v>0</v>
      </c>
      <c r="RK33">
        <v>0</v>
      </c>
      <c r="RL33">
        <v>0</v>
      </c>
      <c r="RM33">
        <v>0</v>
      </c>
      <c r="RN33">
        <v>0</v>
      </c>
      <c r="RO33">
        <v>0</v>
      </c>
      <c r="RP33">
        <v>0</v>
      </c>
      <c r="RQ33">
        <v>0</v>
      </c>
      <c r="RR33">
        <v>0</v>
      </c>
      <c r="RS33">
        <v>0</v>
      </c>
      <c r="RT33">
        <v>0</v>
      </c>
      <c r="RU33">
        <v>0</v>
      </c>
      <c r="RV33">
        <v>0</v>
      </c>
      <c r="RW33">
        <v>0</v>
      </c>
      <c r="RX33">
        <v>0</v>
      </c>
      <c r="RY33">
        <v>0</v>
      </c>
      <c r="RZ33">
        <v>0</v>
      </c>
      <c r="SA33">
        <v>0</v>
      </c>
      <c r="SB33">
        <v>0</v>
      </c>
      <c r="SC33">
        <v>0</v>
      </c>
      <c r="SD33">
        <v>0</v>
      </c>
      <c r="SE33">
        <v>0</v>
      </c>
      <c r="SF33">
        <v>0</v>
      </c>
      <c r="SG33">
        <v>0</v>
      </c>
      <c r="SH33">
        <v>0</v>
      </c>
      <c r="SI33">
        <v>0</v>
      </c>
      <c r="SJ33">
        <v>0</v>
      </c>
      <c r="SK33">
        <v>0</v>
      </c>
      <c r="SL33">
        <v>0</v>
      </c>
      <c r="SM33">
        <v>0</v>
      </c>
      <c r="SN33">
        <v>0</v>
      </c>
      <c r="SO33">
        <v>0</v>
      </c>
      <c r="SP33">
        <v>0</v>
      </c>
      <c r="SQ33">
        <v>0</v>
      </c>
      <c r="SR33">
        <v>0</v>
      </c>
      <c r="SS33">
        <v>0</v>
      </c>
      <c r="ST33">
        <v>0</v>
      </c>
      <c r="SU33">
        <v>0</v>
      </c>
      <c r="SV33">
        <v>0</v>
      </c>
      <c r="SW33">
        <v>0</v>
      </c>
      <c r="SX33">
        <v>0</v>
      </c>
      <c r="SY33">
        <v>0</v>
      </c>
      <c r="SZ33">
        <v>0</v>
      </c>
      <c r="TA33">
        <v>0</v>
      </c>
      <c r="TB33">
        <v>0</v>
      </c>
      <c r="TC33">
        <v>0</v>
      </c>
      <c r="TD33">
        <v>0</v>
      </c>
      <c r="TE33">
        <v>0</v>
      </c>
      <c r="TF33">
        <v>0</v>
      </c>
      <c r="TG33">
        <v>0</v>
      </c>
      <c r="TH33">
        <v>0</v>
      </c>
      <c r="TI33">
        <v>0</v>
      </c>
      <c r="TJ33">
        <v>0</v>
      </c>
      <c r="TK33">
        <v>0</v>
      </c>
      <c r="TL33">
        <v>0</v>
      </c>
      <c r="TM33">
        <v>0</v>
      </c>
      <c r="TN33">
        <v>0</v>
      </c>
      <c r="TO33">
        <v>0</v>
      </c>
      <c r="TP33">
        <v>0</v>
      </c>
      <c r="TQ33">
        <v>0</v>
      </c>
      <c r="TR33">
        <v>0</v>
      </c>
      <c r="TS33">
        <v>0</v>
      </c>
      <c r="TT33">
        <v>0</v>
      </c>
      <c r="TU33">
        <v>0</v>
      </c>
      <c r="TV33">
        <v>0</v>
      </c>
      <c r="TW33">
        <v>0</v>
      </c>
      <c r="TX33">
        <v>0</v>
      </c>
      <c r="TY33">
        <v>0</v>
      </c>
      <c r="TZ33">
        <v>0</v>
      </c>
      <c r="UA33">
        <v>0</v>
      </c>
      <c r="UB33">
        <v>0</v>
      </c>
      <c r="UC33">
        <v>0</v>
      </c>
      <c r="UD33">
        <v>0</v>
      </c>
      <c r="UE33">
        <v>0</v>
      </c>
      <c r="UF33">
        <v>0</v>
      </c>
      <c r="UG33">
        <v>0</v>
      </c>
      <c r="UH33">
        <v>0</v>
      </c>
      <c r="UI33">
        <v>0</v>
      </c>
      <c r="UJ33">
        <v>0</v>
      </c>
      <c r="UK33">
        <v>0</v>
      </c>
      <c r="UL33">
        <v>0</v>
      </c>
      <c r="UM33">
        <v>0</v>
      </c>
      <c r="UN33">
        <v>0</v>
      </c>
      <c r="UO33">
        <v>0</v>
      </c>
      <c r="UP33">
        <v>0</v>
      </c>
      <c r="UQ33">
        <v>0</v>
      </c>
      <c r="UR33">
        <v>0</v>
      </c>
      <c r="US33">
        <v>0</v>
      </c>
      <c r="UT33">
        <v>0</v>
      </c>
      <c r="UU33">
        <v>0</v>
      </c>
      <c r="UV33">
        <v>0</v>
      </c>
      <c r="UW33">
        <v>0</v>
      </c>
      <c r="UX33">
        <v>0</v>
      </c>
      <c r="UY33">
        <v>0</v>
      </c>
      <c r="UZ33">
        <v>0</v>
      </c>
      <c r="VA33">
        <v>0</v>
      </c>
      <c r="VB33">
        <v>0</v>
      </c>
      <c r="VC33">
        <v>0</v>
      </c>
      <c r="VD33">
        <v>0</v>
      </c>
      <c r="VE33">
        <v>0</v>
      </c>
      <c r="VF33">
        <v>0</v>
      </c>
      <c r="VG33">
        <v>0</v>
      </c>
      <c r="VH33">
        <v>0</v>
      </c>
      <c r="VI33">
        <v>0</v>
      </c>
      <c r="VJ33">
        <v>0</v>
      </c>
      <c r="VK33">
        <v>0</v>
      </c>
      <c r="VL33">
        <v>0</v>
      </c>
      <c r="VM33">
        <v>0</v>
      </c>
      <c r="VN33">
        <v>0</v>
      </c>
      <c r="VO33">
        <v>0</v>
      </c>
      <c r="VP33">
        <v>0</v>
      </c>
      <c r="VQ33">
        <v>0</v>
      </c>
      <c r="VR33">
        <v>0</v>
      </c>
      <c r="VS33">
        <v>0</v>
      </c>
      <c r="VT33">
        <v>0</v>
      </c>
      <c r="VU33">
        <v>0</v>
      </c>
      <c r="VV33">
        <v>0</v>
      </c>
      <c r="VW33">
        <v>0</v>
      </c>
      <c r="VX33">
        <v>0</v>
      </c>
      <c r="VY33">
        <v>0</v>
      </c>
      <c r="VZ33">
        <v>0</v>
      </c>
      <c r="WA33">
        <v>0</v>
      </c>
      <c r="WB33">
        <v>0</v>
      </c>
      <c r="WC33">
        <v>0</v>
      </c>
      <c r="WD33">
        <v>0</v>
      </c>
      <c r="WE33">
        <v>0</v>
      </c>
      <c r="WF33">
        <v>0</v>
      </c>
      <c r="WG33">
        <v>0</v>
      </c>
      <c r="WH33">
        <v>0</v>
      </c>
      <c r="WI33">
        <v>0</v>
      </c>
      <c r="WJ33">
        <v>0</v>
      </c>
      <c r="WK33">
        <v>0</v>
      </c>
      <c r="WL33">
        <v>0</v>
      </c>
      <c r="WM33">
        <v>0</v>
      </c>
      <c r="WN33">
        <v>0</v>
      </c>
      <c r="WO33">
        <v>0</v>
      </c>
      <c r="WP33">
        <v>0</v>
      </c>
      <c r="WQ33">
        <v>0</v>
      </c>
      <c r="WR33">
        <v>0</v>
      </c>
      <c r="WS33">
        <v>0</v>
      </c>
      <c r="WT33">
        <v>0</v>
      </c>
      <c r="WU33">
        <v>0</v>
      </c>
      <c r="WV33">
        <v>0</v>
      </c>
      <c r="WW33">
        <v>0</v>
      </c>
      <c r="WX33">
        <v>0</v>
      </c>
      <c r="WY33">
        <v>0</v>
      </c>
      <c r="WZ33">
        <v>0</v>
      </c>
      <c r="XA33">
        <v>0</v>
      </c>
      <c r="XB33">
        <v>0</v>
      </c>
      <c r="XC33">
        <v>0</v>
      </c>
      <c r="XD33">
        <v>0</v>
      </c>
      <c r="XE33">
        <v>0</v>
      </c>
      <c r="XF33">
        <v>0</v>
      </c>
      <c r="XG33">
        <v>0</v>
      </c>
      <c r="XH33">
        <v>0</v>
      </c>
      <c r="XI33">
        <v>0</v>
      </c>
      <c r="XJ33">
        <v>0</v>
      </c>
      <c r="XK33">
        <v>0</v>
      </c>
      <c r="XL33">
        <v>0</v>
      </c>
      <c r="XM33">
        <v>0</v>
      </c>
      <c r="XN33">
        <v>0</v>
      </c>
      <c r="XO33">
        <v>0</v>
      </c>
      <c r="XP33">
        <v>0</v>
      </c>
      <c r="XQ33">
        <v>0</v>
      </c>
      <c r="XR33">
        <v>0</v>
      </c>
      <c r="XS33">
        <v>0</v>
      </c>
      <c r="XT33">
        <v>0</v>
      </c>
      <c r="XU33">
        <v>0</v>
      </c>
      <c r="XV33">
        <v>0</v>
      </c>
      <c r="XW33">
        <v>0</v>
      </c>
      <c r="XX33">
        <v>0</v>
      </c>
      <c r="XY33">
        <v>0</v>
      </c>
      <c r="XZ33">
        <v>0</v>
      </c>
      <c r="YA33">
        <v>0</v>
      </c>
      <c r="YB33">
        <v>0</v>
      </c>
      <c r="YC33">
        <v>0</v>
      </c>
      <c r="YD33">
        <v>0</v>
      </c>
      <c r="YE33">
        <v>0</v>
      </c>
      <c r="YF33">
        <v>0</v>
      </c>
      <c r="YG33">
        <v>0</v>
      </c>
      <c r="YH33">
        <v>0</v>
      </c>
      <c r="YI33">
        <v>0</v>
      </c>
      <c r="YJ33">
        <v>0</v>
      </c>
      <c r="YK33">
        <v>0</v>
      </c>
      <c r="YL33">
        <v>0</v>
      </c>
      <c r="YM33">
        <v>0</v>
      </c>
      <c r="YN33">
        <v>0</v>
      </c>
      <c r="YO33">
        <v>0</v>
      </c>
      <c r="YP33">
        <v>0</v>
      </c>
      <c r="YQ33">
        <v>0</v>
      </c>
      <c r="YR33">
        <v>0</v>
      </c>
      <c r="YS33">
        <v>0</v>
      </c>
      <c r="YT33">
        <v>0</v>
      </c>
      <c r="YU33">
        <v>0</v>
      </c>
      <c r="YV33">
        <v>0</v>
      </c>
      <c r="YW33">
        <v>0</v>
      </c>
      <c r="YX33">
        <v>0</v>
      </c>
      <c r="YY33">
        <v>0</v>
      </c>
      <c r="YZ33">
        <v>0</v>
      </c>
      <c r="ZA33">
        <v>0</v>
      </c>
      <c r="ZB33">
        <v>0</v>
      </c>
      <c r="ZC33">
        <v>0</v>
      </c>
      <c r="ZD33">
        <v>0</v>
      </c>
      <c r="ZE33">
        <v>0</v>
      </c>
      <c r="ZF33">
        <v>0</v>
      </c>
      <c r="ZG33">
        <v>0</v>
      </c>
      <c r="ZH33">
        <v>0</v>
      </c>
      <c r="ZI33">
        <v>0</v>
      </c>
      <c r="ZJ33">
        <v>0</v>
      </c>
      <c r="ZK33">
        <v>0</v>
      </c>
      <c r="ZL33">
        <v>0</v>
      </c>
      <c r="ZM33">
        <v>0</v>
      </c>
      <c r="ZN33">
        <v>0</v>
      </c>
      <c r="ZO33">
        <v>0</v>
      </c>
      <c r="ZP33">
        <v>0</v>
      </c>
      <c r="ZQ33">
        <v>0</v>
      </c>
      <c r="ZR33">
        <v>0</v>
      </c>
      <c r="ZS33">
        <v>0</v>
      </c>
      <c r="ZT33">
        <v>0</v>
      </c>
      <c r="ZU33">
        <v>0</v>
      </c>
      <c r="ZV33">
        <v>0</v>
      </c>
      <c r="ZW33">
        <v>0</v>
      </c>
      <c r="ZX33">
        <v>0</v>
      </c>
      <c r="ZY33">
        <v>0</v>
      </c>
      <c r="ZZ33">
        <v>0</v>
      </c>
      <c r="AAA33">
        <v>0</v>
      </c>
      <c r="AAB33">
        <v>0</v>
      </c>
      <c r="AAC33">
        <v>0</v>
      </c>
      <c r="AAD33">
        <v>0</v>
      </c>
      <c r="AAE33">
        <v>0</v>
      </c>
      <c r="AAF33">
        <v>0</v>
      </c>
      <c r="AAG33">
        <v>0</v>
      </c>
      <c r="AAH33">
        <v>0</v>
      </c>
      <c r="AAI33">
        <v>0</v>
      </c>
      <c r="AAJ33">
        <v>0</v>
      </c>
      <c r="AAK33">
        <v>0</v>
      </c>
      <c r="AAL33">
        <v>0</v>
      </c>
      <c r="AAM33">
        <v>0</v>
      </c>
      <c r="AAN33">
        <v>0</v>
      </c>
      <c r="AAO33">
        <v>0</v>
      </c>
      <c r="AAP33">
        <v>0</v>
      </c>
      <c r="AAQ33">
        <v>0</v>
      </c>
      <c r="AAR33">
        <v>0</v>
      </c>
      <c r="AAS33">
        <v>0</v>
      </c>
      <c r="AAT33">
        <v>0</v>
      </c>
      <c r="AAU33">
        <v>0</v>
      </c>
      <c r="AAV33">
        <v>0</v>
      </c>
      <c r="AAW33">
        <v>0</v>
      </c>
      <c r="AAX33">
        <v>0</v>
      </c>
      <c r="AAY33">
        <v>0</v>
      </c>
      <c r="AAZ33">
        <v>0</v>
      </c>
      <c r="ABA33">
        <v>0</v>
      </c>
      <c r="ABB33">
        <v>0</v>
      </c>
      <c r="ABC33">
        <v>0</v>
      </c>
      <c r="ABD33">
        <v>0</v>
      </c>
      <c r="ABE33">
        <v>0</v>
      </c>
      <c r="ABF33">
        <v>0</v>
      </c>
      <c r="ABG33">
        <v>0</v>
      </c>
      <c r="ABH33">
        <v>0</v>
      </c>
      <c r="ABI33">
        <v>0</v>
      </c>
      <c r="ABJ33">
        <v>0</v>
      </c>
      <c r="ABK33">
        <v>0</v>
      </c>
      <c r="ABL33">
        <v>0</v>
      </c>
      <c r="ABM33">
        <v>0</v>
      </c>
      <c r="ABN33">
        <v>0</v>
      </c>
      <c r="ABO33">
        <v>0</v>
      </c>
      <c r="ABP33">
        <v>0</v>
      </c>
      <c r="ABQ33">
        <v>0</v>
      </c>
      <c r="ABR33">
        <v>0</v>
      </c>
      <c r="ABS33">
        <v>0</v>
      </c>
      <c r="ABT33">
        <v>0</v>
      </c>
      <c r="ABU33">
        <v>0</v>
      </c>
      <c r="ABV33">
        <v>0</v>
      </c>
      <c r="ABW33">
        <v>0</v>
      </c>
      <c r="ABX33">
        <v>0</v>
      </c>
      <c r="ABY33">
        <v>0</v>
      </c>
      <c r="ABZ33">
        <v>0</v>
      </c>
      <c r="ACA33">
        <v>0</v>
      </c>
      <c r="ACB33">
        <v>0</v>
      </c>
      <c r="ACC33">
        <v>0</v>
      </c>
      <c r="ACD33">
        <v>0</v>
      </c>
      <c r="ACE33">
        <v>0</v>
      </c>
      <c r="ACF33">
        <v>0</v>
      </c>
      <c r="ACG33">
        <v>0</v>
      </c>
      <c r="ACH33">
        <v>0</v>
      </c>
      <c r="ACI33">
        <v>0</v>
      </c>
      <c r="ACJ33">
        <v>0</v>
      </c>
      <c r="ACK33">
        <v>0</v>
      </c>
      <c r="ACL33">
        <v>0</v>
      </c>
      <c r="ACM33">
        <v>0</v>
      </c>
      <c r="ACN33">
        <v>0</v>
      </c>
      <c r="ACO33">
        <v>0</v>
      </c>
      <c r="ACP33">
        <v>0</v>
      </c>
      <c r="ACQ33">
        <v>0</v>
      </c>
      <c r="ACR33">
        <v>0</v>
      </c>
      <c r="ACS33">
        <v>0</v>
      </c>
      <c r="ACT33">
        <v>0</v>
      </c>
      <c r="ACU33">
        <v>0</v>
      </c>
      <c r="ACV33">
        <v>0</v>
      </c>
      <c r="ACW33">
        <v>0</v>
      </c>
      <c r="ACX33">
        <v>0</v>
      </c>
      <c r="ACY33">
        <v>0</v>
      </c>
      <c r="ACZ33">
        <v>0</v>
      </c>
      <c r="ADA33">
        <v>0</v>
      </c>
      <c r="ADB33">
        <v>0</v>
      </c>
      <c r="ADC33">
        <v>0</v>
      </c>
      <c r="ADD33">
        <v>0</v>
      </c>
      <c r="ADE33">
        <v>0</v>
      </c>
      <c r="ADF33">
        <v>0</v>
      </c>
      <c r="ADG33">
        <v>0</v>
      </c>
      <c r="ADH33">
        <v>0</v>
      </c>
      <c r="ADI33">
        <v>0</v>
      </c>
      <c r="ADJ33">
        <v>0</v>
      </c>
      <c r="ADK33">
        <v>0</v>
      </c>
      <c r="ADL33">
        <v>0</v>
      </c>
      <c r="ADM33">
        <v>0</v>
      </c>
      <c r="ADN33">
        <v>0</v>
      </c>
      <c r="ADO33">
        <v>0</v>
      </c>
      <c r="ADP33">
        <v>0</v>
      </c>
      <c r="ADQ33">
        <v>0</v>
      </c>
      <c r="ADR33">
        <v>0</v>
      </c>
      <c r="ADS33">
        <v>0</v>
      </c>
      <c r="ADT33">
        <v>0</v>
      </c>
      <c r="ADU33">
        <v>0</v>
      </c>
      <c r="ADV33">
        <v>0</v>
      </c>
      <c r="ADW33">
        <v>0</v>
      </c>
      <c r="ADX33">
        <v>0</v>
      </c>
      <c r="ADY33">
        <v>0</v>
      </c>
      <c r="ADZ33">
        <v>0</v>
      </c>
      <c r="AEA33">
        <v>0</v>
      </c>
      <c r="AEB33">
        <v>0</v>
      </c>
      <c r="AEC33">
        <v>0</v>
      </c>
      <c r="AED33">
        <v>0</v>
      </c>
      <c r="AEE33">
        <v>0</v>
      </c>
      <c r="AEF33">
        <v>0</v>
      </c>
      <c r="AEG33">
        <v>0</v>
      </c>
      <c r="AEH33">
        <v>0</v>
      </c>
      <c r="AEI33">
        <v>0</v>
      </c>
      <c r="AEJ33">
        <v>0</v>
      </c>
      <c r="AEK33">
        <v>0</v>
      </c>
      <c r="AEL33">
        <v>0</v>
      </c>
      <c r="AEM33">
        <v>0</v>
      </c>
      <c r="AEN33">
        <v>0</v>
      </c>
      <c r="AEO33">
        <v>0</v>
      </c>
      <c r="AEP33">
        <v>0</v>
      </c>
      <c r="AEQ33">
        <v>0</v>
      </c>
      <c r="AER33">
        <v>0</v>
      </c>
      <c r="AES33">
        <v>0</v>
      </c>
      <c r="AET33">
        <v>0</v>
      </c>
      <c r="AEU33">
        <v>0</v>
      </c>
      <c r="AEV33">
        <v>0</v>
      </c>
      <c r="AEW33">
        <v>0</v>
      </c>
      <c r="AEX33">
        <v>0</v>
      </c>
      <c r="AEY33">
        <v>0</v>
      </c>
      <c r="AEZ33">
        <v>0</v>
      </c>
      <c r="AFA33">
        <v>0</v>
      </c>
      <c r="AFB33">
        <v>0</v>
      </c>
      <c r="AFC33">
        <v>0</v>
      </c>
      <c r="AFD33">
        <v>0</v>
      </c>
      <c r="AFE33">
        <v>0</v>
      </c>
      <c r="AFF33">
        <v>0</v>
      </c>
      <c r="AFG33">
        <v>0</v>
      </c>
      <c r="AFH33">
        <v>0</v>
      </c>
      <c r="AFI33">
        <v>0</v>
      </c>
      <c r="AFJ33">
        <v>0</v>
      </c>
      <c r="AFK33">
        <v>0</v>
      </c>
      <c r="AFL33">
        <v>0</v>
      </c>
      <c r="AFM33">
        <v>0</v>
      </c>
      <c r="AFN33">
        <v>0</v>
      </c>
      <c r="AFO33">
        <v>0</v>
      </c>
      <c r="AFP33">
        <v>0</v>
      </c>
      <c r="AFQ33">
        <v>0</v>
      </c>
      <c r="AFR33">
        <v>0</v>
      </c>
      <c r="AFS33">
        <v>0</v>
      </c>
      <c r="AFT33">
        <v>0</v>
      </c>
      <c r="AFU33">
        <v>0</v>
      </c>
      <c r="AFV33">
        <v>0</v>
      </c>
      <c r="AFW33">
        <v>0</v>
      </c>
      <c r="AFX33">
        <v>0</v>
      </c>
      <c r="AFY33">
        <v>0</v>
      </c>
      <c r="AFZ33">
        <v>0</v>
      </c>
      <c r="AGA33">
        <v>0</v>
      </c>
      <c r="AGB33">
        <v>0</v>
      </c>
      <c r="AGC33">
        <v>0</v>
      </c>
      <c r="AGD33">
        <v>0</v>
      </c>
      <c r="AGE33">
        <v>0</v>
      </c>
      <c r="AGF33">
        <v>0</v>
      </c>
      <c r="AGG33">
        <v>0</v>
      </c>
      <c r="AGH33">
        <v>0</v>
      </c>
      <c r="AGI33">
        <v>0</v>
      </c>
      <c r="AGJ33">
        <v>0</v>
      </c>
      <c r="AGK33">
        <v>0</v>
      </c>
      <c r="AGL33">
        <v>0</v>
      </c>
      <c r="AGM33">
        <v>0</v>
      </c>
      <c r="AGN33">
        <v>0</v>
      </c>
      <c r="AGO33">
        <v>0</v>
      </c>
      <c r="AGP33">
        <v>0</v>
      </c>
      <c r="AGQ33">
        <v>0</v>
      </c>
      <c r="AGR33">
        <v>0</v>
      </c>
      <c r="AGS33">
        <v>0</v>
      </c>
      <c r="AGT33">
        <v>0</v>
      </c>
      <c r="AGU33">
        <v>0</v>
      </c>
      <c r="AGV33">
        <v>0</v>
      </c>
      <c r="AGW33">
        <v>0</v>
      </c>
      <c r="AGX33">
        <v>0</v>
      </c>
      <c r="AGY33">
        <v>0</v>
      </c>
      <c r="AGZ33">
        <v>0</v>
      </c>
      <c r="AHA33">
        <v>0</v>
      </c>
      <c r="AHB33">
        <v>0</v>
      </c>
      <c r="AHC33">
        <v>0</v>
      </c>
      <c r="AHD33">
        <v>0</v>
      </c>
      <c r="AHE33">
        <v>0</v>
      </c>
      <c r="AHF33">
        <v>0</v>
      </c>
      <c r="AHG33">
        <v>0</v>
      </c>
      <c r="AHH33">
        <v>0</v>
      </c>
      <c r="AHI33">
        <v>0</v>
      </c>
      <c r="AHJ33">
        <v>0</v>
      </c>
      <c r="AHK33">
        <v>0</v>
      </c>
      <c r="AHL33">
        <v>0</v>
      </c>
      <c r="AHM33">
        <v>0</v>
      </c>
      <c r="AHN33">
        <v>0</v>
      </c>
      <c r="AHO33">
        <v>0</v>
      </c>
      <c r="AHP33">
        <v>0</v>
      </c>
      <c r="AHQ33">
        <v>0</v>
      </c>
      <c r="AHR33">
        <v>0</v>
      </c>
      <c r="AHS33">
        <v>0</v>
      </c>
      <c r="AHT33">
        <v>0</v>
      </c>
      <c r="AHU33">
        <v>0</v>
      </c>
      <c r="AHV33">
        <v>0</v>
      </c>
      <c r="AHW33">
        <v>0</v>
      </c>
      <c r="AHX33">
        <v>0</v>
      </c>
      <c r="AHY33">
        <v>0</v>
      </c>
      <c r="AHZ33">
        <v>0</v>
      </c>
      <c r="AIA33">
        <v>0</v>
      </c>
      <c r="AIB33">
        <v>0</v>
      </c>
      <c r="AIC33">
        <v>0</v>
      </c>
      <c r="AID33">
        <v>0</v>
      </c>
      <c r="AIE33">
        <v>0</v>
      </c>
      <c r="AIF33">
        <v>0</v>
      </c>
      <c r="AIG33">
        <v>0</v>
      </c>
      <c r="AIH33">
        <v>0</v>
      </c>
      <c r="AII33">
        <v>0</v>
      </c>
      <c r="AIJ33">
        <v>0</v>
      </c>
      <c r="AIK33">
        <v>0</v>
      </c>
      <c r="AIL33">
        <v>0</v>
      </c>
      <c r="AIM33">
        <v>0</v>
      </c>
      <c r="AIN33">
        <v>0</v>
      </c>
      <c r="AIO33">
        <v>0</v>
      </c>
      <c r="AIP33">
        <v>0</v>
      </c>
      <c r="AIQ33">
        <v>0</v>
      </c>
      <c r="AIR33">
        <v>0</v>
      </c>
      <c r="AIS33">
        <v>0</v>
      </c>
      <c r="AIT33">
        <v>0</v>
      </c>
      <c r="AIU33">
        <v>0</v>
      </c>
      <c r="AIV33">
        <v>0</v>
      </c>
      <c r="AIW33">
        <v>0</v>
      </c>
      <c r="AIX33">
        <v>0</v>
      </c>
      <c r="AIY33">
        <v>0</v>
      </c>
      <c r="AIZ33">
        <v>0</v>
      </c>
      <c r="AJA33">
        <v>0</v>
      </c>
      <c r="AJB33">
        <v>0</v>
      </c>
      <c r="AJC33">
        <v>0</v>
      </c>
      <c r="AJD33">
        <v>0</v>
      </c>
      <c r="AJE33">
        <v>0</v>
      </c>
      <c r="AJF33">
        <v>0</v>
      </c>
      <c r="AJG33">
        <v>0</v>
      </c>
      <c r="AJH33">
        <v>0</v>
      </c>
      <c r="AJI33">
        <v>0</v>
      </c>
      <c r="AJJ33">
        <v>0</v>
      </c>
      <c r="AJK33">
        <v>0</v>
      </c>
      <c r="AJL33">
        <v>0</v>
      </c>
      <c r="AJM33">
        <v>0</v>
      </c>
      <c r="AJN33">
        <v>0</v>
      </c>
      <c r="AJO33">
        <v>0</v>
      </c>
      <c r="AJP33">
        <v>0</v>
      </c>
      <c r="AJQ33">
        <v>0</v>
      </c>
      <c r="AJR33">
        <v>0</v>
      </c>
      <c r="AJS33">
        <v>0</v>
      </c>
      <c r="AJT33">
        <v>0</v>
      </c>
      <c r="AJU33">
        <v>0</v>
      </c>
      <c r="AJV33">
        <v>0</v>
      </c>
      <c r="AJW33">
        <v>0</v>
      </c>
      <c r="AJX33">
        <v>0</v>
      </c>
      <c r="AJY33">
        <v>0</v>
      </c>
      <c r="AJZ33">
        <v>0</v>
      </c>
      <c r="AKA33">
        <v>0</v>
      </c>
      <c r="AKB33">
        <v>0</v>
      </c>
      <c r="AKC33">
        <v>0</v>
      </c>
      <c r="AKD33">
        <v>0</v>
      </c>
      <c r="AKE33">
        <v>0</v>
      </c>
      <c r="AKF33">
        <v>0</v>
      </c>
      <c r="AKG33">
        <v>0</v>
      </c>
      <c r="AKH33">
        <v>0</v>
      </c>
      <c r="AKI33">
        <v>0</v>
      </c>
      <c r="AKJ33">
        <v>0</v>
      </c>
      <c r="AKK33">
        <v>0</v>
      </c>
      <c r="AKL33">
        <v>0</v>
      </c>
      <c r="AKM33">
        <v>0</v>
      </c>
      <c r="AKN33">
        <v>0</v>
      </c>
      <c r="AKO33">
        <v>0</v>
      </c>
      <c r="AKP33">
        <v>0</v>
      </c>
      <c r="AKQ33">
        <v>0</v>
      </c>
      <c r="AKR33">
        <v>0</v>
      </c>
      <c r="AKS33">
        <v>0</v>
      </c>
      <c r="AKT33">
        <v>0</v>
      </c>
      <c r="AKU33">
        <v>0</v>
      </c>
      <c r="AKV33">
        <v>0</v>
      </c>
      <c r="AKW33">
        <v>0</v>
      </c>
      <c r="AKX33">
        <v>0</v>
      </c>
      <c r="AKY33">
        <v>0</v>
      </c>
      <c r="AKZ33">
        <v>0</v>
      </c>
      <c r="ALA33">
        <v>0</v>
      </c>
      <c r="ALB33">
        <v>0</v>
      </c>
      <c r="ALC33">
        <v>0</v>
      </c>
      <c r="ALD33">
        <v>0</v>
      </c>
      <c r="ALE33">
        <v>0</v>
      </c>
      <c r="ALF33">
        <v>0</v>
      </c>
      <c r="ALG33">
        <v>0</v>
      </c>
      <c r="ALH33">
        <v>0</v>
      </c>
      <c r="ALI33">
        <v>0</v>
      </c>
      <c r="ALJ33">
        <v>0</v>
      </c>
      <c r="ALK33">
        <v>0</v>
      </c>
      <c r="ALL33">
        <v>0</v>
      </c>
      <c r="ALM33">
        <v>0</v>
      </c>
      <c r="ALN33">
        <v>0</v>
      </c>
      <c r="ALO33">
        <v>0</v>
      </c>
      <c r="ALP33">
        <v>0</v>
      </c>
      <c r="ALQ33">
        <v>0</v>
      </c>
    </row>
    <row r="34" spans="1:1005" ht="70">
      <c r="A34" s="351" t="s">
        <v>949</v>
      </c>
      <c r="B34" s="352" t="s">
        <v>45</v>
      </c>
      <c r="C34" s="357" t="s">
        <v>82</v>
      </c>
      <c r="D34" s="352" t="s">
        <v>274</v>
      </c>
      <c r="E34" s="354" t="s">
        <v>355</v>
      </c>
      <c r="F34" t="str">
        <f t="array" ref="F34:ALQ34" ca="1">TRANSPOSE(Filtered!AE2:AE1005)</f>
        <v>Unsure</v>
      </c>
      <c r="G34" t="str">
        <f ca="1"/>
        <v>Unsure</v>
      </c>
      <c r="H34" t="str">
        <f ca="1"/>
        <v>Unsure</v>
      </c>
      <c r="I34" t="str">
        <f ca="1"/>
        <v>Unsure</v>
      </c>
      <c r="J34" t="str">
        <f ca="1"/>
        <v>No</v>
      </c>
      <c r="K34" t="str">
        <f ca="1"/>
        <v>Unsure</v>
      </c>
      <c r="L34" t="str">
        <f ca="1"/>
        <v>Unsure</v>
      </c>
      <c r="M34" t="str">
        <f ca="1"/>
        <v>Unsure</v>
      </c>
      <c r="N34" t="str">
        <f ca="1"/>
        <v>unsure</v>
      </c>
      <c r="O34" t="str">
        <f ca="1"/>
        <v>Unsure</v>
      </c>
      <c r="P34" t="str">
        <f ca="1"/>
        <v>Unsure</v>
      </c>
      <c r="Q34" t="str">
        <f ca="1"/>
        <v>Unsure</v>
      </c>
      <c r="R34" t="str">
        <f ca="1"/>
        <v>Unsure</v>
      </c>
      <c r="S34" t="str">
        <f ca="1"/>
        <v>Unsure</v>
      </c>
      <c r="T34" t="str">
        <f ca="1"/>
        <v>Unsure</v>
      </c>
      <c r="U34" t="str">
        <f ca="1"/>
        <v>No</v>
      </c>
      <c r="V34" t="str">
        <f ca="1"/>
        <v>Unsure</v>
      </c>
      <c r="W34" t="str">
        <f ca="1"/>
        <v>Unsure</v>
      </c>
      <c r="X34" t="str">
        <f ca="1"/>
        <v>Unsure</v>
      </c>
      <c r="Y34" t="str">
        <f ca="1"/>
        <v>Unsure</v>
      </c>
      <c r="Z34" t="str">
        <f ca="1"/>
        <v>Unsure</v>
      </c>
      <c r="AA34" t="str">
        <f ca="1"/>
        <v>Not specified</v>
      </c>
      <c r="AB34" t="str">
        <f ca="1"/>
        <v>Not specified</v>
      </c>
      <c r="AC34" t="str">
        <f ca="1"/>
        <v>Unsure</v>
      </c>
      <c r="AD34" t="str">
        <f ca="1"/>
        <v>Unsure</v>
      </c>
      <c r="AE34" t="str">
        <f ca="1"/>
        <v>Unsure</v>
      </c>
      <c r="AF34" t="str">
        <f ca="1"/>
        <v>Unsure</v>
      </c>
      <c r="AG34" t="str">
        <f ca="1"/>
        <v>Unsure</v>
      </c>
      <c r="AH34" t="str">
        <f ca="1"/>
        <v>No</v>
      </c>
      <c r="AI34" t="str">
        <f ca="1"/>
        <v>No</v>
      </c>
      <c r="AJ34" t="str">
        <f ca="1"/>
        <v>No</v>
      </c>
      <c r="AK34" t="str">
        <f ca="1"/>
        <v>Unsure</v>
      </c>
      <c r="AL34" t="str">
        <f ca="1"/>
        <v>Unsure</v>
      </c>
      <c r="AM34" t="str">
        <f ca="1"/>
        <v>Unsure</v>
      </c>
      <c r="AN34" t="str">
        <f ca="1"/>
        <v>Unsure</v>
      </c>
      <c r="AO34" t="str">
        <f ca="1"/>
        <v>Unsure</v>
      </c>
      <c r="AP34" t="str">
        <f ca="1"/>
        <v>Unsure</v>
      </c>
      <c r="AQ34" t="str">
        <f ca="1"/>
        <v>Unsure</v>
      </c>
      <c r="AR34" t="str">
        <f ca="1"/>
        <v>Unsure</v>
      </c>
      <c r="AS34" t="str">
        <f ca="1"/>
        <v>Unsure</v>
      </c>
      <c r="AT34" t="str">
        <f ca="1"/>
        <v>Unsure</v>
      </c>
      <c r="AU34" t="str">
        <f ca="1"/>
        <v>Unsure</v>
      </c>
      <c r="AV34" t="str">
        <f ca="1"/>
        <v>Unsure</v>
      </c>
      <c r="AW34" t="str">
        <f ca="1"/>
        <v>Unsure</v>
      </c>
      <c r="AX34" t="str">
        <f ca="1"/>
        <v>Unsure</v>
      </c>
      <c r="AY34" t="str">
        <f ca="1"/>
        <v>Unsure</v>
      </c>
      <c r="AZ34" t="str">
        <f ca="1"/>
        <v>Unsure</v>
      </c>
      <c r="BA34" t="str">
        <f ca="1"/>
        <v>Unsure</v>
      </c>
      <c r="BB34" t="str">
        <f ca="1"/>
        <v>Unsure</v>
      </c>
      <c r="BC34" t="str">
        <f ca="1"/>
        <v>Unsure</v>
      </c>
      <c r="BD34" t="str">
        <f ca="1"/>
        <v>Unsure</v>
      </c>
      <c r="BE34" t="str">
        <f ca="1"/>
        <v>Unsure</v>
      </c>
      <c r="BF34" t="str">
        <f ca="1"/>
        <v>Unsure</v>
      </c>
      <c r="BG34" t="str">
        <f ca="1"/>
        <v>Unsure</v>
      </c>
      <c r="BH34" t="str">
        <f ca="1"/>
        <v>Unsure</v>
      </c>
      <c r="BI34" t="str">
        <f ca="1"/>
        <v>Unsure</v>
      </c>
      <c r="BJ34" t="str">
        <f ca="1"/>
        <v>Unsure</v>
      </c>
      <c r="BK34" t="str">
        <f ca="1"/>
        <v>Unsure</v>
      </c>
      <c r="BL34" t="str">
        <f ca="1"/>
        <v>Unsure</v>
      </c>
      <c r="BM34" t="str">
        <f ca="1"/>
        <v>Unsure</v>
      </c>
      <c r="BN34" t="str">
        <f ca="1"/>
        <v>Unsure</v>
      </c>
      <c r="BO34" t="str">
        <f ca="1"/>
        <v>Unsure</v>
      </c>
      <c r="BP34" t="str">
        <f ca="1"/>
        <v>Unsure</v>
      </c>
      <c r="BQ34" t="str">
        <f ca="1"/>
        <v>Unsure</v>
      </c>
      <c r="BR34" t="str">
        <f ca="1"/>
        <v>Unsure</v>
      </c>
      <c r="BS34" t="str">
        <f ca="1"/>
        <v>Unsure</v>
      </c>
      <c r="BT34" t="str">
        <f ca="1"/>
        <v>Unsure</v>
      </c>
      <c r="BU34" t="str">
        <f ca="1"/>
        <v>Unsure</v>
      </c>
      <c r="BV34" t="str">
        <f ca="1"/>
        <v>Unsure</v>
      </c>
      <c r="BW34" t="str">
        <f ca="1"/>
        <v>Unsure</v>
      </c>
      <c r="BX34" t="str">
        <f ca="1"/>
        <v>Unsure</v>
      </c>
      <c r="BY34" t="str">
        <f ca="1"/>
        <v>Unsure</v>
      </c>
      <c r="BZ34" t="str">
        <f ca="1"/>
        <v>Unsure</v>
      </c>
      <c r="CA34" t="str">
        <f ca="1"/>
        <v>Unsure</v>
      </c>
      <c r="CB34" t="str">
        <f ca="1"/>
        <v>Unsure</v>
      </c>
      <c r="CC34" t="str">
        <f ca="1"/>
        <v>Unsure</v>
      </c>
      <c r="CD34" t="str">
        <f ca="1"/>
        <v>Unsure</v>
      </c>
      <c r="CE34" t="str">
        <f ca="1"/>
        <v>Unsure</v>
      </c>
      <c r="CF34" t="str">
        <f ca="1"/>
        <v>Unsure</v>
      </c>
      <c r="CG34" t="str">
        <f ca="1"/>
        <v>Unsure</v>
      </c>
      <c r="CH34" t="str">
        <f ca="1"/>
        <v>Unsure</v>
      </c>
      <c r="CI34" t="str">
        <f ca="1"/>
        <v>Unsure</v>
      </c>
      <c r="CJ34" t="str">
        <f ca="1"/>
        <v>Unsure</v>
      </c>
      <c r="CK34" t="str">
        <f ca="1"/>
        <v>Unsure</v>
      </c>
      <c r="CL34" t="str">
        <f ca="1"/>
        <v>Unsure</v>
      </c>
      <c r="CM34" t="str">
        <f ca="1"/>
        <v>Unsure</v>
      </c>
      <c r="CN34" t="str">
        <f ca="1"/>
        <v>Unsure</v>
      </c>
      <c r="CO34" t="str">
        <f ca="1"/>
        <v>Unsure</v>
      </c>
      <c r="CP34" t="str">
        <f ca="1"/>
        <v>Unsure</v>
      </c>
      <c r="CQ34" t="str">
        <f ca="1"/>
        <v>Unsure</v>
      </c>
      <c r="CR34" t="str">
        <f ca="1"/>
        <v>Unsure</v>
      </c>
      <c r="CS34" t="str">
        <f ca="1"/>
        <v>Unsure</v>
      </c>
      <c r="CT34" t="str">
        <f ca="1"/>
        <v>Unsure</v>
      </c>
      <c r="CU34" t="str">
        <f ca="1"/>
        <v>Unsure</v>
      </c>
      <c r="CV34" t="str">
        <f ca="1"/>
        <v>Unsure</v>
      </c>
      <c r="CW34" t="str">
        <f ca="1"/>
        <v>Unsure</v>
      </c>
      <c r="CX34" t="str">
        <f ca="1"/>
        <v>Unsure</v>
      </c>
      <c r="CY34" t="str">
        <f ca="1"/>
        <v>Unsure</v>
      </c>
      <c r="CZ34" t="str">
        <f ca="1"/>
        <v>Unsure</v>
      </c>
      <c r="DA34" t="str">
        <f ca="1"/>
        <v>Unsure</v>
      </c>
      <c r="DB34" t="str">
        <f ca="1"/>
        <v>Unsure</v>
      </c>
      <c r="DC34" t="str">
        <f ca="1"/>
        <v>Unsure</v>
      </c>
      <c r="DD34" t="str">
        <f ca="1"/>
        <v>Unsure</v>
      </c>
      <c r="DE34" t="str">
        <f ca="1"/>
        <v>Unsure</v>
      </c>
      <c r="DF34" t="str">
        <f ca="1"/>
        <v>Unsure</v>
      </c>
      <c r="DG34" t="str">
        <f ca="1"/>
        <v>Unsure</v>
      </c>
      <c r="DH34" t="str">
        <f ca="1"/>
        <v>Unsure</v>
      </c>
      <c r="DI34" t="str">
        <f ca="1"/>
        <v>Unsure</v>
      </c>
      <c r="DJ34" t="str">
        <f ca="1"/>
        <v>Unsure</v>
      </c>
      <c r="DK34" t="str">
        <f ca="1"/>
        <v>Unsure</v>
      </c>
      <c r="DL34" t="str">
        <f ca="1"/>
        <v>Unsure</v>
      </c>
      <c r="DM34" t="str">
        <f ca="1"/>
        <v>Unsure</v>
      </c>
      <c r="DN34" t="str">
        <f ca="1"/>
        <v>Unsure</v>
      </c>
      <c r="DO34" t="str">
        <f ca="1"/>
        <v>Unsure</v>
      </c>
      <c r="DP34" t="str">
        <f ca="1"/>
        <v>Unsure</v>
      </c>
      <c r="DQ34" t="str">
        <f ca="1"/>
        <v>Unsure</v>
      </c>
      <c r="DR34" t="str">
        <f ca="1"/>
        <v>Unsure</v>
      </c>
      <c r="DS34" t="str">
        <f ca="1"/>
        <v>Unsure</v>
      </c>
      <c r="DT34" t="str">
        <f ca="1"/>
        <v>Unsure</v>
      </c>
      <c r="DU34" t="str">
        <f ca="1"/>
        <v>Unsure</v>
      </c>
      <c r="DV34" t="str">
        <f ca="1"/>
        <v>Unsure</v>
      </c>
      <c r="DW34" t="str">
        <f ca="1"/>
        <v>Unsure</v>
      </c>
      <c r="DX34" t="str">
        <f ca="1"/>
        <v>Unsure</v>
      </c>
      <c r="DY34" t="str">
        <f ca="1"/>
        <v>Unsure</v>
      </c>
      <c r="DZ34" t="str">
        <f ca="1"/>
        <v>Unsure</v>
      </c>
      <c r="EA34" t="str">
        <f ca="1"/>
        <v>Unsure</v>
      </c>
      <c r="EB34" t="str">
        <f ca="1"/>
        <v>Unsure</v>
      </c>
      <c r="EC34" t="str">
        <f ca="1"/>
        <v>Unsure</v>
      </c>
      <c r="ED34" t="str">
        <f ca="1"/>
        <v>Unsure</v>
      </c>
      <c r="EE34" t="str">
        <f ca="1"/>
        <v>Unsure</v>
      </c>
      <c r="EF34" t="str">
        <f ca="1"/>
        <v>Unsure</v>
      </c>
      <c r="EG34" t="str">
        <f ca="1"/>
        <v>Unsure</v>
      </c>
      <c r="EH34" t="str">
        <f ca="1"/>
        <v>Unsure</v>
      </c>
      <c r="EI34" t="str">
        <f ca="1"/>
        <v>Unsure</v>
      </c>
      <c r="EJ34" t="str">
        <f ca="1"/>
        <v>Unsure</v>
      </c>
      <c r="EK34" t="str">
        <f ca="1"/>
        <v>Unsure</v>
      </c>
      <c r="EL34" t="str">
        <f ca="1"/>
        <v>Unsure</v>
      </c>
      <c r="EM34" t="str">
        <f ca="1"/>
        <v>Unsure</v>
      </c>
      <c r="EN34" t="str">
        <f ca="1"/>
        <v>Unsure</v>
      </c>
      <c r="EO34" t="str">
        <f ca="1"/>
        <v>Unsure</v>
      </c>
      <c r="EP34" t="str">
        <f ca="1"/>
        <v>Unsure</v>
      </c>
      <c r="EQ34" t="str">
        <f ca="1"/>
        <v>Unsure</v>
      </c>
      <c r="ER34" t="str">
        <f ca="1"/>
        <v>Unsure</v>
      </c>
      <c r="ES34" t="str">
        <f ca="1"/>
        <v>Unsure</v>
      </c>
      <c r="ET34" t="str">
        <f ca="1"/>
        <v>Unsure</v>
      </c>
      <c r="EU34" t="str">
        <f ca="1"/>
        <v>Unsure</v>
      </c>
      <c r="EV34" t="str">
        <f ca="1"/>
        <v>Unsure</v>
      </c>
      <c r="EW34" t="str">
        <f ca="1"/>
        <v>Unsure</v>
      </c>
      <c r="EX34" t="str">
        <f ca="1"/>
        <v>Unsure</v>
      </c>
      <c r="EY34" t="str">
        <f ca="1"/>
        <v>Unsure</v>
      </c>
      <c r="EZ34" t="str">
        <f ca="1"/>
        <v>Unsure</v>
      </c>
      <c r="FA34" t="str">
        <f ca="1"/>
        <v>Unsure</v>
      </c>
      <c r="FB34" t="str">
        <f ca="1"/>
        <v>Unsure</v>
      </c>
      <c r="FC34" t="str">
        <f ca="1"/>
        <v>Unsure</v>
      </c>
      <c r="FD34" t="str">
        <f ca="1"/>
        <v>Unsure</v>
      </c>
      <c r="FE34" t="str">
        <f ca="1"/>
        <v>Unsure</v>
      </c>
      <c r="FF34" t="str">
        <f ca="1"/>
        <v>Unsure</v>
      </c>
      <c r="FG34" t="str">
        <f ca="1"/>
        <v>Unsure</v>
      </c>
      <c r="FH34" t="str">
        <f ca="1"/>
        <v>Unsure</v>
      </c>
      <c r="FI34" t="str">
        <f ca="1"/>
        <v>Unsure</v>
      </c>
      <c r="FJ34" t="str">
        <f ca="1"/>
        <v>Unsure</v>
      </c>
      <c r="FK34" t="str">
        <f ca="1"/>
        <v>Unsure</v>
      </c>
      <c r="FL34" t="str">
        <f ca="1"/>
        <v>Unsure</v>
      </c>
      <c r="FM34" t="str">
        <f ca="1"/>
        <v>Unsure</v>
      </c>
      <c r="FN34" t="str">
        <f ca="1"/>
        <v>Unsure</v>
      </c>
      <c r="FO34" t="str">
        <f ca="1"/>
        <v>Unsure</v>
      </c>
      <c r="FP34" t="str">
        <f ca="1"/>
        <v>Unsure</v>
      </c>
      <c r="FQ34" t="str">
        <f ca="1"/>
        <v>Unsure</v>
      </c>
      <c r="FR34" t="str">
        <f ca="1"/>
        <v>Unsure</v>
      </c>
      <c r="FS34" t="str">
        <f ca="1"/>
        <v>Unsure</v>
      </c>
      <c r="FT34" t="str">
        <f ca="1"/>
        <v>Unsure</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c r="ZT34">
        <v>0</v>
      </c>
      <c r="ZU34">
        <v>0</v>
      </c>
      <c r="ZV34">
        <v>0</v>
      </c>
      <c r="ZW34">
        <v>0</v>
      </c>
      <c r="ZX34">
        <v>0</v>
      </c>
      <c r="ZY34">
        <v>0</v>
      </c>
      <c r="ZZ34">
        <v>0</v>
      </c>
      <c r="AAA34">
        <v>0</v>
      </c>
      <c r="AAB34">
        <v>0</v>
      </c>
      <c r="AAC34">
        <v>0</v>
      </c>
      <c r="AAD34">
        <v>0</v>
      </c>
      <c r="AAE34">
        <v>0</v>
      </c>
      <c r="AAF34">
        <v>0</v>
      </c>
      <c r="AAG34">
        <v>0</v>
      </c>
      <c r="AAH34">
        <v>0</v>
      </c>
      <c r="AAI34">
        <v>0</v>
      </c>
      <c r="AAJ34">
        <v>0</v>
      </c>
      <c r="AAK34">
        <v>0</v>
      </c>
      <c r="AAL34">
        <v>0</v>
      </c>
      <c r="AAM34">
        <v>0</v>
      </c>
      <c r="AAN34">
        <v>0</v>
      </c>
      <c r="AAO34">
        <v>0</v>
      </c>
      <c r="AAP34">
        <v>0</v>
      </c>
      <c r="AAQ34">
        <v>0</v>
      </c>
      <c r="AAR34">
        <v>0</v>
      </c>
      <c r="AAS34">
        <v>0</v>
      </c>
      <c r="AAT34">
        <v>0</v>
      </c>
      <c r="AAU34">
        <v>0</v>
      </c>
      <c r="AAV34">
        <v>0</v>
      </c>
      <c r="AAW34">
        <v>0</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c r="ABQ34">
        <v>0</v>
      </c>
      <c r="ABR34">
        <v>0</v>
      </c>
      <c r="ABS34">
        <v>0</v>
      </c>
      <c r="ABT34">
        <v>0</v>
      </c>
      <c r="ABU34">
        <v>0</v>
      </c>
      <c r="ABV34">
        <v>0</v>
      </c>
      <c r="ABW34">
        <v>0</v>
      </c>
      <c r="ABX34">
        <v>0</v>
      </c>
      <c r="ABY34">
        <v>0</v>
      </c>
      <c r="ABZ34">
        <v>0</v>
      </c>
      <c r="ACA34">
        <v>0</v>
      </c>
      <c r="ACB34">
        <v>0</v>
      </c>
      <c r="ACC34">
        <v>0</v>
      </c>
      <c r="ACD34">
        <v>0</v>
      </c>
      <c r="ACE34">
        <v>0</v>
      </c>
      <c r="ACF34">
        <v>0</v>
      </c>
      <c r="ACG34">
        <v>0</v>
      </c>
      <c r="ACH34">
        <v>0</v>
      </c>
      <c r="ACI34">
        <v>0</v>
      </c>
      <c r="ACJ34">
        <v>0</v>
      </c>
      <c r="ACK34">
        <v>0</v>
      </c>
      <c r="ACL34">
        <v>0</v>
      </c>
      <c r="ACM34">
        <v>0</v>
      </c>
      <c r="ACN34">
        <v>0</v>
      </c>
      <c r="ACO34">
        <v>0</v>
      </c>
      <c r="ACP34">
        <v>0</v>
      </c>
      <c r="ACQ34">
        <v>0</v>
      </c>
      <c r="ACR34">
        <v>0</v>
      </c>
      <c r="ACS34">
        <v>0</v>
      </c>
      <c r="ACT34">
        <v>0</v>
      </c>
      <c r="ACU34">
        <v>0</v>
      </c>
      <c r="ACV34">
        <v>0</v>
      </c>
      <c r="ACW34">
        <v>0</v>
      </c>
      <c r="ACX34">
        <v>0</v>
      </c>
      <c r="ACY34">
        <v>0</v>
      </c>
      <c r="ACZ34">
        <v>0</v>
      </c>
      <c r="ADA34">
        <v>0</v>
      </c>
      <c r="ADB34">
        <v>0</v>
      </c>
      <c r="ADC34">
        <v>0</v>
      </c>
      <c r="ADD34">
        <v>0</v>
      </c>
      <c r="ADE34">
        <v>0</v>
      </c>
      <c r="ADF34">
        <v>0</v>
      </c>
      <c r="ADG34">
        <v>0</v>
      </c>
      <c r="ADH34">
        <v>0</v>
      </c>
      <c r="ADI34">
        <v>0</v>
      </c>
      <c r="ADJ34">
        <v>0</v>
      </c>
      <c r="ADK34">
        <v>0</v>
      </c>
      <c r="ADL34">
        <v>0</v>
      </c>
      <c r="ADM34">
        <v>0</v>
      </c>
      <c r="ADN34">
        <v>0</v>
      </c>
      <c r="ADO34">
        <v>0</v>
      </c>
      <c r="ADP34">
        <v>0</v>
      </c>
      <c r="ADQ34">
        <v>0</v>
      </c>
      <c r="ADR34">
        <v>0</v>
      </c>
      <c r="ADS34">
        <v>0</v>
      </c>
      <c r="ADT34">
        <v>0</v>
      </c>
      <c r="ADU34">
        <v>0</v>
      </c>
      <c r="ADV34">
        <v>0</v>
      </c>
      <c r="ADW34">
        <v>0</v>
      </c>
      <c r="ADX34">
        <v>0</v>
      </c>
      <c r="ADY34">
        <v>0</v>
      </c>
      <c r="ADZ34">
        <v>0</v>
      </c>
      <c r="AEA34">
        <v>0</v>
      </c>
      <c r="AEB34">
        <v>0</v>
      </c>
      <c r="AEC34">
        <v>0</v>
      </c>
      <c r="AED34">
        <v>0</v>
      </c>
      <c r="AEE34">
        <v>0</v>
      </c>
      <c r="AEF34">
        <v>0</v>
      </c>
      <c r="AEG34">
        <v>0</v>
      </c>
      <c r="AEH34">
        <v>0</v>
      </c>
      <c r="AEI34">
        <v>0</v>
      </c>
      <c r="AEJ34">
        <v>0</v>
      </c>
      <c r="AEK34">
        <v>0</v>
      </c>
      <c r="AEL34">
        <v>0</v>
      </c>
      <c r="AEM34">
        <v>0</v>
      </c>
      <c r="AEN34">
        <v>0</v>
      </c>
      <c r="AEO34">
        <v>0</v>
      </c>
      <c r="AEP34">
        <v>0</v>
      </c>
      <c r="AEQ34">
        <v>0</v>
      </c>
      <c r="AER34">
        <v>0</v>
      </c>
      <c r="AES34">
        <v>0</v>
      </c>
      <c r="AET34">
        <v>0</v>
      </c>
      <c r="AEU34">
        <v>0</v>
      </c>
      <c r="AEV34">
        <v>0</v>
      </c>
      <c r="AEW34">
        <v>0</v>
      </c>
      <c r="AEX34">
        <v>0</v>
      </c>
      <c r="AEY34">
        <v>0</v>
      </c>
      <c r="AEZ34">
        <v>0</v>
      </c>
      <c r="AFA34">
        <v>0</v>
      </c>
      <c r="AFB34">
        <v>0</v>
      </c>
      <c r="AFC34">
        <v>0</v>
      </c>
      <c r="AFD34">
        <v>0</v>
      </c>
      <c r="AFE34">
        <v>0</v>
      </c>
      <c r="AFF34">
        <v>0</v>
      </c>
      <c r="AFG34">
        <v>0</v>
      </c>
      <c r="AFH34">
        <v>0</v>
      </c>
      <c r="AFI34">
        <v>0</v>
      </c>
      <c r="AFJ34">
        <v>0</v>
      </c>
      <c r="AFK34">
        <v>0</v>
      </c>
      <c r="AFL34">
        <v>0</v>
      </c>
      <c r="AFM34">
        <v>0</v>
      </c>
      <c r="AFN34">
        <v>0</v>
      </c>
      <c r="AFO34">
        <v>0</v>
      </c>
      <c r="AFP34">
        <v>0</v>
      </c>
      <c r="AFQ34">
        <v>0</v>
      </c>
      <c r="AFR34">
        <v>0</v>
      </c>
      <c r="AFS34">
        <v>0</v>
      </c>
      <c r="AFT34">
        <v>0</v>
      </c>
      <c r="AFU34">
        <v>0</v>
      </c>
      <c r="AFV34">
        <v>0</v>
      </c>
      <c r="AFW34">
        <v>0</v>
      </c>
      <c r="AFX34">
        <v>0</v>
      </c>
      <c r="AFY34">
        <v>0</v>
      </c>
      <c r="AFZ34">
        <v>0</v>
      </c>
      <c r="AGA34">
        <v>0</v>
      </c>
      <c r="AGB34">
        <v>0</v>
      </c>
      <c r="AGC34">
        <v>0</v>
      </c>
      <c r="AGD34">
        <v>0</v>
      </c>
      <c r="AGE34">
        <v>0</v>
      </c>
      <c r="AGF34">
        <v>0</v>
      </c>
      <c r="AGG34">
        <v>0</v>
      </c>
      <c r="AGH34">
        <v>0</v>
      </c>
      <c r="AGI34">
        <v>0</v>
      </c>
      <c r="AGJ34">
        <v>0</v>
      </c>
      <c r="AGK34">
        <v>0</v>
      </c>
      <c r="AGL34">
        <v>0</v>
      </c>
      <c r="AGM34">
        <v>0</v>
      </c>
      <c r="AGN34">
        <v>0</v>
      </c>
      <c r="AGO34">
        <v>0</v>
      </c>
      <c r="AGP34">
        <v>0</v>
      </c>
      <c r="AGQ34">
        <v>0</v>
      </c>
      <c r="AGR34">
        <v>0</v>
      </c>
      <c r="AGS34">
        <v>0</v>
      </c>
      <c r="AGT34">
        <v>0</v>
      </c>
      <c r="AGU34">
        <v>0</v>
      </c>
      <c r="AGV34">
        <v>0</v>
      </c>
      <c r="AGW34">
        <v>0</v>
      </c>
      <c r="AGX34">
        <v>0</v>
      </c>
      <c r="AGY34">
        <v>0</v>
      </c>
      <c r="AGZ34">
        <v>0</v>
      </c>
      <c r="AHA34">
        <v>0</v>
      </c>
      <c r="AHB34">
        <v>0</v>
      </c>
      <c r="AHC34">
        <v>0</v>
      </c>
      <c r="AHD34">
        <v>0</v>
      </c>
      <c r="AHE34">
        <v>0</v>
      </c>
      <c r="AHF34">
        <v>0</v>
      </c>
      <c r="AHG34">
        <v>0</v>
      </c>
      <c r="AHH34">
        <v>0</v>
      </c>
      <c r="AHI34">
        <v>0</v>
      </c>
      <c r="AHJ34">
        <v>0</v>
      </c>
      <c r="AHK34">
        <v>0</v>
      </c>
      <c r="AHL34">
        <v>0</v>
      </c>
      <c r="AHM34">
        <v>0</v>
      </c>
      <c r="AHN34">
        <v>0</v>
      </c>
      <c r="AHO34">
        <v>0</v>
      </c>
      <c r="AHP34">
        <v>0</v>
      </c>
      <c r="AHQ34">
        <v>0</v>
      </c>
      <c r="AHR34">
        <v>0</v>
      </c>
      <c r="AHS34">
        <v>0</v>
      </c>
      <c r="AHT34">
        <v>0</v>
      </c>
      <c r="AHU34">
        <v>0</v>
      </c>
      <c r="AHV34">
        <v>0</v>
      </c>
      <c r="AHW34">
        <v>0</v>
      </c>
      <c r="AHX34">
        <v>0</v>
      </c>
      <c r="AHY34">
        <v>0</v>
      </c>
      <c r="AHZ34">
        <v>0</v>
      </c>
      <c r="AIA34">
        <v>0</v>
      </c>
      <c r="AIB34">
        <v>0</v>
      </c>
      <c r="AIC34">
        <v>0</v>
      </c>
      <c r="AID34">
        <v>0</v>
      </c>
      <c r="AIE34">
        <v>0</v>
      </c>
      <c r="AIF34">
        <v>0</v>
      </c>
      <c r="AIG34">
        <v>0</v>
      </c>
      <c r="AIH34">
        <v>0</v>
      </c>
      <c r="AII34">
        <v>0</v>
      </c>
      <c r="AIJ34">
        <v>0</v>
      </c>
      <c r="AIK34">
        <v>0</v>
      </c>
      <c r="AIL34">
        <v>0</v>
      </c>
      <c r="AIM34">
        <v>0</v>
      </c>
      <c r="AIN34">
        <v>0</v>
      </c>
      <c r="AIO34">
        <v>0</v>
      </c>
      <c r="AIP34">
        <v>0</v>
      </c>
      <c r="AIQ34">
        <v>0</v>
      </c>
      <c r="AIR34">
        <v>0</v>
      </c>
      <c r="AIS34">
        <v>0</v>
      </c>
      <c r="AIT34">
        <v>0</v>
      </c>
      <c r="AIU34">
        <v>0</v>
      </c>
      <c r="AIV34">
        <v>0</v>
      </c>
      <c r="AIW34">
        <v>0</v>
      </c>
      <c r="AIX34">
        <v>0</v>
      </c>
      <c r="AIY34">
        <v>0</v>
      </c>
      <c r="AIZ34">
        <v>0</v>
      </c>
      <c r="AJA34">
        <v>0</v>
      </c>
      <c r="AJB34">
        <v>0</v>
      </c>
      <c r="AJC34">
        <v>0</v>
      </c>
      <c r="AJD34">
        <v>0</v>
      </c>
      <c r="AJE34">
        <v>0</v>
      </c>
      <c r="AJF34">
        <v>0</v>
      </c>
      <c r="AJG34">
        <v>0</v>
      </c>
      <c r="AJH34">
        <v>0</v>
      </c>
      <c r="AJI34">
        <v>0</v>
      </c>
      <c r="AJJ34">
        <v>0</v>
      </c>
      <c r="AJK34">
        <v>0</v>
      </c>
      <c r="AJL34">
        <v>0</v>
      </c>
      <c r="AJM34">
        <v>0</v>
      </c>
      <c r="AJN34">
        <v>0</v>
      </c>
      <c r="AJO34">
        <v>0</v>
      </c>
      <c r="AJP34">
        <v>0</v>
      </c>
      <c r="AJQ34">
        <v>0</v>
      </c>
      <c r="AJR34">
        <v>0</v>
      </c>
      <c r="AJS34">
        <v>0</v>
      </c>
      <c r="AJT34">
        <v>0</v>
      </c>
      <c r="AJU34">
        <v>0</v>
      </c>
      <c r="AJV34">
        <v>0</v>
      </c>
      <c r="AJW34">
        <v>0</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0</v>
      </c>
      <c r="AKS34">
        <v>0</v>
      </c>
      <c r="AKT34">
        <v>0</v>
      </c>
      <c r="AKU34">
        <v>0</v>
      </c>
      <c r="AKV34">
        <v>0</v>
      </c>
      <c r="AKW34">
        <v>0</v>
      </c>
      <c r="AKX34">
        <v>0</v>
      </c>
      <c r="AKY34">
        <v>0</v>
      </c>
      <c r="AKZ34">
        <v>0</v>
      </c>
      <c r="ALA34">
        <v>0</v>
      </c>
      <c r="ALB34">
        <v>0</v>
      </c>
      <c r="ALC34">
        <v>0</v>
      </c>
      <c r="ALD34">
        <v>0</v>
      </c>
      <c r="ALE34">
        <v>0</v>
      </c>
      <c r="ALF34">
        <v>0</v>
      </c>
      <c r="ALG34">
        <v>0</v>
      </c>
      <c r="ALH34">
        <v>0</v>
      </c>
      <c r="ALI34">
        <v>0</v>
      </c>
      <c r="ALJ34">
        <v>0</v>
      </c>
      <c r="ALK34">
        <v>0</v>
      </c>
      <c r="ALL34">
        <v>0</v>
      </c>
      <c r="ALM34">
        <v>0</v>
      </c>
      <c r="ALN34">
        <v>0</v>
      </c>
      <c r="ALO34">
        <v>0</v>
      </c>
      <c r="ALP34">
        <v>0</v>
      </c>
      <c r="ALQ34">
        <v>0</v>
      </c>
    </row>
    <row r="35" spans="1:1005" ht="84">
      <c r="A35" s="351" t="s">
        <v>949</v>
      </c>
      <c r="B35" s="352" t="s">
        <v>46</v>
      </c>
      <c r="C35" s="364" t="s">
        <v>83</v>
      </c>
      <c r="D35" s="352" t="s">
        <v>274</v>
      </c>
      <c r="E35" s="354" t="s">
        <v>355</v>
      </c>
      <c r="F35" t="str">
        <f t="array" ref="F35:ALQ35" ca="1">TRANSPOSE(Filtered!AF2:AF1005)</f>
        <v>Unsure</v>
      </c>
      <c r="G35" t="str">
        <f ca="1"/>
        <v>Unsure</v>
      </c>
      <c r="H35" t="str">
        <f ca="1"/>
        <v>Unsure</v>
      </c>
      <c r="I35" t="str">
        <f ca="1"/>
        <v>Unsure</v>
      </c>
      <c r="J35" t="str">
        <f ca="1"/>
        <v>No</v>
      </c>
      <c r="K35" t="str">
        <f ca="1"/>
        <v>Unsure</v>
      </c>
      <c r="L35" t="str">
        <f ca="1"/>
        <v>Unsure</v>
      </c>
      <c r="M35" t="str">
        <f ca="1"/>
        <v>Unsure</v>
      </c>
      <c r="N35" t="str">
        <f ca="1"/>
        <v>unsure</v>
      </c>
      <c r="O35" t="str">
        <f ca="1"/>
        <v>Unsure</v>
      </c>
      <c r="P35" t="str">
        <f ca="1"/>
        <v>Unsure</v>
      </c>
      <c r="Q35" t="str">
        <f ca="1"/>
        <v>Unsure</v>
      </c>
      <c r="R35" t="str">
        <f ca="1"/>
        <v>Unsure</v>
      </c>
      <c r="S35" t="str">
        <f ca="1"/>
        <v>Unsure</v>
      </c>
      <c r="T35" t="str">
        <f ca="1"/>
        <v>Unsure</v>
      </c>
      <c r="U35" t="str">
        <f ca="1"/>
        <v>No</v>
      </c>
      <c r="V35" t="str">
        <f ca="1"/>
        <v>Unsure</v>
      </c>
      <c r="W35" t="str">
        <f ca="1"/>
        <v>Unsure</v>
      </c>
      <c r="X35" t="str">
        <f ca="1"/>
        <v>Unsure</v>
      </c>
      <c r="Y35" t="str">
        <f ca="1"/>
        <v>Unsure</v>
      </c>
      <c r="Z35" t="str">
        <f ca="1"/>
        <v>Unsure</v>
      </c>
      <c r="AA35" t="str">
        <f ca="1"/>
        <v>Not specified</v>
      </c>
      <c r="AB35" t="str">
        <f ca="1"/>
        <v>Not specified</v>
      </c>
      <c r="AC35" t="str">
        <f ca="1"/>
        <v>Unsure</v>
      </c>
      <c r="AD35" t="str">
        <f ca="1"/>
        <v>Unsure</v>
      </c>
      <c r="AE35" t="str">
        <f ca="1"/>
        <v>Unsure</v>
      </c>
      <c r="AF35" t="str">
        <f ca="1"/>
        <v>Unsure</v>
      </c>
      <c r="AG35" t="str">
        <f ca="1"/>
        <v>Unsure</v>
      </c>
      <c r="AH35" t="str">
        <f ca="1"/>
        <v>Unsure</v>
      </c>
      <c r="AI35" t="str">
        <f ca="1"/>
        <v>Unsure</v>
      </c>
      <c r="AJ35" t="str">
        <f ca="1"/>
        <v>Unsure</v>
      </c>
      <c r="AK35" t="str">
        <f ca="1"/>
        <v>Unsure</v>
      </c>
      <c r="AL35" t="str">
        <f ca="1"/>
        <v>Unsure</v>
      </c>
      <c r="AM35" t="str">
        <f ca="1"/>
        <v>Unsure</v>
      </c>
      <c r="AN35" t="str">
        <f ca="1"/>
        <v>Unsure</v>
      </c>
      <c r="AO35" t="str">
        <f ca="1"/>
        <v>Unsure</v>
      </c>
      <c r="AP35" t="str">
        <f ca="1"/>
        <v>Unsure</v>
      </c>
      <c r="AQ35" t="str">
        <f ca="1"/>
        <v>Unsure</v>
      </c>
      <c r="AR35" t="str">
        <f ca="1"/>
        <v>Unsure</v>
      </c>
      <c r="AS35" t="str">
        <f ca="1"/>
        <v>Unsure</v>
      </c>
      <c r="AT35" t="str">
        <f ca="1"/>
        <v>Unsure</v>
      </c>
      <c r="AU35" t="str">
        <f ca="1"/>
        <v>Unsure</v>
      </c>
      <c r="AV35" t="str">
        <f ca="1"/>
        <v>Unsure</v>
      </c>
      <c r="AW35" t="str">
        <f ca="1"/>
        <v>Unsure</v>
      </c>
      <c r="AX35" t="str">
        <f ca="1"/>
        <v>Unsure</v>
      </c>
      <c r="AY35" t="str">
        <f ca="1"/>
        <v>Unsure</v>
      </c>
      <c r="AZ35" t="str">
        <f ca="1"/>
        <v>No</v>
      </c>
      <c r="BA35" t="str">
        <f ca="1"/>
        <v>Unsure</v>
      </c>
      <c r="BB35" t="str">
        <f ca="1"/>
        <v>Unsure</v>
      </c>
      <c r="BC35" t="str">
        <f ca="1"/>
        <v>Unsure</v>
      </c>
      <c r="BD35" t="str">
        <f ca="1"/>
        <v>Unsure</v>
      </c>
      <c r="BE35" t="str">
        <f ca="1"/>
        <v>Unsure</v>
      </c>
      <c r="BF35" t="str">
        <f ca="1"/>
        <v>Unsure</v>
      </c>
      <c r="BG35" t="str">
        <f ca="1"/>
        <v>Unsure</v>
      </c>
      <c r="BH35" t="str">
        <f ca="1"/>
        <v>Unsure</v>
      </c>
      <c r="BI35" t="str">
        <f ca="1"/>
        <v>Unsure</v>
      </c>
      <c r="BJ35" t="str">
        <f ca="1"/>
        <v>Unsure</v>
      </c>
      <c r="BK35" t="str">
        <f ca="1"/>
        <v>Unsure</v>
      </c>
      <c r="BL35" t="str">
        <f ca="1"/>
        <v>Unsure</v>
      </c>
      <c r="BM35" t="str">
        <f ca="1"/>
        <v>Unsure</v>
      </c>
      <c r="BN35" t="str">
        <f ca="1"/>
        <v>Unsure</v>
      </c>
      <c r="BO35" t="str">
        <f ca="1"/>
        <v>Unsure</v>
      </c>
      <c r="BP35" t="str">
        <f ca="1"/>
        <v>Unsure</v>
      </c>
      <c r="BQ35" t="str">
        <f ca="1"/>
        <v>Unsure</v>
      </c>
      <c r="BR35" t="str">
        <f ca="1"/>
        <v>Unsure</v>
      </c>
      <c r="BS35" t="str">
        <f ca="1"/>
        <v>Unsure</v>
      </c>
      <c r="BT35" t="str">
        <f ca="1"/>
        <v>Unsure</v>
      </c>
      <c r="BU35" t="str">
        <f ca="1"/>
        <v>Unsure</v>
      </c>
      <c r="BV35" t="str">
        <f ca="1"/>
        <v>Unsure</v>
      </c>
      <c r="BW35" t="str">
        <f ca="1"/>
        <v>Unsure</v>
      </c>
      <c r="BX35" t="str">
        <f ca="1"/>
        <v>Unsure</v>
      </c>
      <c r="BY35" t="str">
        <f ca="1"/>
        <v>Unsure</v>
      </c>
      <c r="BZ35" t="str">
        <f ca="1"/>
        <v>Unsure</v>
      </c>
      <c r="CA35" t="str">
        <f ca="1"/>
        <v>Unsure</v>
      </c>
      <c r="CB35" t="str">
        <f ca="1"/>
        <v>Unsure</v>
      </c>
      <c r="CC35" t="str">
        <f ca="1"/>
        <v>Unsure</v>
      </c>
      <c r="CD35" t="str">
        <f ca="1"/>
        <v>Unsue</v>
      </c>
      <c r="CE35" t="str">
        <f ca="1"/>
        <v>Unsure</v>
      </c>
      <c r="CF35" t="str">
        <f ca="1"/>
        <v>Unsure</v>
      </c>
      <c r="CG35" t="str">
        <f ca="1"/>
        <v>Unsure</v>
      </c>
      <c r="CH35" t="str">
        <f ca="1"/>
        <v>Unsure</v>
      </c>
      <c r="CI35" t="str">
        <f ca="1"/>
        <v>Unsure</v>
      </c>
      <c r="CJ35" t="str">
        <f ca="1"/>
        <v>Unsure</v>
      </c>
      <c r="CK35" t="str">
        <f ca="1"/>
        <v>Unsure</v>
      </c>
      <c r="CL35" t="str">
        <f ca="1"/>
        <v>Unsure</v>
      </c>
      <c r="CM35" t="str">
        <f ca="1"/>
        <v>Unsure</v>
      </c>
      <c r="CN35" t="str">
        <f ca="1"/>
        <v>Unsure</v>
      </c>
      <c r="CO35" t="str">
        <f ca="1"/>
        <v>Unsure</v>
      </c>
      <c r="CP35" t="str">
        <f ca="1"/>
        <v>Unsure</v>
      </c>
      <c r="CQ35" t="str">
        <f ca="1"/>
        <v>Unsure</v>
      </c>
      <c r="CR35" t="str">
        <f ca="1"/>
        <v>Unsure</v>
      </c>
      <c r="CS35" t="str">
        <f ca="1"/>
        <v>Unsure</v>
      </c>
      <c r="CT35" t="str">
        <f ca="1"/>
        <v>Unsure</v>
      </c>
      <c r="CU35" t="str">
        <f ca="1"/>
        <v>Unsure</v>
      </c>
      <c r="CV35" t="str">
        <f ca="1"/>
        <v>Unsure</v>
      </c>
      <c r="CW35" t="str">
        <f ca="1"/>
        <v>Unsure</v>
      </c>
      <c r="CX35" t="str">
        <f ca="1"/>
        <v>Unsure</v>
      </c>
      <c r="CY35" t="str">
        <f ca="1"/>
        <v>Unsure</v>
      </c>
      <c r="CZ35" t="str">
        <f ca="1"/>
        <v>Unsure</v>
      </c>
      <c r="DA35" t="str">
        <f ca="1"/>
        <v>Unsure</v>
      </c>
      <c r="DB35" t="str">
        <f ca="1"/>
        <v>Unsure</v>
      </c>
      <c r="DC35" t="str">
        <f ca="1"/>
        <v>Unsure</v>
      </c>
      <c r="DD35" t="str">
        <f ca="1"/>
        <v>Unsure</v>
      </c>
      <c r="DE35" t="str">
        <f ca="1"/>
        <v>Unsure</v>
      </c>
      <c r="DF35" t="str">
        <f ca="1"/>
        <v>Unsure</v>
      </c>
      <c r="DG35" t="str">
        <f ca="1"/>
        <v>Unsure</v>
      </c>
      <c r="DH35" t="str">
        <f ca="1"/>
        <v>Unsure</v>
      </c>
      <c r="DI35" t="str">
        <f ca="1"/>
        <v>Unsure</v>
      </c>
      <c r="DJ35" t="str">
        <f ca="1"/>
        <v>Unsure</v>
      </c>
      <c r="DK35" t="str">
        <f ca="1"/>
        <v>Unsure</v>
      </c>
      <c r="DL35" t="str">
        <f ca="1"/>
        <v>Unsure</v>
      </c>
      <c r="DM35" t="str">
        <f ca="1"/>
        <v>Unsure</v>
      </c>
      <c r="DN35" t="str">
        <f ca="1"/>
        <v>Unsure</v>
      </c>
      <c r="DO35" t="str">
        <f ca="1"/>
        <v>Unsure</v>
      </c>
      <c r="DP35" t="str">
        <f ca="1"/>
        <v>Unsure</v>
      </c>
      <c r="DQ35" t="str">
        <f ca="1"/>
        <v>Unsure</v>
      </c>
      <c r="DR35" t="str">
        <f ca="1"/>
        <v>Unsure</v>
      </c>
      <c r="DS35" t="str">
        <f ca="1"/>
        <v>Unsure</v>
      </c>
      <c r="DT35" t="str">
        <f ca="1"/>
        <v>Unsure</v>
      </c>
      <c r="DU35" t="str">
        <f ca="1"/>
        <v>Unsure</v>
      </c>
      <c r="DV35" t="str">
        <f ca="1"/>
        <v>Unsure</v>
      </c>
      <c r="DW35" t="str">
        <f ca="1"/>
        <v>Unsure</v>
      </c>
      <c r="DX35" t="str">
        <f ca="1"/>
        <v>Unsure</v>
      </c>
      <c r="DY35" t="str">
        <f ca="1"/>
        <v>Unsure</v>
      </c>
      <c r="DZ35" t="str">
        <f ca="1"/>
        <v>Unsure</v>
      </c>
      <c r="EA35" t="str">
        <f ca="1"/>
        <v>Yes</v>
      </c>
      <c r="EB35" t="str">
        <f ca="1"/>
        <v>Unsure</v>
      </c>
      <c r="EC35" t="str">
        <f ca="1"/>
        <v>Unsure</v>
      </c>
      <c r="ED35" t="str">
        <f ca="1"/>
        <v>Unsure</v>
      </c>
      <c r="EE35" t="str">
        <f ca="1"/>
        <v>Unsure</v>
      </c>
      <c r="EF35" t="str">
        <f ca="1"/>
        <v>Unsure</v>
      </c>
      <c r="EG35" t="str">
        <f ca="1"/>
        <v>Unsure</v>
      </c>
      <c r="EH35" t="str">
        <f ca="1"/>
        <v>Unsure</v>
      </c>
      <c r="EI35" t="str">
        <f ca="1"/>
        <v>Unsure</v>
      </c>
      <c r="EJ35" t="str">
        <f ca="1"/>
        <v>Unsure</v>
      </c>
      <c r="EK35" t="str">
        <f ca="1"/>
        <v>Unsure</v>
      </c>
      <c r="EL35" t="str">
        <f ca="1"/>
        <v>Unsure</v>
      </c>
      <c r="EM35" t="str">
        <f ca="1"/>
        <v>Unsure</v>
      </c>
      <c r="EN35" t="str">
        <f ca="1"/>
        <v>Unsure</v>
      </c>
      <c r="EO35" t="str">
        <f ca="1"/>
        <v>Unsure</v>
      </c>
      <c r="EP35" t="str">
        <f ca="1"/>
        <v>Unsure</v>
      </c>
      <c r="EQ35" t="str">
        <f ca="1"/>
        <v>Unsure</v>
      </c>
      <c r="ER35" t="str">
        <f ca="1"/>
        <v>Unsure</v>
      </c>
      <c r="ES35" t="str">
        <f ca="1"/>
        <v>Unsure</v>
      </c>
      <c r="ET35" t="str">
        <f ca="1"/>
        <v>Unsure</v>
      </c>
      <c r="EU35" t="str">
        <f ca="1"/>
        <v>Unsure</v>
      </c>
      <c r="EV35" t="str">
        <f ca="1"/>
        <v>Unsure</v>
      </c>
      <c r="EW35" t="str">
        <f ca="1"/>
        <v>Unsure</v>
      </c>
      <c r="EX35" t="str">
        <f ca="1"/>
        <v>Unsure</v>
      </c>
      <c r="EY35" t="str">
        <f ca="1"/>
        <v>Unsure</v>
      </c>
      <c r="EZ35" t="str">
        <f ca="1"/>
        <v>Unsure</v>
      </c>
      <c r="FA35" t="str">
        <f ca="1"/>
        <v>Unsure</v>
      </c>
      <c r="FB35" t="str">
        <f ca="1"/>
        <v>Unsure</v>
      </c>
      <c r="FC35" t="str">
        <f ca="1"/>
        <v>Unsure</v>
      </c>
      <c r="FD35" t="str">
        <f ca="1"/>
        <v>Unsure</v>
      </c>
      <c r="FE35" t="str">
        <f ca="1"/>
        <v>Unsure</v>
      </c>
      <c r="FF35" t="str">
        <f ca="1"/>
        <v>Unsure</v>
      </c>
      <c r="FG35" t="str">
        <f ca="1"/>
        <v>Unsure</v>
      </c>
      <c r="FH35" t="str">
        <f ca="1"/>
        <v>Unsure</v>
      </c>
      <c r="FI35" t="str">
        <f ca="1"/>
        <v>Unsure</v>
      </c>
      <c r="FJ35" t="str">
        <f ca="1"/>
        <v>Unsure</v>
      </c>
      <c r="FK35" t="str">
        <f ca="1"/>
        <v>Unsure</v>
      </c>
      <c r="FL35" t="str">
        <f ca="1"/>
        <v>Unsure</v>
      </c>
      <c r="FM35" t="str">
        <f ca="1"/>
        <v>Unsure</v>
      </c>
      <c r="FN35" t="str">
        <f ca="1"/>
        <v>Unsure</v>
      </c>
      <c r="FO35" t="str">
        <f ca="1"/>
        <v>Unsure</v>
      </c>
      <c r="FP35" t="str">
        <f ca="1"/>
        <v>Unsure</v>
      </c>
      <c r="FQ35" t="str">
        <f ca="1"/>
        <v>Unsure</v>
      </c>
      <c r="FR35" t="str">
        <f ca="1"/>
        <v>Unsure</v>
      </c>
      <c r="FS35" t="str">
        <f ca="1"/>
        <v>Unsure</v>
      </c>
      <c r="FT35" t="str">
        <f ca="1"/>
        <v>Unsure</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c r="ABQ35">
        <v>0</v>
      </c>
      <c r="ABR35">
        <v>0</v>
      </c>
      <c r="ABS35">
        <v>0</v>
      </c>
      <c r="ABT35">
        <v>0</v>
      </c>
      <c r="ABU35">
        <v>0</v>
      </c>
      <c r="ABV35">
        <v>0</v>
      </c>
      <c r="ABW35">
        <v>0</v>
      </c>
      <c r="ABX35">
        <v>0</v>
      </c>
      <c r="ABY35">
        <v>0</v>
      </c>
      <c r="ABZ35">
        <v>0</v>
      </c>
      <c r="ACA35">
        <v>0</v>
      </c>
      <c r="ACB35">
        <v>0</v>
      </c>
      <c r="ACC35">
        <v>0</v>
      </c>
      <c r="ACD35">
        <v>0</v>
      </c>
      <c r="ACE35">
        <v>0</v>
      </c>
      <c r="ACF35">
        <v>0</v>
      </c>
      <c r="ACG35">
        <v>0</v>
      </c>
      <c r="ACH35">
        <v>0</v>
      </c>
      <c r="ACI35">
        <v>0</v>
      </c>
      <c r="ACJ35">
        <v>0</v>
      </c>
      <c r="ACK35">
        <v>0</v>
      </c>
      <c r="ACL35">
        <v>0</v>
      </c>
      <c r="ACM35">
        <v>0</v>
      </c>
      <c r="ACN35">
        <v>0</v>
      </c>
      <c r="ACO35">
        <v>0</v>
      </c>
      <c r="ACP35">
        <v>0</v>
      </c>
      <c r="ACQ35">
        <v>0</v>
      </c>
      <c r="ACR35">
        <v>0</v>
      </c>
      <c r="ACS35">
        <v>0</v>
      </c>
      <c r="ACT35">
        <v>0</v>
      </c>
      <c r="ACU35">
        <v>0</v>
      </c>
      <c r="ACV35">
        <v>0</v>
      </c>
      <c r="ACW35">
        <v>0</v>
      </c>
      <c r="ACX35">
        <v>0</v>
      </c>
      <c r="ACY35">
        <v>0</v>
      </c>
      <c r="ACZ35">
        <v>0</v>
      </c>
      <c r="ADA35">
        <v>0</v>
      </c>
      <c r="ADB35">
        <v>0</v>
      </c>
      <c r="ADC35">
        <v>0</v>
      </c>
      <c r="ADD35">
        <v>0</v>
      </c>
      <c r="ADE35">
        <v>0</v>
      </c>
      <c r="ADF35">
        <v>0</v>
      </c>
      <c r="ADG35">
        <v>0</v>
      </c>
      <c r="ADH35">
        <v>0</v>
      </c>
      <c r="ADI35">
        <v>0</v>
      </c>
      <c r="ADJ35">
        <v>0</v>
      </c>
      <c r="ADK35">
        <v>0</v>
      </c>
      <c r="ADL35">
        <v>0</v>
      </c>
      <c r="ADM35">
        <v>0</v>
      </c>
      <c r="ADN35">
        <v>0</v>
      </c>
      <c r="ADO35">
        <v>0</v>
      </c>
      <c r="ADP35">
        <v>0</v>
      </c>
      <c r="ADQ35">
        <v>0</v>
      </c>
      <c r="ADR35">
        <v>0</v>
      </c>
      <c r="ADS35">
        <v>0</v>
      </c>
      <c r="ADT35">
        <v>0</v>
      </c>
      <c r="ADU35">
        <v>0</v>
      </c>
      <c r="ADV35">
        <v>0</v>
      </c>
      <c r="ADW35">
        <v>0</v>
      </c>
      <c r="ADX35">
        <v>0</v>
      </c>
      <c r="ADY35">
        <v>0</v>
      </c>
      <c r="ADZ35">
        <v>0</v>
      </c>
      <c r="AEA35">
        <v>0</v>
      </c>
      <c r="AEB35">
        <v>0</v>
      </c>
      <c r="AEC35">
        <v>0</v>
      </c>
      <c r="AED35">
        <v>0</v>
      </c>
      <c r="AEE35">
        <v>0</v>
      </c>
      <c r="AEF35">
        <v>0</v>
      </c>
      <c r="AEG35">
        <v>0</v>
      </c>
      <c r="AEH35">
        <v>0</v>
      </c>
      <c r="AEI35">
        <v>0</v>
      </c>
      <c r="AEJ35">
        <v>0</v>
      </c>
      <c r="AEK35">
        <v>0</v>
      </c>
      <c r="AEL35">
        <v>0</v>
      </c>
      <c r="AEM35">
        <v>0</v>
      </c>
      <c r="AEN35">
        <v>0</v>
      </c>
      <c r="AEO35">
        <v>0</v>
      </c>
      <c r="AEP35">
        <v>0</v>
      </c>
      <c r="AEQ35">
        <v>0</v>
      </c>
      <c r="AER35">
        <v>0</v>
      </c>
      <c r="AES35">
        <v>0</v>
      </c>
      <c r="AET35">
        <v>0</v>
      </c>
      <c r="AEU35">
        <v>0</v>
      </c>
      <c r="AEV35">
        <v>0</v>
      </c>
      <c r="AEW35">
        <v>0</v>
      </c>
      <c r="AEX35">
        <v>0</v>
      </c>
      <c r="AEY35">
        <v>0</v>
      </c>
      <c r="AEZ35">
        <v>0</v>
      </c>
      <c r="AFA35">
        <v>0</v>
      </c>
      <c r="AFB35">
        <v>0</v>
      </c>
      <c r="AFC35">
        <v>0</v>
      </c>
      <c r="AFD35">
        <v>0</v>
      </c>
      <c r="AFE35">
        <v>0</v>
      </c>
      <c r="AFF35">
        <v>0</v>
      </c>
      <c r="AFG35">
        <v>0</v>
      </c>
      <c r="AFH35">
        <v>0</v>
      </c>
      <c r="AFI35">
        <v>0</v>
      </c>
      <c r="AFJ35">
        <v>0</v>
      </c>
      <c r="AFK35">
        <v>0</v>
      </c>
      <c r="AFL35">
        <v>0</v>
      </c>
      <c r="AFM35">
        <v>0</v>
      </c>
      <c r="AFN35">
        <v>0</v>
      </c>
      <c r="AFO35">
        <v>0</v>
      </c>
      <c r="AFP35">
        <v>0</v>
      </c>
      <c r="AFQ35">
        <v>0</v>
      </c>
      <c r="AFR35">
        <v>0</v>
      </c>
      <c r="AFS35">
        <v>0</v>
      </c>
      <c r="AFT35">
        <v>0</v>
      </c>
      <c r="AFU35">
        <v>0</v>
      </c>
      <c r="AFV35">
        <v>0</v>
      </c>
      <c r="AFW35">
        <v>0</v>
      </c>
      <c r="AFX35">
        <v>0</v>
      </c>
      <c r="AFY35">
        <v>0</v>
      </c>
      <c r="AFZ35">
        <v>0</v>
      </c>
      <c r="AGA35">
        <v>0</v>
      </c>
      <c r="AGB35">
        <v>0</v>
      </c>
      <c r="AGC35">
        <v>0</v>
      </c>
      <c r="AGD35">
        <v>0</v>
      </c>
      <c r="AGE35">
        <v>0</v>
      </c>
      <c r="AGF35">
        <v>0</v>
      </c>
      <c r="AGG35">
        <v>0</v>
      </c>
      <c r="AGH35">
        <v>0</v>
      </c>
      <c r="AGI35">
        <v>0</v>
      </c>
      <c r="AGJ35">
        <v>0</v>
      </c>
      <c r="AGK35">
        <v>0</v>
      </c>
      <c r="AGL35">
        <v>0</v>
      </c>
      <c r="AGM35">
        <v>0</v>
      </c>
      <c r="AGN35">
        <v>0</v>
      </c>
      <c r="AGO35">
        <v>0</v>
      </c>
      <c r="AGP35">
        <v>0</v>
      </c>
      <c r="AGQ35">
        <v>0</v>
      </c>
      <c r="AGR35">
        <v>0</v>
      </c>
      <c r="AGS35">
        <v>0</v>
      </c>
      <c r="AGT35">
        <v>0</v>
      </c>
      <c r="AGU35">
        <v>0</v>
      </c>
      <c r="AGV35">
        <v>0</v>
      </c>
      <c r="AGW35">
        <v>0</v>
      </c>
      <c r="AGX35">
        <v>0</v>
      </c>
      <c r="AGY35">
        <v>0</v>
      </c>
      <c r="AGZ35">
        <v>0</v>
      </c>
      <c r="AHA35">
        <v>0</v>
      </c>
      <c r="AHB35">
        <v>0</v>
      </c>
      <c r="AHC35">
        <v>0</v>
      </c>
      <c r="AHD35">
        <v>0</v>
      </c>
      <c r="AHE35">
        <v>0</v>
      </c>
      <c r="AHF35">
        <v>0</v>
      </c>
      <c r="AHG35">
        <v>0</v>
      </c>
      <c r="AHH35">
        <v>0</v>
      </c>
      <c r="AHI35">
        <v>0</v>
      </c>
      <c r="AHJ35">
        <v>0</v>
      </c>
      <c r="AHK35">
        <v>0</v>
      </c>
      <c r="AHL35">
        <v>0</v>
      </c>
      <c r="AHM35">
        <v>0</v>
      </c>
      <c r="AHN35">
        <v>0</v>
      </c>
      <c r="AHO35">
        <v>0</v>
      </c>
      <c r="AHP35">
        <v>0</v>
      </c>
      <c r="AHQ35">
        <v>0</v>
      </c>
      <c r="AHR35">
        <v>0</v>
      </c>
      <c r="AHS35">
        <v>0</v>
      </c>
      <c r="AHT35">
        <v>0</v>
      </c>
      <c r="AHU35">
        <v>0</v>
      </c>
      <c r="AHV35">
        <v>0</v>
      </c>
      <c r="AHW35">
        <v>0</v>
      </c>
      <c r="AHX35">
        <v>0</v>
      </c>
      <c r="AHY35">
        <v>0</v>
      </c>
      <c r="AHZ35">
        <v>0</v>
      </c>
      <c r="AIA35">
        <v>0</v>
      </c>
      <c r="AIB35">
        <v>0</v>
      </c>
      <c r="AIC35">
        <v>0</v>
      </c>
      <c r="AID35">
        <v>0</v>
      </c>
      <c r="AIE35">
        <v>0</v>
      </c>
      <c r="AIF35">
        <v>0</v>
      </c>
      <c r="AIG35">
        <v>0</v>
      </c>
      <c r="AIH35">
        <v>0</v>
      </c>
      <c r="AII35">
        <v>0</v>
      </c>
      <c r="AIJ35">
        <v>0</v>
      </c>
      <c r="AIK35">
        <v>0</v>
      </c>
      <c r="AIL35">
        <v>0</v>
      </c>
      <c r="AIM35">
        <v>0</v>
      </c>
      <c r="AIN35">
        <v>0</v>
      </c>
      <c r="AIO35">
        <v>0</v>
      </c>
      <c r="AIP35">
        <v>0</v>
      </c>
      <c r="AIQ35">
        <v>0</v>
      </c>
      <c r="AIR35">
        <v>0</v>
      </c>
      <c r="AIS35">
        <v>0</v>
      </c>
      <c r="AIT35">
        <v>0</v>
      </c>
      <c r="AIU35">
        <v>0</v>
      </c>
      <c r="AIV35">
        <v>0</v>
      </c>
      <c r="AIW35">
        <v>0</v>
      </c>
      <c r="AIX35">
        <v>0</v>
      </c>
      <c r="AIY35">
        <v>0</v>
      </c>
      <c r="AIZ35">
        <v>0</v>
      </c>
      <c r="AJA35">
        <v>0</v>
      </c>
      <c r="AJB35">
        <v>0</v>
      </c>
      <c r="AJC35">
        <v>0</v>
      </c>
      <c r="AJD35">
        <v>0</v>
      </c>
      <c r="AJE35">
        <v>0</v>
      </c>
      <c r="AJF35">
        <v>0</v>
      </c>
      <c r="AJG35">
        <v>0</v>
      </c>
      <c r="AJH35">
        <v>0</v>
      </c>
      <c r="AJI35">
        <v>0</v>
      </c>
      <c r="AJJ35">
        <v>0</v>
      </c>
      <c r="AJK35">
        <v>0</v>
      </c>
      <c r="AJL35">
        <v>0</v>
      </c>
      <c r="AJM35">
        <v>0</v>
      </c>
      <c r="AJN35">
        <v>0</v>
      </c>
      <c r="AJO35">
        <v>0</v>
      </c>
      <c r="AJP35">
        <v>0</v>
      </c>
      <c r="AJQ35">
        <v>0</v>
      </c>
      <c r="AJR35">
        <v>0</v>
      </c>
      <c r="AJS35">
        <v>0</v>
      </c>
      <c r="AJT35">
        <v>0</v>
      </c>
      <c r="AJU35">
        <v>0</v>
      </c>
      <c r="AJV35">
        <v>0</v>
      </c>
      <c r="AJW35">
        <v>0</v>
      </c>
      <c r="AJX35">
        <v>0</v>
      </c>
      <c r="AJY35">
        <v>0</v>
      </c>
      <c r="AJZ35">
        <v>0</v>
      </c>
      <c r="AKA35">
        <v>0</v>
      </c>
      <c r="AKB35">
        <v>0</v>
      </c>
      <c r="AKC35">
        <v>0</v>
      </c>
      <c r="AKD35">
        <v>0</v>
      </c>
      <c r="AKE35">
        <v>0</v>
      </c>
      <c r="AKF35">
        <v>0</v>
      </c>
      <c r="AKG35">
        <v>0</v>
      </c>
      <c r="AKH35">
        <v>0</v>
      </c>
      <c r="AKI35">
        <v>0</v>
      </c>
      <c r="AKJ35">
        <v>0</v>
      </c>
      <c r="AKK35">
        <v>0</v>
      </c>
      <c r="AKL35">
        <v>0</v>
      </c>
      <c r="AKM35">
        <v>0</v>
      </c>
      <c r="AKN35">
        <v>0</v>
      </c>
      <c r="AKO35">
        <v>0</v>
      </c>
      <c r="AKP35">
        <v>0</v>
      </c>
      <c r="AKQ35">
        <v>0</v>
      </c>
      <c r="AKR35">
        <v>0</v>
      </c>
      <c r="AKS35">
        <v>0</v>
      </c>
      <c r="AKT35">
        <v>0</v>
      </c>
      <c r="AKU35">
        <v>0</v>
      </c>
      <c r="AKV35">
        <v>0</v>
      </c>
      <c r="AKW35">
        <v>0</v>
      </c>
      <c r="AKX35">
        <v>0</v>
      </c>
      <c r="AKY35">
        <v>0</v>
      </c>
      <c r="AKZ35">
        <v>0</v>
      </c>
      <c r="ALA35">
        <v>0</v>
      </c>
      <c r="ALB35">
        <v>0</v>
      </c>
      <c r="ALC35">
        <v>0</v>
      </c>
      <c r="ALD35">
        <v>0</v>
      </c>
      <c r="ALE35">
        <v>0</v>
      </c>
      <c r="ALF35">
        <v>0</v>
      </c>
      <c r="ALG35">
        <v>0</v>
      </c>
      <c r="ALH35">
        <v>0</v>
      </c>
      <c r="ALI35">
        <v>0</v>
      </c>
      <c r="ALJ35">
        <v>0</v>
      </c>
      <c r="ALK35">
        <v>0</v>
      </c>
      <c r="ALL35">
        <v>0</v>
      </c>
      <c r="ALM35">
        <v>0</v>
      </c>
      <c r="ALN35">
        <v>0</v>
      </c>
      <c r="ALO35">
        <v>0</v>
      </c>
      <c r="ALP35">
        <v>0</v>
      </c>
      <c r="ALQ35">
        <v>0</v>
      </c>
    </row>
    <row r="36" spans="1:1005" ht="14">
      <c r="A36" s="365"/>
      <c r="B36" s="366" t="s">
        <v>1048</v>
      </c>
      <c r="C36" s="367" t="s">
        <v>1051</v>
      </c>
      <c r="D36" s="366" t="s">
        <v>97</v>
      </c>
      <c r="E36" s="368"/>
      <c r="F36" s="93" t="str">
        <f t="array" ref="F36:ALQ36" ca="1">TRANSPOSE(Filtered!AG2:AG1005)</f>
        <v>https://journals.lww.com/academicmedicine/Pages/InstructionsforAuthors.aspx#publicationaheadofprint</v>
      </c>
      <c r="G36" t="str">
        <f ca="1"/>
        <v>https://pubs.acs.org/page/aamick/submission/prior.html, https://pubs.acs.org/paragonplus/submission/aamick/aamick_authguide.pdf</v>
      </c>
      <c r="H36" s="93" t="str">
        <f ca="1"/>
        <v>https://pubs.acs.org/paragonplus/submission/achre4/achre4_authguide.pdf</v>
      </c>
      <c r="I36" s="93" t="str">
        <f ca="1"/>
        <v>https://pubs.acs.org/page/accacs/submission/prior.html https://pubs.acs.org/page/policy/authorchoice/index.html</v>
      </c>
      <c r="J36" s="93" t="str">
        <f ca="1"/>
        <v>http://aom.org/Publications/AMJ/Information-for-Contributors.aspx</v>
      </c>
      <c r="K36" s="93" t="str">
        <f ca="1"/>
        <v>https://pubs.acs.org/page/ancac3/submission/prior.html</v>
      </c>
      <c r="L36" t="str">
        <f ca="1"/>
        <v>https://onlinelibrary.wiley.com/pb-assets/assets/16146840/2528_Guide_for_Authors.pdf and https://wol-prod-cdn.literatumonline.com/pb-assets/assets/16146840/2528_Guide_for_Authors-1510012860000.pdf</v>
      </c>
      <c r="M36" s="93" t="str">
        <f ca="1"/>
        <v>https://wol-prod-cdn.literatumonline.com/pb-assets/assets/16163028/AFM-guide-for-authors-may-2018-1526994585463.pdf</v>
      </c>
      <c r="N36" s="93" t="str">
        <f ca="1"/>
        <v>https://onlinelibrary.wiley.com/pb-assets/assets/15214095/2089_guidelines.pdf</v>
      </c>
      <c r="O36" s="93" t="str">
        <f ca="1"/>
        <v>https://www.aeaweb.org/journals/policies/copyright</v>
      </c>
      <c r="P36" s="93" t="str">
        <f ca="1"/>
        <v>https://ajpsblogging.files.wordpress.com/2015/09/ajps-author-resources-ver-1-0.pdf</v>
      </c>
      <c r="Q36" t="str">
        <f ca="1"/>
        <v/>
      </c>
      <c r="R36" t="str">
        <f ca="1"/>
        <v/>
      </c>
      <c r="S36" s="93" t="str">
        <f ca="1"/>
        <v>https://us.sagepub.com/en-us/nam/prior-publication</v>
      </c>
      <c r="T36" s="93" t="str">
        <f ca="1"/>
        <v>https://onlinelibrary.wiley.com/page/journal/15213773/homepage/notice-to-authors</v>
      </c>
      <c r="U36" s="93" t="str">
        <f ca="1"/>
        <v>http://annals.org/aim/pages/authors</v>
      </c>
      <c r="V36" s="93" t="str">
        <f ca="1"/>
        <v>https://academic.oup.com/journals/pages/access_purchase/rights_and_permissions/author_self_archiving_policy</v>
      </c>
      <c r="W36" s="93" t="str">
        <f ca="1"/>
        <v>https://authors.bmj.com/policies/preprints/</v>
      </c>
      <c r="X36" s="93" t="str">
        <f ca="1"/>
        <v>https://www.elsevier.com/about/policies/sharing</v>
      </c>
      <c r="Y36" s="93" t="str">
        <f ca="1"/>
        <v>https://www.elsevier.com/about/policies/sharing</v>
      </c>
      <c r="Z36" s="93" t="str">
        <f ca="1"/>
        <v>https://academic.oup.com/journals/pages/access_purchase/rights_and_permissions/author_self_archiving_policy</v>
      </c>
      <c r="AA36" t="str">
        <f ca="1"/>
        <v/>
      </c>
      <c r="AB36" s="93" t="str">
        <f ca="1"/>
        <v>https://www.aanda.org/author-information</v>
      </c>
      <c r="AC36" t="str">
        <f ca="1"/>
        <v>https://www.elsevier.com/authors/journal-authors/policies-and-ethics
https://www.elsevier.com/about/policies/sharing#preprint
https://www.elsevier.com/journals/biomaterials/0142-9612?generatepdf=true</v>
      </c>
      <c r="AD36" s="93" t="str">
        <f ca="1"/>
        <v>http://www.bloodjournal.org/page/authors/author-guide/Editorial-policies-for-authors</v>
      </c>
      <c r="AE36" s="93" t="str">
        <f ca="1"/>
        <v>https://authors.bmj.com/policies/preprints/</v>
      </c>
      <c r="AF36" s="93" t="str">
        <f ca="1"/>
        <v>https://www.cell.com/cancer-cell/authors</v>
      </c>
      <c r="AG36" s="93" t="str">
        <f ca="1"/>
        <v>http://aacrjournals.org/content/authors/editorial-policies</v>
      </c>
      <c r="AH36" s="93" t="str">
        <f ca="1"/>
        <v>https://www.cell.com/cell/authors</v>
      </c>
      <c r="AI36" s="93" t="str">
        <f ca="1"/>
        <v>https://www.cell.com/cell-metabolism/authors</v>
      </c>
      <c r="AJ36" s="93" t="str">
        <f ca="1"/>
        <v>https://www.cell.com/cell-stem-cell/authors</v>
      </c>
      <c r="AK36" s="93" t="str">
        <f ca="1"/>
        <v>http://www.rsc.org/journals-books-databases/journal-authors-reviewers/processes-policies/#prior-publication</v>
      </c>
      <c r="AL36" s="93" t="str">
        <f ca="1"/>
        <v>https://pubs.acs.org/page/chreay/submission/prior.html</v>
      </c>
      <c r="AM36" s="93" t="str">
        <f ca="1"/>
        <v>http://www.rsc.org/journals-books-databases/journal-authors-reviewers/processes-policies/#prior-publication</v>
      </c>
      <c r="AN36" s="93" t="str">
        <f ca="1"/>
        <v>https://pubs.acs.org/page/cmatex/submission/prior.html</v>
      </c>
      <c r="AO36" s="93" t="str">
        <f ca="1"/>
        <v>https://www.ahajournals.org/prior-publication-policy</v>
      </c>
      <c r="AP36" s="93" t="str">
        <f ca="1"/>
        <v>https://www.ahajournals.org/prior-publication-policy</v>
      </c>
      <c r="AQ36" s="93" t="str">
        <f ca="1"/>
        <v>http://aacrjournals.org/content/authors/editorial-policies</v>
      </c>
      <c r="AR36" s="93" t="str">
        <f ca="1"/>
        <v>https://www.elsevier.com/journals/computers-and-education/0360-1315?generatepdf=true</v>
      </c>
      <c r="AS36" s="93" t="str">
        <f ca="1"/>
        <v>http://www.diabetesjournals.org/content/journal-policies#originality</v>
      </c>
      <c r="AT36" t="str">
        <f ca="1"/>
        <v/>
      </c>
      <c r="AU36" s="93" t="str">
        <f ca="1"/>
        <v>https://www.econometricsociety.org/publications/econometrica/information-authors/editorial-procedures-and-policies#priorpublication</v>
      </c>
      <c r="AV36" s="93" t="str">
        <f ca="1"/>
        <v>https://www.rsc.org/journals-books-databases/journal-authors-reviewers/processes-policies/#prior-publication</v>
      </c>
      <c r="AW36" s="93" t="str">
        <f ca="1"/>
        <v>https://pubs.acs.org/page/esthag/submission/prior.html</v>
      </c>
      <c r="AX36" s="93" t="str">
        <f ca="1"/>
        <v>https://academic.oup.com/journals/pages/access_purchase/rights_and_permissions/self_archiving_policy_b</v>
      </c>
      <c r="AY36" t="str">
        <f ca="1"/>
        <v/>
      </c>
      <c r="AZ36" s="93" t="str">
        <f ca="1"/>
        <v>https://www.gastrojournal.org/content/authorinfo</v>
      </c>
      <c r="BA36" s="93" t="str">
        <f ca="1"/>
        <v>https://uk.sagepub.com/en-gb/eur/prior-publication</v>
      </c>
      <c r="BB36" s="93" t="str">
        <f ca="1"/>
        <v>https://publications.agu.org/author-resource-center/publication-policies/dual-publication-policy/</v>
      </c>
      <c r="BC36" s="93" t="str">
        <f ca="1"/>
        <v>https://www.elsevier.com/about/policies/sharing</v>
      </c>
      <c r="BD36" s="93" t="str">
        <f ca="1"/>
        <v>https://www.elsevier.com/about/policies/sharing</v>
      </c>
      <c r="BE36" s="93" t="str">
        <f ca="1"/>
        <v>https://authors.bmj.com/policies/preprints/</v>
      </c>
      <c r="BF36" s="93" t="str">
        <f ca="1"/>
        <v>https://www.healthaffairs.org/help-for-authors</v>
      </c>
      <c r="BG36" s="93" t="str">
        <f ca="1"/>
        <v>https://aasldpubs.onlinelibrary.wiley.com/hub/journal/15273350/about/author-guidelines</v>
      </c>
      <c r="BH36" s="93" t="str">
        <f ca="1"/>
        <v>https://pspb.ieee.org/images/files/files/opsmanual.pdf</v>
      </c>
      <c r="BI36" s="93" t="str">
        <f ca="1"/>
        <v>https://pspb.ieee.org/images/files/files/opsmanual.pdf</v>
      </c>
      <c r="BJ36" s="93" t="str">
        <f ca="1"/>
        <v>http://cvpr2019.thecvf.com/submission/main_conference/author_guidelines</v>
      </c>
      <c r="BK36" s="93" t="str">
        <f ca="1"/>
        <v>http://iccv2019.thecvf.com/submission/main_conference/author_guidelines</v>
      </c>
      <c r="BL36" s="93" t="str">
        <f ca="1"/>
        <v>https://ieeeauthorcenter.ieee.org/publishing-ethics/guidelines-and-policies/policy-posting-your-article/</v>
      </c>
      <c r="BM36" s="93" t="str">
        <f ca="1"/>
        <v>https://ieeeauthorcenter.ieee.org/publishing-ethics/guidelines-and-policies/policy-posting-your-article/</v>
      </c>
      <c r="BN36" s="93" t="str">
        <f ca="1"/>
        <v>https://ieeeauthorcenter.ieee.org/publishing-ethics/guidelines-and-policies/policy-posting-your-article/</v>
      </c>
      <c r="BO36" s="93" t="str">
        <f ca="1"/>
        <v>https://ieeeauthorcenter.ieee.org/publishing-ethics/guidelines-and-policies/policy-posting-your-article/</v>
      </c>
      <c r="BP36" s="93" t="str">
        <f ca="1"/>
        <v>https://ieeeauthorcenter.ieee.org/publishing-ethics/guidelines-and-policies/policy-posting-your-article/</v>
      </c>
      <c r="BQ36" s="93" t="str">
        <f ca="1"/>
        <v>https://www.cell.com/immunity/authors</v>
      </c>
      <c r="BR36" t="str">
        <f ca="1"/>
        <v/>
      </c>
      <c r="BS36" s="93" t="str">
        <f ca="1"/>
        <v>https://www.elsevier.com/journals/international-journal-of-production-economics/0925-5273/guide-for-authors</v>
      </c>
      <c r="BT36" s="93" t="str">
        <f ca="1"/>
        <v>https://jamanetwork.com/journals/jama/pages/instructions-for-authors#SecPreviousorPlannedPresentationorReleaseofInformation</v>
      </c>
      <c r="BU36" s="93" t="str">
        <f ca="1"/>
        <v>https://www.elsevier.com/about/policies/sharing</v>
      </c>
      <c r="BV36" s="93" t="str">
        <f ca="1"/>
        <v>https://www.elsevier.com/about/policies/sharing</v>
      </c>
      <c r="BW36" t="str">
        <f ca="1"/>
        <v/>
      </c>
      <c r="BX36" s="93" t="str">
        <f ca="1"/>
        <v>https://www.elsevier.com/about/policies/sharing</v>
      </c>
      <c r="BY36" s="93" t="str">
        <f ca="1"/>
        <v>https://www.elsevier.com/about/policies/sharing</v>
      </c>
      <c r="BZ36" s="93" t="str">
        <f ca="1"/>
        <v>http://ascopubs.org/jco/site/ifc/journal-policies.xhtml</v>
      </c>
      <c r="CA36" s="93" t="str">
        <f ca="1"/>
        <v>https://academic.oup.com/journals/pages/access_purchase/rights_and_permissions/self_archiving_policy_f</v>
      </c>
      <c r="CB36" s="93" t="str">
        <f ca="1"/>
        <v>https://jcap.sissa.it/jcap/help/helpLoader.jsp?pgType=flow</v>
      </c>
      <c r="CC36" t="str">
        <f ca="1"/>
        <v/>
      </c>
      <c r="CD36" s="93" t="str">
        <f ca="1"/>
        <v>https://www.apa.org/pubs/journals/resources/open-science.aspx</v>
      </c>
      <c r="CE36" t="str">
        <f ca="1"/>
        <v>https://www.elsevier.com/journals/journal-of-financial-economics/0304-405x/guide-for-authors, https://www.elsevier.com/about/policies/sharing</v>
      </c>
      <c r="CF36" t="str">
        <f ca="1"/>
        <v>https://publications.agu.org/author-resource-center/usage-permissions/, https://publications.agu.org/author-resource-center/publication-policies/dual-publication-policy/prior-publication-and-posting-primer/, https://publications.agu.org/author-resource-center/publication-policies/dual-publication-policy/</v>
      </c>
      <c r="CG36" s="93" t="str">
        <f ca="1"/>
        <v>https://www.elsevier.com/about/policies/sharing</v>
      </c>
      <c r="CH36" s="93" t="str">
        <f ca="1"/>
        <v>https://jhep.sissa.it/jhep/help/helpLoader.jsp?pgType=author#arXiv</v>
      </c>
      <c r="CI36" s="93" t="str">
        <f ca="1"/>
        <v>https://us.sagepub.com/en-us/nam/prior-publication</v>
      </c>
      <c r="CJ36" s="93" t="str">
        <f ca="1"/>
        <v>http://www.rsc.org/journals-books-databases/journal-authors-reviewers/processes-policies/#prior-publication</v>
      </c>
      <c r="CK36" t="str">
        <f ca="1"/>
        <v>https://www.elsevier.com/about/policies/copyright/permissions, https://www.elsevier.com/about/policies/sharing</v>
      </c>
      <c r="CL36" s="93" t="str">
        <f ca="1"/>
        <v>http://pubs.acs.org/paragonplus/submission/jacsat/jacsat_authguide.pdf</v>
      </c>
      <c r="CM36" s="93" t="str">
        <f ca="1"/>
        <v>http://www.onlinejacc.org/content/73/2/A28</v>
      </c>
      <c r="CN36" t="str">
        <f ca="1"/>
        <v/>
      </c>
      <c r="CO36" s="93" t="str">
        <f ca="1"/>
        <v>https://us.sagepub.com/en-us/nam/prior-publication</v>
      </c>
      <c r="CP36" t="str">
        <f ca="1"/>
        <v/>
      </c>
      <c r="CQ36" t="str">
        <f ca="1"/>
        <v/>
      </c>
      <c r="CR36" s="93" t="str">
        <f ca="1"/>
        <v>https://www.elsevier.com/about/policies/copyright/permissions</v>
      </c>
      <c r="CS36" t="str">
        <f ca="1"/>
        <v/>
      </c>
      <c r="CT36" t="str">
        <f ca="1"/>
        <v/>
      </c>
      <c r="CU36" t="str">
        <f ca="1"/>
        <v/>
      </c>
      <c r="CV36" t="str">
        <f ca="1"/>
        <v/>
      </c>
      <c r="CW36" s="93" t="str">
        <f ca="1"/>
        <v>https://uk.sagepub.com/en-gb/eur/journal-author-archiving-policies-and-re-use</v>
      </c>
      <c r="CX36" s="93" t="str">
        <f ca="1"/>
        <v>https://www.cell.com/molecular-cell/authors</v>
      </c>
      <c r="CY36" t="str">
        <f ca="1"/>
        <v>https://academic.oup.com/journals/pages/access_purchase/rights_and_permissions/author_self_archiving_policy
https://academic.oup.com/mnras/pages/General_Instructions#3.5%20Updating%20of%20records%20on%20arXiv</v>
      </c>
      <c r="CZ36" s="93" t="str">
        <f ca="1"/>
        <v>https://pubs.acs.org/page/nalefd/submission/prior.html</v>
      </c>
      <c r="DA36" s="93" t="str">
        <f ca="1"/>
        <v>http://www.rsc.org/journals-books-databases/journal-authors-reviewers/processes-policies/#prior-publication</v>
      </c>
      <c r="DB36" s="93" t="str">
        <f ca="1"/>
        <v>https://www.nature.com/authors/policies/preprints.html</v>
      </c>
      <c r="DC36" s="93" t="str">
        <f ca="1"/>
        <v>https://www.nature.com/authors/policies/preprints.html</v>
      </c>
      <c r="DD36" s="93" t="str">
        <f ca="1"/>
        <v>https://www.nature.com/authors/policies/preprints.html</v>
      </c>
      <c r="DE36" s="93" t="str">
        <f ca="1"/>
        <v>https://www.nature.com/authors/policies/preprints.html</v>
      </c>
      <c r="DF36" s="93" t="str">
        <f ca="1"/>
        <v>https://www.nature.com/authors/policies/preprints.html</v>
      </c>
      <c r="DG36" s="93" t="str">
        <f ca="1"/>
        <v>https://www.nature.com/authors/policies/preprints.html</v>
      </c>
      <c r="DH36" s="93" t="str">
        <f ca="1"/>
        <v>https://www.nature.com/authors/policies/preprints.html</v>
      </c>
      <c r="DI36" s="93" t="str">
        <f ca="1"/>
        <v>https://www.nature.com/authors/policies/preprints.html</v>
      </c>
      <c r="DJ36" s="93" t="str">
        <f ca="1"/>
        <v>https://www.nature.com/authors/policies/preprints.html</v>
      </c>
      <c r="DK36" s="93" t="str">
        <f ca="1"/>
        <v>https://www.nature.com/authors/policies/preprints.html</v>
      </c>
      <c r="DL36" s="93" t="str">
        <f ca="1"/>
        <v>https://www.nature.com/authors/policies/preprints.html</v>
      </c>
      <c r="DM36" s="93" t="str">
        <f ca="1"/>
        <v>https://www.nature.com/authors/policies/preprints.html</v>
      </c>
      <c r="DN36" s="93" t="str">
        <f ca="1"/>
        <v>https://www.nature.com/authors/policies/preprints.html</v>
      </c>
      <c r="DO36" s="93" t="str">
        <f ca="1"/>
        <v>https://www.nature.com/authors/policies/preprints.html</v>
      </c>
      <c r="DP36" s="93" t="str">
        <f ca="1"/>
        <v>https://www.nature.com/authors/policies/preprints.html</v>
      </c>
      <c r="DQ36" t="str">
        <f ca="1"/>
        <v/>
      </c>
      <c r="DR36" t="str">
        <f ca="1"/>
        <v/>
      </c>
      <c r="DS36" t="str">
        <f ca="1"/>
        <v/>
      </c>
      <c r="DT36" t="str">
        <f ca="1"/>
        <v/>
      </c>
      <c r="DU36" t="str">
        <f ca="1"/>
        <v/>
      </c>
      <c r="DV36" t="str">
        <f ca="1"/>
        <v/>
      </c>
      <c r="DW36" s="93" t="str">
        <f ca="1"/>
        <v>https://nips.cc/Conferences/2019/CallForPapers</v>
      </c>
      <c r="DX36" s="93" t="str">
        <f ca="1"/>
        <v>https://www.elsevier.com/about/policies/sharing</v>
      </c>
      <c r="DY36" s="93" t="str">
        <f ca="1"/>
        <v>https://www.cell.com/neuron/authors</v>
      </c>
      <c r="DZ36" t="str">
        <f ca="1"/>
        <v/>
      </c>
      <c r="EA36" s="93" t="str">
        <f ca="1"/>
        <v>https://authorservices.wiley.com/author-resources/Journal-Authors/open-access/preprints-policy.html</v>
      </c>
      <c r="EB36" s="93" t="str">
        <f ca="1"/>
        <v>https://academic.oup.com/nar/pages/Policies#Prior%20Publication</v>
      </c>
      <c r="EC36" t="str">
        <f ca="1"/>
        <v/>
      </c>
      <c r="ED36" t="str">
        <f ca="1"/>
        <v/>
      </c>
      <c r="EE36" t="str">
        <f ca="1"/>
        <v/>
      </c>
      <c r="EF36" t="str">
        <f ca="1"/>
        <v/>
      </c>
      <c r="EG36" t="str">
        <f ca="1"/>
        <v/>
      </c>
      <c r="EH36" t="str">
        <f ca="1"/>
        <v/>
      </c>
      <c r="EI36" t="str">
        <f ca="1"/>
        <v/>
      </c>
      <c r="EJ36" t="str">
        <f ca="1"/>
        <v/>
      </c>
      <c r="EK36" s="93" t="str">
        <f ca="1"/>
        <v>https://www.elsevier.com/journals/physics-letters-b/0370-2693/guide-for-authors</v>
      </c>
      <c r="EL36" s="93" t="str">
        <f ca="1"/>
        <v>https://journals.plos.org/plosone/s/preprints</v>
      </c>
      <c r="EM36" t="str">
        <f ca="1"/>
        <v>https://www.pnas.org/page/authors/journal-policies &amp; https://www.pnas.org/content/114/48/12630</v>
      </c>
      <c r="EN36" t="str">
        <f ca="1"/>
        <v xml:space="preserve">https://us.sagepub.com/en-us/nam/preprintsfaq
https://journals.sagepub.com/pb-assets/Journals-Accepting-PrePrints.pdf
</v>
      </c>
      <c r="EO36" s="93" t="str">
        <f ca="1"/>
        <v>https://academic.oup.com/journals/pages/access_purchase/rights_and_permissions/self_archiving_policy_a</v>
      </c>
      <c r="EP36" t="str">
        <f ca="1"/>
        <v/>
      </c>
      <c r="EQ36" t="str">
        <f ca="1"/>
        <v>https://www.elsevier.com/journals/research-policy/0048-7333/guide-for-authors#20920, https://www.elsevier.com/authors/journal-authors/submit-your-paper/sharing-and-promoting-your-article</v>
      </c>
      <c r="ER36" t="str">
        <f ca="1"/>
        <v>https://www.elsevier.com/journals/research-policy/0048-7333/guide-for-authors#20920, https://www.elsevier.com/authors/journal-authors/submit-your-paper/sharing-and-promoting-your-article</v>
      </c>
      <c r="ES36" s="93" t="str">
        <f ca="1"/>
        <v>https://www.mitpressjournals.org/for_authors#authorposting</v>
      </c>
      <c r="ET36" s="93" t="str">
        <f ca="1"/>
        <v>https://journals.aps.org/rmp/info/procedures.html</v>
      </c>
      <c r="EU36" s="93" t="str">
        <f ca="1"/>
        <v>http://www.sciencemag.org/authors/science-journals-editorial-policies</v>
      </c>
      <c r="EV36" s="93" t="str">
        <f ca="1"/>
        <v>https://stm.sciencemag.org/content/science-translational-medicine-general-policies</v>
      </c>
      <c r="EW36" s="93" t="str">
        <f ca="1"/>
        <v>https://www.nature.com/srep/journal-policies/editorial-policies?draft=journal&amp;target=content#confidentiality</v>
      </c>
      <c r="EX36" t="str">
        <f ca="1"/>
        <v>https://www.elsevier.com/journals/social-science-and-medicine/0277-9536/guide-for-authors, https://www.elsevier.com/about/policies/sharing/preprint</v>
      </c>
      <c r="EY36" t="str">
        <f ca="1"/>
        <v>(describes working paper citations) https://onlinelibrary.wiley.com/page/journal/10970266/homepage/forauthors.html</v>
      </c>
      <c r="EZ36" s="93" t="str">
        <f ca="1"/>
        <v>https://www.springer.com/philosophy/epistemology+and+philosophy+of+science/journal/11229</v>
      </c>
      <c r="FA36" t="str">
        <f ca="1"/>
        <v/>
      </c>
      <c r="FB36" t="str">
        <f ca="1"/>
        <v>https://www.elsevier.com/journals/teaching-and-teacher-education/0742-051x/guide-for-authors, https://www.elsevier.com/about/policies/sharing/preprint</v>
      </c>
      <c r="FC36" s="93" t="str">
        <f ca="1"/>
        <v>https://onlinelibrary.wiley.com/page/journal/15457249/homepage/forauthors.html</v>
      </c>
      <c r="FD36" t="str">
        <f ca="1"/>
        <v/>
      </c>
      <c r="FE36" t="str">
        <f ca="1"/>
        <v/>
      </c>
      <c r="FF36" s="93" t="str">
        <f ca="1"/>
        <v>http://ideas.cochrane.org/forums/326856-cochrane-style-manual/suggestions/18762079-referencing-preprints</v>
      </c>
      <c r="FG36" s="93" t="str">
        <f ca="1"/>
        <v>https://epjc.epj.org/epjc-faq#preprintservers</v>
      </c>
      <c r="FH36" s="93" t="str">
        <f ca="1"/>
        <v>https://www.jci.org/kiosks/authors#Editorial_Policies</v>
      </c>
      <c r="FI36" s="93" t="str">
        <f ca="1"/>
        <v>https://cdn.ymaws.com/www.afajof.org/resource/resmgr/files/Submission_docs/JF_Submission_Guidelines-Feb.pdf</v>
      </c>
      <c r="FJ36" s="93" t="str">
        <f ca="1"/>
        <v>http://pubs.acs.org/paragonplus/submission/jpclcd/jpclcd_authguide.pdf</v>
      </c>
      <c r="FK36" t="str">
        <f ca="1"/>
        <v>https://els-jbs-prod-cdn.literatumonline.com/pb/assets/raw/Lancet/authors/tl-info-for-authors-1541596038107.pdf, https://www.thelancet.com/preprints</v>
      </c>
      <c r="FL36" s="93" t="str">
        <f ca="1"/>
        <v>https://els-jbs-prod-cdn.literatumonline.com/pb/assets/raw/Lancet/authors/tln-info-for-authors-1541596047120.pdf</v>
      </c>
      <c r="FM36" t="str">
        <f ca="1"/>
        <v>https://els-jbs-prod-cdn.literatumonline.com/pb/assets/raw/Lancet/authors/tlo-info-for-authors-1553790033677.pdf, https://www.thelancet.com/preprints</v>
      </c>
      <c r="FN36" t="str">
        <f ca="1"/>
        <v/>
      </c>
      <c r="FO36" s="93" t="str">
        <f ca="1"/>
        <v>https://www.nejm.org/about-nejm/editorial-policies</v>
      </c>
      <c r="FP36" s="93" t="str">
        <f ca="1"/>
        <v>https://academic.oup.com/journals/pages/access_purchase/rights_and_permissions/self_archiving_policy_f</v>
      </c>
      <c r="FQ36" s="93" t="str">
        <f ca="1"/>
        <v>https://academic.oup.com/journals/pages/access_purchase/rights_and_permissions/self_archiving_policy_f</v>
      </c>
      <c r="FR36" t="str">
        <f ca="1"/>
        <v>https://academic.oup.com/journals/pages/access_purchase/rights_and_permissions/self_archiving_policy_f, https://academic.oup.com/rfs/pages/Instructions_To_Authors</v>
      </c>
      <c r="FS36" s="93" t="str">
        <f ca="1"/>
        <v>https://www.elsevier.com/about/policies/sharing</v>
      </c>
      <c r="FT36" s="93" t="str">
        <f ca="1"/>
        <v>https://www.elsevier.com/about/policies/sharing</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v>
      </c>
      <c r="LI36">
        <v>0</v>
      </c>
      <c r="LJ36">
        <v>0</v>
      </c>
      <c r="LK36">
        <v>0</v>
      </c>
      <c r="LL36">
        <v>0</v>
      </c>
      <c r="LM36">
        <v>0</v>
      </c>
      <c r="LN36">
        <v>0</v>
      </c>
      <c r="LO36">
        <v>0</v>
      </c>
      <c r="LP36">
        <v>0</v>
      </c>
      <c r="LQ36">
        <v>0</v>
      </c>
      <c r="LR36">
        <v>0</v>
      </c>
      <c r="LS36">
        <v>0</v>
      </c>
      <c r="LT36">
        <v>0</v>
      </c>
      <c r="LU36">
        <v>0</v>
      </c>
      <c r="LV36">
        <v>0</v>
      </c>
      <c r="LW36">
        <v>0</v>
      </c>
      <c r="LX36">
        <v>0</v>
      </c>
      <c r="LY36">
        <v>0</v>
      </c>
      <c r="LZ36">
        <v>0</v>
      </c>
      <c r="MA36">
        <v>0</v>
      </c>
      <c r="MB36">
        <v>0</v>
      </c>
      <c r="MC36">
        <v>0</v>
      </c>
      <c r="MD36">
        <v>0</v>
      </c>
      <c r="ME36">
        <v>0</v>
      </c>
      <c r="MF36">
        <v>0</v>
      </c>
      <c r="MG36">
        <v>0</v>
      </c>
      <c r="MH36">
        <v>0</v>
      </c>
      <c r="MI36">
        <v>0</v>
      </c>
      <c r="MJ36">
        <v>0</v>
      </c>
      <c r="MK36">
        <v>0</v>
      </c>
      <c r="ML36">
        <v>0</v>
      </c>
      <c r="MM36">
        <v>0</v>
      </c>
      <c r="MN36">
        <v>0</v>
      </c>
      <c r="MO36">
        <v>0</v>
      </c>
      <c r="MP36">
        <v>0</v>
      </c>
      <c r="MQ36">
        <v>0</v>
      </c>
      <c r="MR36">
        <v>0</v>
      </c>
      <c r="MS36">
        <v>0</v>
      </c>
      <c r="MT36">
        <v>0</v>
      </c>
      <c r="MU36">
        <v>0</v>
      </c>
      <c r="MV36">
        <v>0</v>
      </c>
      <c r="MW36">
        <v>0</v>
      </c>
      <c r="MX36">
        <v>0</v>
      </c>
      <c r="MY36">
        <v>0</v>
      </c>
      <c r="MZ36">
        <v>0</v>
      </c>
      <c r="NA36">
        <v>0</v>
      </c>
      <c r="NB36">
        <v>0</v>
      </c>
      <c r="NC36">
        <v>0</v>
      </c>
      <c r="ND36">
        <v>0</v>
      </c>
      <c r="NE36">
        <v>0</v>
      </c>
      <c r="NF36">
        <v>0</v>
      </c>
      <c r="NG36">
        <v>0</v>
      </c>
      <c r="NH36">
        <v>0</v>
      </c>
      <c r="NI36">
        <v>0</v>
      </c>
      <c r="NJ36">
        <v>0</v>
      </c>
      <c r="NK36">
        <v>0</v>
      </c>
      <c r="NL36">
        <v>0</v>
      </c>
      <c r="NM36">
        <v>0</v>
      </c>
      <c r="NN36">
        <v>0</v>
      </c>
      <c r="NO36">
        <v>0</v>
      </c>
      <c r="NP36">
        <v>0</v>
      </c>
      <c r="NQ36">
        <v>0</v>
      </c>
      <c r="NR36">
        <v>0</v>
      </c>
      <c r="NS36">
        <v>0</v>
      </c>
      <c r="NT36">
        <v>0</v>
      </c>
      <c r="NU36">
        <v>0</v>
      </c>
      <c r="NV36">
        <v>0</v>
      </c>
      <c r="NW36">
        <v>0</v>
      </c>
      <c r="NX36">
        <v>0</v>
      </c>
      <c r="NY36">
        <v>0</v>
      </c>
      <c r="NZ36">
        <v>0</v>
      </c>
      <c r="OA36">
        <v>0</v>
      </c>
      <c r="OB36">
        <v>0</v>
      </c>
      <c r="OC36">
        <v>0</v>
      </c>
      <c r="OD36">
        <v>0</v>
      </c>
      <c r="OE36">
        <v>0</v>
      </c>
      <c r="OF36">
        <v>0</v>
      </c>
      <c r="OG36">
        <v>0</v>
      </c>
      <c r="OH36">
        <v>0</v>
      </c>
      <c r="OI36">
        <v>0</v>
      </c>
      <c r="OJ36">
        <v>0</v>
      </c>
      <c r="OK36">
        <v>0</v>
      </c>
      <c r="OL36">
        <v>0</v>
      </c>
      <c r="OM36">
        <v>0</v>
      </c>
      <c r="ON36">
        <v>0</v>
      </c>
      <c r="OO36">
        <v>0</v>
      </c>
      <c r="OP36">
        <v>0</v>
      </c>
      <c r="OQ36">
        <v>0</v>
      </c>
      <c r="OR36">
        <v>0</v>
      </c>
      <c r="OS36">
        <v>0</v>
      </c>
      <c r="OT36">
        <v>0</v>
      </c>
      <c r="OU36">
        <v>0</v>
      </c>
      <c r="OV36">
        <v>0</v>
      </c>
      <c r="OW36">
        <v>0</v>
      </c>
      <c r="OX36">
        <v>0</v>
      </c>
      <c r="OY36">
        <v>0</v>
      </c>
      <c r="OZ36">
        <v>0</v>
      </c>
      <c r="PA36">
        <v>0</v>
      </c>
      <c r="PB36">
        <v>0</v>
      </c>
      <c r="PC36">
        <v>0</v>
      </c>
      <c r="PD36">
        <v>0</v>
      </c>
      <c r="PE36">
        <v>0</v>
      </c>
      <c r="PF36">
        <v>0</v>
      </c>
      <c r="PG36">
        <v>0</v>
      </c>
      <c r="PH36">
        <v>0</v>
      </c>
      <c r="PI36">
        <v>0</v>
      </c>
      <c r="PJ36">
        <v>0</v>
      </c>
      <c r="PK36">
        <v>0</v>
      </c>
      <c r="PL36">
        <v>0</v>
      </c>
      <c r="PM36">
        <v>0</v>
      </c>
      <c r="PN36">
        <v>0</v>
      </c>
      <c r="PO36">
        <v>0</v>
      </c>
      <c r="PP36">
        <v>0</v>
      </c>
      <c r="PQ36">
        <v>0</v>
      </c>
      <c r="PR36">
        <v>0</v>
      </c>
      <c r="PS36">
        <v>0</v>
      </c>
      <c r="PT36">
        <v>0</v>
      </c>
      <c r="PU36">
        <v>0</v>
      </c>
      <c r="PV36">
        <v>0</v>
      </c>
      <c r="PW36">
        <v>0</v>
      </c>
      <c r="PX36">
        <v>0</v>
      </c>
      <c r="PY36">
        <v>0</v>
      </c>
      <c r="PZ36">
        <v>0</v>
      </c>
      <c r="QA36">
        <v>0</v>
      </c>
      <c r="QB36">
        <v>0</v>
      </c>
      <c r="QC36">
        <v>0</v>
      </c>
      <c r="QD36">
        <v>0</v>
      </c>
      <c r="QE36">
        <v>0</v>
      </c>
      <c r="QF36">
        <v>0</v>
      </c>
      <c r="QG36">
        <v>0</v>
      </c>
      <c r="QH36">
        <v>0</v>
      </c>
      <c r="QI36">
        <v>0</v>
      </c>
      <c r="QJ36">
        <v>0</v>
      </c>
      <c r="QK36">
        <v>0</v>
      </c>
      <c r="QL36">
        <v>0</v>
      </c>
      <c r="QM36">
        <v>0</v>
      </c>
      <c r="QN36">
        <v>0</v>
      </c>
      <c r="QO36">
        <v>0</v>
      </c>
      <c r="QP36">
        <v>0</v>
      </c>
      <c r="QQ36">
        <v>0</v>
      </c>
      <c r="QR36">
        <v>0</v>
      </c>
      <c r="QS36">
        <v>0</v>
      </c>
      <c r="QT36">
        <v>0</v>
      </c>
      <c r="QU36">
        <v>0</v>
      </c>
      <c r="QV36">
        <v>0</v>
      </c>
      <c r="QW36">
        <v>0</v>
      </c>
      <c r="QX36">
        <v>0</v>
      </c>
      <c r="QY36">
        <v>0</v>
      </c>
      <c r="QZ36">
        <v>0</v>
      </c>
      <c r="RA36">
        <v>0</v>
      </c>
      <c r="RB36">
        <v>0</v>
      </c>
      <c r="RC36">
        <v>0</v>
      </c>
      <c r="RD36">
        <v>0</v>
      </c>
      <c r="RE36">
        <v>0</v>
      </c>
      <c r="RF36">
        <v>0</v>
      </c>
      <c r="RG36">
        <v>0</v>
      </c>
      <c r="RH36">
        <v>0</v>
      </c>
      <c r="RI36">
        <v>0</v>
      </c>
      <c r="RJ36">
        <v>0</v>
      </c>
      <c r="RK36">
        <v>0</v>
      </c>
      <c r="RL36">
        <v>0</v>
      </c>
      <c r="RM36">
        <v>0</v>
      </c>
      <c r="RN36">
        <v>0</v>
      </c>
      <c r="RO36">
        <v>0</v>
      </c>
      <c r="RP36">
        <v>0</v>
      </c>
      <c r="RQ36">
        <v>0</v>
      </c>
      <c r="RR36">
        <v>0</v>
      </c>
      <c r="RS36">
        <v>0</v>
      </c>
      <c r="RT36">
        <v>0</v>
      </c>
      <c r="RU36">
        <v>0</v>
      </c>
      <c r="RV36">
        <v>0</v>
      </c>
      <c r="RW36">
        <v>0</v>
      </c>
      <c r="RX36">
        <v>0</v>
      </c>
      <c r="RY36">
        <v>0</v>
      </c>
      <c r="RZ36">
        <v>0</v>
      </c>
      <c r="SA36">
        <v>0</v>
      </c>
      <c r="SB36">
        <v>0</v>
      </c>
      <c r="SC36">
        <v>0</v>
      </c>
      <c r="SD36">
        <v>0</v>
      </c>
      <c r="SE36">
        <v>0</v>
      </c>
      <c r="SF36">
        <v>0</v>
      </c>
      <c r="SG36">
        <v>0</v>
      </c>
      <c r="SH36">
        <v>0</v>
      </c>
      <c r="SI36">
        <v>0</v>
      </c>
      <c r="SJ36">
        <v>0</v>
      </c>
      <c r="SK36">
        <v>0</v>
      </c>
      <c r="SL36">
        <v>0</v>
      </c>
      <c r="SM36">
        <v>0</v>
      </c>
      <c r="SN36">
        <v>0</v>
      </c>
      <c r="SO36">
        <v>0</v>
      </c>
      <c r="SP36">
        <v>0</v>
      </c>
      <c r="SQ36">
        <v>0</v>
      </c>
      <c r="SR36">
        <v>0</v>
      </c>
      <c r="SS36">
        <v>0</v>
      </c>
      <c r="ST36">
        <v>0</v>
      </c>
      <c r="SU36">
        <v>0</v>
      </c>
      <c r="SV36">
        <v>0</v>
      </c>
      <c r="SW36">
        <v>0</v>
      </c>
      <c r="SX36">
        <v>0</v>
      </c>
      <c r="SY36">
        <v>0</v>
      </c>
      <c r="SZ36">
        <v>0</v>
      </c>
      <c r="TA36">
        <v>0</v>
      </c>
      <c r="TB36">
        <v>0</v>
      </c>
      <c r="TC36">
        <v>0</v>
      </c>
      <c r="TD36">
        <v>0</v>
      </c>
      <c r="TE36">
        <v>0</v>
      </c>
      <c r="TF36">
        <v>0</v>
      </c>
      <c r="TG36">
        <v>0</v>
      </c>
      <c r="TH36">
        <v>0</v>
      </c>
      <c r="TI36">
        <v>0</v>
      </c>
      <c r="TJ36">
        <v>0</v>
      </c>
      <c r="TK36">
        <v>0</v>
      </c>
      <c r="TL36">
        <v>0</v>
      </c>
      <c r="TM36">
        <v>0</v>
      </c>
      <c r="TN36">
        <v>0</v>
      </c>
      <c r="TO36">
        <v>0</v>
      </c>
      <c r="TP36">
        <v>0</v>
      </c>
      <c r="TQ36">
        <v>0</v>
      </c>
      <c r="TR36">
        <v>0</v>
      </c>
      <c r="TS36">
        <v>0</v>
      </c>
      <c r="TT36">
        <v>0</v>
      </c>
      <c r="TU36">
        <v>0</v>
      </c>
      <c r="TV36">
        <v>0</v>
      </c>
      <c r="TW36">
        <v>0</v>
      </c>
      <c r="TX36">
        <v>0</v>
      </c>
      <c r="TY36">
        <v>0</v>
      </c>
      <c r="TZ36">
        <v>0</v>
      </c>
      <c r="UA36">
        <v>0</v>
      </c>
      <c r="UB36">
        <v>0</v>
      </c>
      <c r="UC36">
        <v>0</v>
      </c>
      <c r="UD36">
        <v>0</v>
      </c>
      <c r="UE36">
        <v>0</v>
      </c>
      <c r="UF36">
        <v>0</v>
      </c>
      <c r="UG36">
        <v>0</v>
      </c>
      <c r="UH36">
        <v>0</v>
      </c>
      <c r="UI36">
        <v>0</v>
      </c>
      <c r="UJ36">
        <v>0</v>
      </c>
      <c r="UK36">
        <v>0</v>
      </c>
      <c r="UL36">
        <v>0</v>
      </c>
      <c r="UM36">
        <v>0</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v>0</v>
      </c>
      <c r="VP36">
        <v>0</v>
      </c>
      <c r="VQ36">
        <v>0</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M36">
        <v>0</v>
      </c>
      <c r="WN36">
        <v>0</v>
      </c>
      <c r="WO36">
        <v>0</v>
      </c>
      <c r="WP36">
        <v>0</v>
      </c>
      <c r="WQ36">
        <v>0</v>
      </c>
      <c r="WR36">
        <v>0</v>
      </c>
      <c r="WS36">
        <v>0</v>
      </c>
      <c r="WT36">
        <v>0</v>
      </c>
      <c r="WU36">
        <v>0</v>
      </c>
      <c r="WV36">
        <v>0</v>
      </c>
      <c r="WW36">
        <v>0</v>
      </c>
      <c r="WX36">
        <v>0</v>
      </c>
      <c r="WY36">
        <v>0</v>
      </c>
      <c r="WZ36">
        <v>0</v>
      </c>
      <c r="XA36">
        <v>0</v>
      </c>
      <c r="XB36">
        <v>0</v>
      </c>
      <c r="XC36">
        <v>0</v>
      </c>
      <c r="XD36">
        <v>0</v>
      </c>
      <c r="XE36">
        <v>0</v>
      </c>
      <c r="XF36">
        <v>0</v>
      </c>
      <c r="XG36">
        <v>0</v>
      </c>
      <c r="XH36">
        <v>0</v>
      </c>
      <c r="XI36">
        <v>0</v>
      </c>
      <c r="XJ36">
        <v>0</v>
      </c>
      <c r="XK36">
        <v>0</v>
      </c>
      <c r="XL36">
        <v>0</v>
      </c>
      <c r="XM36">
        <v>0</v>
      </c>
      <c r="XN36">
        <v>0</v>
      </c>
      <c r="XO36">
        <v>0</v>
      </c>
      <c r="XP36">
        <v>0</v>
      </c>
      <c r="XQ36">
        <v>0</v>
      </c>
      <c r="XR36">
        <v>0</v>
      </c>
      <c r="XS36">
        <v>0</v>
      </c>
      <c r="XT36">
        <v>0</v>
      </c>
      <c r="XU36">
        <v>0</v>
      </c>
      <c r="XV36">
        <v>0</v>
      </c>
      <c r="XW36">
        <v>0</v>
      </c>
      <c r="XX36">
        <v>0</v>
      </c>
      <c r="XY36">
        <v>0</v>
      </c>
      <c r="XZ36">
        <v>0</v>
      </c>
      <c r="YA36">
        <v>0</v>
      </c>
      <c r="YB36">
        <v>0</v>
      </c>
      <c r="YC36">
        <v>0</v>
      </c>
      <c r="YD36">
        <v>0</v>
      </c>
      <c r="YE36">
        <v>0</v>
      </c>
      <c r="YF36">
        <v>0</v>
      </c>
      <c r="YG36">
        <v>0</v>
      </c>
      <c r="YH36">
        <v>0</v>
      </c>
      <c r="YI36">
        <v>0</v>
      </c>
      <c r="YJ36">
        <v>0</v>
      </c>
      <c r="YK36">
        <v>0</v>
      </c>
      <c r="YL36">
        <v>0</v>
      </c>
      <c r="YM36">
        <v>0</v>
      </c>
      <c r="YN36">
        <v>0</v>
      </c>
      <c r="YO36">
        <v>0</v>
      </c>
      <c r="YP36">
        <v>0</v>
      </c>
      <c r="YQ36">
        <v>0</v>
      </c>
      <c r="YR36">
        <v>0</v>
      </c>
      <c r="YS36">
        <v>0</v>
      </c>
      <c r="YT36">
        <v>0</v>
      </c>
      <c r="YU36">
        <v>0</v>
      </c>
      <c r="YV36">
        <v>0</v>
      </c>
      <c r="YW36">
        <v>0</v>
      </c>
      <c r="YX36">
        <v>0</v>
      </c>
      <c r="YY36">
        <v>0</v>
      </c>
      <c r="YZ36">
        <v>0</v>
      </c>
      <c r="ZA36">
        <v>0</v>
      </c>
      <c r="ZB36">
        <v>0</v>
      </c>
      <c r="ZC36">
        <v>0</v>
      </c>
      <c r="ZD36">
        <v>0</v>
      </c>
      <c r="ZE36">
        <v>0</v>
      </c>
      <c r="ZF36">
        <v>0</v>
      </c>
      <c r="ZG36">
        <v>0</v>
      </c>
      <c r="ZH36">
        <v>0</v>
      </c>
      <c r="ZI36">
        <v>0</v>
      </c>
      <c r="ZJ36">
        <v>0</v>
      </c>
      <c r="ZK36">
        <v>0</v>
      </c>
      <c r="ZL36">
        <v>0</v>
      </c>
      <c r="ZM36">
        <v>0</v>
      </c>
      <c r="ZN36">
        <v>0</v>
      </c>
      <c r="ZO36">
        <v>0</v>
      </c>
      <c r="ZP36">
        <v>0</v>
      </c>
      <c r="ZQ36">
        <v>0</v>
      </c>
      <c r="ZR36">
        <v>0</v>
      </c>
      <c r="ZS36">
        <v>0</v>
      </c>
      <c r="ZT36">
        <v>0</v>
      </c>
      <c r="ZU36">
        <v>0</v>
      </c>
      <c r="ZV36">
        <v>0</v>
      </c>
      <c r="ZW36">
        <v>0</v>
      </c>
      <c r="ZX36">
        <v>0</v>
      </c>
      <c r="ZY36">
        <v>0</v>
      </c>
      <c r="ZZ36">
        <v>0</v>
      </c>
      <c r="AAA36">
        <v>0</v>
      </c>
      <c r="AAB36">
        <v>0</v>
      </c>
      <c r="AAC36">
        <v>0</v>
      </c>
      <c r="AAD36">
        <v>0</v>
      </c>
      <c r="AAE36">
        <v>0</v>
      </c>
      <c r="AAF36">
        <v>0</v>
      </c>
      <c r="AAG36">
        <v>0</v>
      </c>
      <c r="AAH36">
        <v>0</v>
      </c>
      <c r="AAI36">
        <v>0</v>
      </c>
      <c r="AAJ36">
        <v>0</v>
      </c>
      <c r="AAK36">
        <v>0</v>
      </c>
      <c r="AAL36">
        <v>0</v>
      </c>
      <c r="AAM36">
        <v>0</v>
      </c>
      <c r="AAN36">
        <v>0</v>
      </c>
      <c r="AAO36">
        <v>0</v>
      </c>
      <c r="AAP36">
        <v>0</v>
      </c>
      <c r="AAQ36">
        <v>0</v>
      </c>
      <c r="AAR36">
        <v>0</v>
      </c>
      <c r="AAS36">
        <v>0</v>
      </c>
      <c r="AAT36">
        <v>0</v>
      </c>
      <c r="AAU36">
        <v>0</v>
      </c>
      <c r="AAV36">
        <v>0</v>
      </c>
      <c r="AAW36">
        <v>0</v>
      </c>
      <c r="AAX36">
        <v>0</v>
      </c>
      <c r="AAY36">
        <v>0</v>
      </c>
      <c r="AAZ36">
        <v>0</v>
      </c>
      <c r="ABA36">
        <v>0</v>
      </c>
      <c r="ABB36">
        <v>0</v>
      </c>
      <c r="ABC36">
        <v>0</v>
      </c>
      <c r="ABD36">
        <v>0</v>
      </c>
      <c r="ABE36">
        <v>0</v>
      </c>
      <c r="ABF36">
        <v>0</v>
      </c>
      <c r="ABG36">
        <v>0</v>
      </c>
      <c r="ABH36">
        <v>0</v>
      </c>
      <c r="ABI36">
        <v>0</v>
      </c>
      <c r="ABJ36">
        <v>0</v>
      </c>
      <c r="ABK36">
        <v>0</v>
      </c>
      <c r="ABL36">
        <v>0</v>
      </c>
      <c r="ABM36">
        <v>0</v>
      </c>
      <c r="ABN36">
        <v>0</v>
      </c>
      <c r="ABO36">
        <v>0</v>
      </c>
      <c r="ABP36">
        <v>0</v>
      </c>
      <c r="ABQ36">
        <v>0</v>
      </c>
      <c r="ABR36">
        <v>0</v>
      </c>
      <c r="ABS36">
        <v>0</v>
      </c>
      <c r="ABT36">
        <v>0</v>
      </c>
      <c r="ABU36">
        <v>0</v>
      </c>
      <c r="ABV36">
        <v>0</v>
      </c>
      <c r="ABW36">
        <v>0</v>
      </c>
      <c r="ABX36">
        <v>0</v>
      </c>
      <c r="ABY36">
        <v>0</v>
      </c>
      <c r="ABZ36">
        <v>0</v>
      </c>
      <c r="ACA36">
        <v>0</v>
      </c>
      <c r="ACB36">
        <v>0</v>
      </c>
      <c r="ACC36">
        <v>0</v>
      </c>
      <c r="ACD36">
        <v>0</v>
      </c>
      <c r="ACE36">
        <v>0</v>
      </c>
      <c r="ACF36">
        <v>0</v>
      </c>
      <c r="ACG36">
        <v>0</v>
      </c>
      <c r="ACH36">
        <v>0</v>
      </c>
      <c r="ACI36">
        <v>0</v>
      </c>
      <c r="ACJ36">
        <v>0</v>
      </c>
      <c r="ACK36">
        <v>0</v>
      </c>
      <c r="ACL36">
        <v>0</v>
      </c>
      <c r="ACM36">
        <v>0</v>
      </c>
      <c r="ACN36">
        <v>0</v>
      </c>
      <c r="ACO36">
        <v>0</v>
      </c>
      <c r="ACP36">
        <v>0</v>
      </c>
      <c r="ACQ36">
        <v>0</v>
      </c>
      <c r="ACR36">
        <v>0</v>
      </c>
      <c r="ACS36">
        <v>0</v>
      </c>
      <c r="ACT36">
        <v>0</v>
      </c>
      <c r="ACU36">
        <v>0</v>
      </c>
      <c r="ACV36">
        <v>0</v>
      </c>
      <c r="ACW36">
        <v>0</v>
      </c>
      <c r="ACX36">
        <v>0</v>
      </c>
      <c r="ACY36">
        <v>0</v>
      </c>
      <c r="ACZ36">
        <v>0</v>
      </c>
      <c r="ADA36">
        <v>0</v>
      </c>
      <c r="ADB36">
        <v>0</v>
      </c>
      <c r="ADC36">
        <v>0</v>
      </c>
      <c r="ADD36">
        <v>0</v>
      </c>
      <c r="ADE36">
        <v>0</v>
      </c>
      <c r="ADF36">
        <v>0</v>
      </c>
      <c r="ADG36">
        <v>0</v>
      </c>
      <c r="ADH36">
        <v>0</v>
      </c>
      <c r="ADI36">
        <v>0</v>
      </c>
      <c r="ADJ36">
        <v>0</v>
      </c>
      <c r="ADK36">
        <v>0</v>
      </c>
      <c r="ADL36">
        <v>0</v>
      </c>
      <c r="ADM36">
        <v>0</v>
      </c>
      <c r="ADN36">
        <v>0</v>
      </c>
      <c r="ADO36">
        <v>0</v>
      </c>
      <c r="ADP36">
        <v>0</v>
      </c>
      <c r="ADQ36">
        <v>0</v>
      </c>
      <c r="ADR36">
        <v>0</v>
      </c>
      <c r="ADS36">
        <v>0</v>
      </c>
      <c r="ADT36">
        <v>0</v>
      </c>
      <c r="ADU36">
        <v>0</v>
      </c>
      <c r="ADV36">
        <v>0</v>
      </c>
      <c r="ADW36">
        <v>0</v>
      </c>
      <c r="ADX36">
        <v>0</v>
      </c>
      <c r="ADY36">
        <v>0</v>
      </c>
      <c r="ADZ36">
        <v>0</v>
      </c>
      <c r="AEA36">
        <v>0</v>
      </c>
      <c r="AEB36">
        <v>0</v>
      </c>
      <c r="AEC36">
        <v>0</v>
      </c>
      <c r="AED36">
        <v>0</v>
      </c>
      <c r="AEE36">
        <v>0</v>
      </c>
      <c r="AEF36">
        <v>0</v>
      </c>
      <c r="AEG36">
        <v>0</v>
      </c>
      <c r="AEH36">
        <v>0</v>
      </c>
      <c r="AEI36">
        <v>0</v>
      </c>
      <c r="AEJ36">
        <v>0</v>
      </c>
      <c r="AEK36">
        <v>0</v>
      </c>
      <c r="AEL36">
        <v>0</v>
      </c>
      <c r="AEM36">
        <v>0</v>
      </c>
      <c r="AEN36">
        <v>0</v>
      </c>
      <c r="AEO36">
        <v>0</v>
      </c>
      <c r="AEP36">
        <v>0</v>
      </c>
      <c r="AEQ36">
        <v>0</v>
      </c>
      <c r="AER36">
        <v>0</v>
      </c>
      <c r="AES36">
        <v>0</v>
      </c>
      <c r="AET36">
        <v>0</v>
      </c>
      <c r="AEU36">
        <v>0</v>
      </c>
      <c r="AEV36">
        <v>0</v>
      </c>
      <c r="AEW36">
        <v>0</v>
      </c>
      <c r="AEX36">
        <v>0</v>
      </c>
      <c r="AEY36">
        <v>0</v>
      </c>
      <c r="AEZ36">
        <v>0</v>
      </c>
      <c r="AFA36">
        <v>0</v>
      </c>
      <c r="AFB36">
        <v>0</v>
      </c>
      <c r="AFC36">
        <v>0</v>
      </c>
      <c r="AFD36">
        <v>0</v>
      </c>
      <c r="AFE36">
        <v>0</v>
      </c>
      <c r="AFF36">
        <v>0</v>
      </c>
      <c r="AFG36">
        <v>0</v>
      </c>
      <c r="AFH36">
        <v>0</v>
      </c>
      <c r="AFI36">
        <v>0</v>
      </c>
      <c r="AFJ36">
        <v>0</v>
      </c>
      <c r="AFK36">
        <v>0</v>
      </c>
      <c r="AFL36">
        <v>0</v>
      </c>
      <c r="AFM36">
        <v>0</v>
      </c>
      <c r="AFN36">
        <v>0</v>
      </c>
      <c r="AFO36">
        <v>0</v>
      </c>
      <c r="AFP36">
        <v>0</v>
      </c>
      <c r="AFQ36">
        <v>0</v>
      </c>
      <c r="AFR36">
        <v>0</v>
      </c>
      <c r="AFS36">
        <v>0</v>
      </c>
      <c r="AFT36">
        <v>0</v>
      </c>
      <c r="AFU36">
        <v>0</v>
      </c>
      <c r="AFV36">
        <v>0</v>
      </c>
      <c r="AFW36">
        <v>0</v>
      </c>
      <c r="AFX36">
        <v>0</v>
      </c>
      <c r="AFY36">
        <v>0</v>
      </c>
      <c r="AFZ36">
        <v>0</v>
      </c>
      <c r="AGA36">
        <v>0</v>
      </c>
      <c r="AGB36">
        <v>0</v>
      </c>
      <c r="AGC36">
        <v>0</v>
      </c>
      <c r="AGD36">
        <v>0</v>
      </c>
      <c r="AGE36">
        <v>0</v>
      </c>
      <c r="AGF36">
        <v>0</v>
      </c>
      <c r="AGG36">
        <v>0</v>
      </c>
      <c r="AGH36">
        <v>0</v>
      </c>
      <c r="AGI36">
        <v>0</v>
      </c>
      <c r="AGJ36">
        <v>0</v>
      </c>
      <c r="AGK36">
        <v>0</v>
      </c>
      <c r="AGL36">
        <v>0</v>
      </c>
      <c r="AGM36">
        <v>0</v>
      </c>
      <c r="AGN36">
        <v>0</v>
      </c>
      <c r="AGO36">
        <v>0</v>
      </c>
      <c r="AGP36">
        <v>0</v>
      </c>
      <c r="AGQ36">
        <v>0</v>
      </c>
      <c r="AGR36">
        <v>0</v>
      </c>
      <c r="AGS36">
        <v>0</v>
      </c>
      <c r="AGT36">
        <v>0</v>
      </c>
      <c r="AGU36">
        <v>0</v>
      </c>
      <c r="AGV36">
        <v>0</v>
      </c>
      <c r="AGW36">
        <v>0</v>
      </c>
      <c r="AGX36">
        <v>0</v>
      </c>
      <c r="AGY36">
        <v>0</v>
      </c>
      <c r="AGZ36">
        <v>0</v>
      </c>
      <c r="AHA36">
        <v>0</v>
      </c>
      <c r="AHB36">
        <v>0</v>
      </c>
      <c r="AHC36">
        <v>0</v>
      </c>
      <c r="AHD36">
        <v>0</v>
      </c>
      <c r="AHE36">
        <v>0</v>
      </c>
      <c r="AHF36">
        <v>0</v>
      </c>
      <c r="AHG36">
        <v>0</v>
      </c>
      <c r="AHH36">
        <v>0</v>
      </c>
      <c r="AHI36">
        <v>0</v>
      </c>
      <c r="AHJ36">
        <v>0</v>
      </c>
      <c r="AHK36">
        <v>0</v>
      </c>
      <c r="AHL36">
        <v>0</v>
      </c>
      <c r="AHM36">
        <v>0</v>
      </c>
      <c r="AHN36">
        <v>0</v>
      </c>
      <c r="AHO36">
        <v>0</v>
      </c>
      <c r="AHP36">
        <v>0</v>
      </c>
      <c r="AHQ36">
        <v>0</v>
      </c>
      <c r="AHR36">
        <v>0</v>
      </c>
      <c r="AHS36">
        <v>0</v>
      </c>
      <c r="AHT36">
        <v>0</v>
      </c>
      <c r="AHU36">
        <v>0</v>
      </c>
      <c r="AHV36">
        <v>0</v>
      </c>
      <c r="AHW36">
        <v>0</v>
      </c>
      <c r="AHX36">
        <v>0</v>
      </c>
      <c r="AHY36">
        <v>0</v>
      </c>
      <c r="AHZ36">
        <v>0</v>
      </c>
      <c r="AIA36">
        <v>0</v>
      </c>
      <c r="AIB36">
        <v>0</v>
      </c>
      <c r="AIC36">
        <v>0</v>
      </c>
      <c r="AID36">
        <v>0</v>
      </c>
      <c r="AIE36">
        <v>0</v>
      </c>
      <c r="AIF36">
        <v>0</v>
      </c>
      <c r="AIG36">
        <v>0</v>
      </c>
      <c r="AIH36">
        <v>0</v>
      </c>
      <c r="AII36">
        <v>0</v>
      </c>
      <c r="AIJ36">
        <v>0</v>
      </c>
      <c r="AIK36">
        <v>0</v>
      </c>
      <c r="AIL36">
        <v>0</v>
      </c>
      <c r="AIM36">
        <v>0</v>
      </c>
      <c r="AIN36">
        <v>0</v>
      </c>
      <c r="AIO36">
        <v>0</v>
      </c>
      <c r="AIP36">
        <v>0</v>
      </c>
      <c r="AIQ36">
        <v>0</v>
      </c>
      <c r="AIR36">
        <v>0</v>
      </c>
      <c r="AIS36">
        <v>0</v>
      </c>
      <c r="AIT36">
        <v>0</v>
      </c>
      <c r="AIU36">
        <v>0</v>
      </c>
      <c r="AIV36">
        <v>0</v>
      </c>
      <c r="AIW36">
        <v>0</v>
      </c>
      <c r="AIX36">
        <v>0</v>
      </c>
      <c r="AIY36">
        <v>0</v>
      </c>
      <c r="AIZ36">
        <v>0</v>
      </c>
      <c r="AJA36">
        <v>0</v>
      </c>
      <c r="AJB36">
        <v>0</v>
      </c>
      <c r="AJC36">
        <v>0</v>
      </c>
      <c r="AJD36">
        <v>0</v>
      </c>
      <c r="AJE36">
        <v>0</v>
      </c>
      <c r="AJF36">
        <v>0</v>
      </c>
      <c r="AJG36">
        <v>0</v>
      </c>
      <c r="AJH36">
        <v>0</v>
      </c>
      <c r="AJI36">
        <v>0</v>
      </c>
      <c r="AJJ36">
        <v>0</v>
      </c>
      <c r="AJK36">
        <v>0</v>
      </c>
      <c r="AJL36">
        <v>0</v>
      </c>
      <c r="AJM36">
        <v>0</v>
      </c>
      <c r="AJN36">
        <v>0</v>
      </c>
      <c r="AJO36">
        <v>0</v>
      </c>
      <c r="AJP36">
        <v>0</v>
      </c>
      <c r="AJQ36">
        <v>0</v>
      </c>
      <c r="AJR36">
        <v>0</v>
      </c>
      <c r="AJS36">
        <v>0</v>
      </c>
      <c r="AJT36">
        <v>0</v>
      </c>
      <c r="AJU36">
        <v>0</v>
      </c>
      <c r="AJV36">
        <v>0</v>
      </c>
      <c r="AJW36">
        <v>0</v>
      </c>
      <c r="AJX36">
        <v>0</v>
      </c>
      <c r="AJY36">
        <v>0</v>
      </c>
      <c r="AJZ36">
        <v>0</v>
      </c>
      <c r="AKA36">
        <v>0</v>
      </c>
      <c r="AKB36">
        <v>0</v>
      </c>
      <c r="AKC36">
        <v>0</v>
      </c>
      <c r="AKD36">
        <v>0</v>
      </c>
      <c r="AKE36">
        <v>0</v>
      </c>
      <c r="AKF36">
        <v>0</v>
      </c>
      <c r="AKG36">
        <v>0</v>
      </c>
      <c r="AKH36">
        <v>0</v>
      </c>
      <c r="AKI36">
        <v>0</v>
      </c>
      <c r="AKJ36">
        <v>0</v>
      </c>
      <c r="AKK36">
        <v>0</v>
      </c>
      <c r="AKL36">
        <v>0</v>
      </c>
      <c r="AKM36">
        <v>0</v>
      </c>
      <c r="AKN36">
        <v>0</v>
      </c>
      <c r="AKO36">
        <v>0</v>
      </c>
      <c r="AKP36">
        <v>0</v>
      </c>
      <c r="AKQ36">
        <v>0</v>
      </c>
      <c r="AKR36">
        <v>0</v>
      </c>
      <c r="AKS36">
        <v>0</v>
      </c>
      <c r="AKT36">
        <v>0</v>
      </c>
      <c r="AKU36">
        <v>0</v>
      </c>
      <c r="AKV36">
        <v>0</v>
      </c>
      <c r="AKW36">
        <v>0</v>
      </c>
      <c r="AKX36">
        <v>0</v>
      </c>
      <c r="AKY36">
        <v>0</v>
      </c>
      <c r="AKZ36">
        <v>0</v>
      </c>
      <c r="ALA36">
        <v>0</v>
      </c>
      <c r="ALB36">
        <v>0</v>
      </c>
      <c r="ALC36">
        <v>0</v>
      </c>
      <c r="ALD36">
        <v>0</v>
      </c>
      <c r="ALE36">
        <v>0</v>
      </c>
      <c r="ALF36">
        <v>0</v>
      </c>
      <c r="ALG36">
        <v>0</v>
      </c>
      <c r="ALH36">
        <v>0</v>
      </c>
      <c r="ALI36">
        <v>0</v>
      </c>
      <c r="ALJ36">
        <v>0</v>
      </c>
      <c r="ALK36">
        <v>0</v>
      </c>
      <c r="ALL36">
        <v>0</v>
      </c>
      <c r="ALM36">
        <v>0</v>
      </c>
      <c r="ALN36">
        <v>0</v>
      </c>
      <c r="ALO36">
        <v>0</v>
      </c>
      <c r="ALP36">
        <v>0</v>
      </c>
      <c r="ALQ36">
        <v>0</v>
      </c>
    </row>
    <row r="37" spans="1:1005" ht="42">
      <c r="A37" s="365" t="s">
        <v>1145</v>
      </c>
      <c r="B37" s="366" t="s">
        <v>47</v>
      </c>
      <c r="C37" s="367" t="s">
        <v>84</v>
      </c>
      <c r="D37" s="366" t="s">
        <v>299</v>
      </c>
      <c r="E37" s="378" t="s">
        <v>1149</v>
      </c>
      <c r="F37" t="str">
        <f t="array" ref="F37:ALQ37" ca="1">TRANSPOSE(Filtered!AH2:AH1005)</f>
        <v>Unsure (prerints allowed, but unclear which version</v>
      </c>
      <c r="G37" t="str">
        <f ca="1"/>
        <v>First submission only (before peer review)</v>
      </c>
      <c r="H37" t="str">
        <f ca="1"/>
        <v>None (preprints not allowed)</v>
      </c>
      <c r="I37" t="str">
        <f ca="1"/>
        <v xml:space="preserve"> First submission only (before peer review)</v>
      </c>
      <c r="J37" t="str">
        <f ca="1"/>
        <v>None</v>
      </c>
      <c r="K37" t="str">
        <f ca="1"/>
        <v>First submission only (before peer review)</v>
      </c>
      <c r="L37" t="str">
        <f ca="1"/>
        <v>None (preprints not allowed)</v>
      </c>
      <c r="M37" t="str">
        <f ca="1"/>
        <v>None (preprints not allowed)</v>
      </c>
      <c r="N37" t="str">
        <f ca="1"/>
        <v>None (preprints not allowed(</v>
      </c>
      <c r="O37" t="str">
        <f ca="1"/>
        <v>Unsure (preprints are allowed, but it's not clear what version)</v>
      </c>
      <c r="P37" t="str">
        <f ca="1"/>
        <v>After peer review (but not final, copyedited version)</v>
      </c>
      <c r="Q37" t="str">
        <f ca="1"/>
        <v>No preprint policy</v>
      </c>
      <c r="R37" t="str">
        <f ca="1"/>
        <v>Unsure</v>
      </c>
      <c r="S37" t="str">
        <f ca="1"/>
        <v>First submission only (before peer review)</v>
      </c>
      <c r="T37" t="str">
        <f ca="1"/>
        <v>First submission only (before peer review)</v>
      </c>
      <c r="U37" t="str">
        <f ca="1"/>
        <v>No preprint policy</v>
      </c>
      <c r="V37" t="str">
        <f ca="1"/>
        <v>First submission only (before peer review)</v>
      </c>
      <c r="W37" t="str">
        <f ca="1"/>
        <v>After peer review (but not final, copyedited version)</v>
      </c>
      <c r="X37" t="str">
        <f ca="1"/>
        <v>Any</v>
      </c>
      <c r="Y37" t="str">
        <f ca="1"/>
        <v>Any</v>
      </c>
      <c r="Z37" t="str">
        <f ca="1"/>
        <v>Unsure (preprint can be posted)</v>
      </c>
      <c r="AA37" t="str">
        <f ca="1"/>
        <v>No preprint policy</v>
      </c>
      <c r="AB37" t="str">
        <f ca="1"/>
        <v>Unsure</v>
      </c>
      <c r="AC37" t="str">
        <f ca="1"/>
        <v>Any (arXiv &amp; RePEc)</v>
      </c>
      <c r="AD37" t="str">
        <f ca="1"/>
        <v>First submission only (before peer review)</v>
      </c>
      <c r="AE37" t="str">
        <f ca="1"/>
        <v>Any</v>
      </c>
      <c r="AF37" t="str">
        <f ca="1"/>
        <v>First submission only (before peer review)</v>
      </c>
      <c r="AG37" t="str">
        <f ca="1"/>
        <v>First submission only (before peer review)</v>
      </c>
      <c r="AH37" t="str">
        <f ca="1"/>
        <v>First submission only (before peer review)</v>
      </c>
      <c r="AI37" t="str">
        <f ca="1"/>
        <v>First submission only (before peer review)</v>
      </c>
      <c r="AJ37" t="str">
        <f ca="1"/>
        <v>First submission only (before peer review)</v>
      </c>
      <c r="AK37" t="str">
        <f ca="1"/>
        <v>Unsure (preprints are allowed, but it's not clear what version)</v>
      </c>
      <c r="AL37" t="str">
        <f ca="1"/>
        <v>Other</v>
      </c>
      <c r="AM37" t="str">
        <f ca="1"/>
        <v>First submission only (before peer review)</v>
      </c>
      <c r="AN37" t="str">
        <f ca="1"/>
        <v>First submission only (before peer review)</v>
      </c>
      <c r="AO37" t="str">
        <f ca="1"/>
        <v>First submission only (before peer review)</v>
      </c>
      <c r="AP37" t="str">
        <f ca="1"/>
        <v>First submission only (before peer review)</v>
      </c>
      <c r="AQ37" t="str">
        <f ca="1"/>
        <v>First submission only (before peer review)</v>
      </c>
      <c r="AR37" t="str">
        <f ca="1"/>
        <v>Any</v>
      </c>
      <c r="AS37" t="str">
        <f ca="1"/>
        <v>Unsure (preprints are allowed, but it's not clear what version)</v>
      </c>
      <c r="AT37" t="str">
        <f ca="1"/>
        <v>No preprint policy</v>
      </c>
      <c r="AU37" t="str">
        <f ca="1"/>
        <v>Other (references prior publication, but not preprints specifically; "in any case this will be decided on a case-by-case basis")</v>
      </c>
      <c r="AV37" t="str">
        <f ca="1"/>
        <v>First submission only (before peer review)</v>
      </c>
      <c r="AW37" t="str">
        <f ca="1"/>
        <v>Unsure (preprints are allowed, but it's not clear what version)</v>
      </c>
      <c r="AX37" t="str">
        <f ca="1"/>
        <v>First submission only (before peer review)</v>
      </c>
      <c r="AY37" t="str">
        <f ca="1"/>
        <v>No preprint policy</v>
      </c>
      <c r="AZ37" t="str">
        <f ca="1"/>
        <v>No preprint policy</v>
      </c>
      <c r="BA37" t="str">
        <f ca="1"/>
        <v>After peer review (but not final, copyedited version)</v>
      </c>
      <c r="BB37" t="str">
        <f ca="1"/>
        <v>After peer review (but not final, copyedited version)</v>
      </c>
      <c r="BC37" t="str">
        <f ca="1"/>
        <v>Unsure (preprints are allowed, but it's not clear what version) - accepted version can be posted to arXiv &amp; RePEc</v>
      </c>
      <c r="BD37" t="str">
        <f ca="1"/>
        <v>Unsure (preprints are allowed, but it's not clear what version) - accepted version can be posted to arXiv &amp; RePEc</v>
      </c>
      <c r="BE37" t="str">
        <f ca="1"/>
        <v>After peer review (but not final version): "BMJ does not recommend that Author Accepted Manuscripts are placed on preprint servers."</v>
      </c>
      <c r="BF37" t="str">
        <f ca="1"/>
        <v>Unsure (preprints are allowed, but not sure what version)</v>
      </c>
      <c r="BG37" t="str">
        <f ca="1"/>
        <v>First submission only (before peer review)</v>
      </c>
      <c r="BH37" t="str">
        <f ca="1"/>
        <v>First submission only (before peer review)</v>
      </c>
      <c r="BI37" t="str">
        <f ca="1"/>
        <v>First submission only (before peer review)</v>
      </c>
      <c r="BJ37" t="str">
        <f ca="1"/>
        <v>Unsure (preprints are allowed, but it's not clear what version)</v>
      </c>
      <c r="BK37" t="str">
        <f ca="1"/>
        <v>Any</v>
      </c>
      <c r="BL37" t="str">
        <f ca="1"/>
        <v>First submission only (before peer review)</v>
      </c>
      <c r="BM37" t="str">
        <f ca="1"/>
        <v>Any except for the final published article (IEEE must be listed as copyright holder for classroom use/use in own dissertation)</v>
      </c>
      <c r="BN37" t="str">
        <f ca="1"/>
        <v>First submission only (before peer review)</v>
      </c>
      <c r="BO37" t="str">
        <f ca="1"/>
        <v>First submission only (before peer review)</v>
      </c>
      <c r="BP37" t="str">
        <f ca="1"/>
        <v>First submission only (before peer review)</v>
      </c>
      <c r="BQ37" t="str">
        <f ca="1"/>
        <v>First submission only (before peer review)</v>
      </c>
      <c r="BR37" t="str">
        <f ca="1"/>
        <v>No preprint policy</v>
      </c>
      <c r="BS37" t="str">
        <f ca="1"/>
        <v>Unsure (preprints are allowed, but it's not clear what version)</v>
      </c>
      <c r="BT37" t="str">
        <f ca="1"/>
        <v>None (preprints not allowed)</v>
      </c>
      <c r="BU37" t="str">
        <f ca="1"/>
        <v>Unsure</v>
      </c>
      <c r="BV37" t="str">
        <f ca="1"/>
        <v>No preprint policy</v>
      </c>
      <c r="BW37" t="str">
        <f ca="1"/>
        <v>No preprint policy</v>
      </c>
      <c r="BX37" t="str">
        <f ca="1"/>
        <v>Unsure</v>
      </c>
      <c r="BY37" t="str">
        <f ca="1"/>
        <v>Authors can share their preprint anywhere at any time.</v>
      </c>
      <c r="BZ37" t="str">
        <f ca="1"/>
        <v>First submission only (before peer review)</v>
      </c>
      <c r="CA37" t="str">
        <f ca="1"/>
        <v>First submission only (before peer review)</v>
      </c>
      <c r="CB37" t="str">
        <f ca="1"/>
        <v>Any</v>
      </c>
      <c r="CC37" t="str">
        <f ca="1"/>
        <v>No preprint policy</v>
      </c>
      <c r="CD37" t="str">
        <f ca="1"/>
        <v>Unsure</v>
      </c>
      <c r="CE37" t="str">
        <f ca="1"/>
        <v>After peer review (but not final, copyedited version)</v>
      </c>
      <c r="CF37" t="str">
        <f ca="1"/>
        <v>After peer review (but not final, copyedited version)</v>
      </c>
      <c r="CG37" t="str">
        <f ca="1"/>
        <v>After peer review (but not final, copyedited version)</v>
      </c>
      <c r="CH37" t="str">
        <f ca="1"/>
        <v>Any</v>
      </c>
      <c r="CI37" t="str">
        <f ca="1"/>
        <v>First submission only (before peer review)</v>
      </c>
      <c r="CJ37" t="str">
        <f ca="1"/>
        <v>First submission only (before peer review)</v>
      </c>
      <c r="CK37" t="str">
        <f ca="1"/>
        <v>After peer review (but not final, copyedited version)</v>
      </c>
      <c r="CL37" t="str">
        <f ca="1"/>
        <v>After peer review (but not final, copyedited version)</v>
      </c>
      <c r="CM37" t="str">
        <f ca="1"/>
        <v>None (preprints are not allowed)</v>
      </c>
      <c r="CN37" t="str">
        <f ca="1"/>
        <v>No preprint policy</v>
      </c>
      <c r="CO37" t="str">
        <f ca="1"/>
        <v>First submission only (before peer review)</v>
      </c>
      <c r="CP37" t="str">
        <f ca="1"/>
        <v>No preprint policy</v>
      </c>
      <c r="CQ37" t="str">
        <f ca="1"/>
        <v>No preprint policy</v>
      </c>
      <c r="CR37" t="str">
        <f ca="1"/>
        <v>After peer review (but not final, copyedited version)</v>
      </c>
      <c r="CS37" t="str">
        <f ca="1"/>
        <v>No preprint policy</v>
      </c>
      <c r="CT37" t="str">
        <f ca="1"/>
        <v>After peer review (but not final, copyedited version)</v>
      </c>
      <c r="CU37" t="str">
        <f ca="1"/>
        <v>No preprint policy</v>
      </c>
      <c r="CV37" t="str">
        <f ca="1"/>
        <v>No preprint policy</v>
      </c>
      <c r="CW37" t="str">
        <f ca="1"/>
        <v>First submission only (before peer review) [unless you wait 12 months for the embargo to clear for the accepted version]</v>
      </c>
      <c r="CX37" t="str">
        <f ca="1"/>
        <v>First submission only (before peer review)</v>
      </c>
      <c r="CY37" t="str">
        <f ca="1"/>
        <v>Any</v>
      </c>
      <c r="CZ37" t="str">
        <f ca="1"/>
        <v>First submission only (before peer review)</v>
      </c>
      <c r="DA37" t="str">
        <f ca="1"/>
        <v>First submission only (before peer review)</v>
      </c>
      <c r="DB37" t="str">
        <f ca="1"/>
        <v>First submission only (before peer review)</v>
      </c>
      <c r="DC37" t="str">
        <f ca="1"/>
        <v>First submission only (before peer review)</v>
      </c>
      <c r="DD37" t="str">
        <f ca="1"/>
        <v>First submission only (before peer review)</v>
      </c>
      <c r="DE37" t="str">
        <f ca="1"/>
        <v>First submission only (before peer review)</v>
      </c>
      <c r="DF37" t="str">
        <f ca="1"/>
        <v>First submission only (before peer review)</v>
      </c>
      <c r="DG37" t="str">
        <f ca="1"/>
        <v>First submission only (before peer review)</v>
      </c>
      <c r="DH37" t="str">
        <f ca="1"/>
        <v>First submission only (before peer review)</v>
      </c>
      <c r="DI37" t="str">
        <f ca="1"/>
        <v>First submission only (before peer review)</v>
      </c>
      <c r="DJ37" t="str">
        <f ca="1"/>
        <v>First submission only (before peer review)</v>
      </c>
      <c r="DK37" t="str">
        <f ca="1"/>
        <v>First submission only (before peer review)</v>
      </c>
      <c r="DL37" t="str">
        <f ca="1"/>
        <v>First submission only (before peer review)</v>
      </c>
      <c r="DM37" t="str">
        <f ca="1"/>
        <v>First submission only (before peer review)</v>
      </c>
      <c r="DN37" t="str">
        <f ca="1"/>
        <v>First submission only (before peer review)</v>
      </c>
      <c r="DO37" t="str">
        <f ca="1"/>
        <v>First submission only (before peer review)</v>
      </c>
      <c r="DP37" t="str">
        <f ca="1"/>
        <v>First submission only (before peer review)</v>
      </c>
      <c r="DQ37" t="str">
        <f ca="1"/>
        <v>No preprint policy</v>
      </c>
      <c r="DR37" t="str">
        <f ca="1"/>
        <v>No preprint policy</v>
      </c>
      <c r="DS37" t="str">
        <f ca="1"/>
        <v>No preprint policy</v>
      </c>
      <c r="DT37" t="str">
        <f ca="1"/>
        <v>No preprint policy</v>
      </c>
      <c r="DU37" t="str">
        <f ca="1"/>
        <v>No preprint policy</v>
      </c>
      <c r="DV37" t="str">
        <f ca="1"/>
        <v>No preprint policy</v>
      </c>
      <c r="DW37" t="str">
        <f ca="1"/>
        <v>Unclear</v>
      </c>
      <c r="DX37" t="str">
        <f ca="1"/>
        <v>Unsure</v>
      </c>
      <c r="DY37" t="str">
        <f ca="1"/>
        <v>First submission only (before peer review)</v>
      </c>
      <c r="DZ37" t="str">
        <f ca="1"/>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EA37" t="str">
        <f ca="1"/>
        <v>First submission only (before peer review)</v>
      </c>
      <c r="EB37" t="str">
        <f ca="1"/>
        <v>First submission only (before peer review)</v>
      </c>
      <c r="EC37" t="str">
        <f ca="1"/>
        <v>No preprint policy</v>
      </c>
      <c r="ED37" t="str">
        <f ca="1"/>
        <v>No preprint policy</v>
      </c>
      <c r="EE37" t="str">
        <f ca="1"/>
        <v>No preprint policy</v>
      </c>
      <c r="EF37" t="str">
        <f ca="1"/>
        <v>No preprint policy</v>
      </c>
      <c r="EG37" t="str">
        <f ca="1"/>
        <v>No preprint policy</v>
      </c>
      <c r="EH37" t="str">
        <f ca="1"/>
        <v>No preprint policy</v>
      </c>
      <c r="EI37" t="str">
        <f ca="1"/>
        <v>No preprint policy</v>
      </c>
      <c r="EJ37" t="str">
        <f ca="1"/>
        <v>No preprint policy</v>
      </c>
      <c r="EK37" t="str">
        <f ca="1"/>
        <v>First submission only (before peer review)</v>
      </c>
      <c r="EL37" t="str">
        <f ca="1"/>
        <v>First submission only (before peer review)</v>
      </c>
      <c r="EM37" t="str">
        <f ca="1"/>
        <v>Unsure (preprints are allowed, but it's not clear what version</v>
      </c>
      <c r="EN37" t="str">
        <f ca="1"/>
        <v>Unsure (preprints are allowed, but it's not clear what version)</v>
      </c>
      <c r="EO37" t="str">
        <f ca="1"/>
        <v>First submission only (before peer review)</v>
      </c>
      <c r="EP37" t="str">
        <f ca="1"/>
        <v>No preprint policy</v>
      </c>
      <c r="EQ37" t="str">
        <f ca="1"/>
        <v>Unsure (preprints are allowed, but it's not clear what version)</v>
      </c>
      <c r="ER37" t="str">
        <f ca="1"/>
        <v>First submission only (before peer review)</v>
      </c>
      <c r="ES37" t="str">
        <f ca="1"/>
        <v>After peer review (but not final, copyedited version)</v>
      </c>
      <c r="ET37" t="str">
        <f ca="1"/>
        <v>Any</v>
      </c>
      <c r="EU37" t="str">
        <f ca="1"/>
        <v>First submission only (before peer review)</v>
      </c>
      <c r="EV37" t="str">
        <f ca="1"/>
        <v>First submission only (before peer review)</v>
      </c>
      <c r="EW37" t="str">
        <f ca="1"/>
        <v>Any</v>
      </c>
      <c r="EX37" t="str">
        <f ca="1"/>
        <v>First submission only</v>
      </c>
      <c r="EY37" t="str">
        <f ca="1"/>
        <v>No preprint policy</v>
      </c>
      <c r="EZ37" t="str">
        <f ca="1"/>
        <v>No preprint policy</v>
      </c>
      <c r="FA37" t="str">
        <f ca="1"/>
        <v>No preprint policy</v>
      </c>
      <c r="FB37" t="str">
        <f ca="1"/>
        <v>First submission only</v>
      </c>
      <c r="FC37" t="str">
        <f ca="1"/>
        <v>No preprint policy</v>
      </c>
      <c r="FD37" t="str">
        <f ca="1"/>
        <v>No preprint policy</v>
      </c>
      <c r="FE37" t="str">
        <f ca="1"/>
        <v>No preprint policy</v>
      </c>
      <c r="FF37" t="str">
        <f ca="1"/>
        <v>No preprint policy</v>
      </c>
      <c r="FG37" t="str">
        <f ca="1"/>
        <v>Any (OA) or After peer review (non-OA)</v>
      </c>
      <c r="FH37" t="str">
        <f ca="1"/>
        <v>Unsure</v>
      </c>
      <c r="FI37" t="str">
        <f ca="1"/>
        <v>None "All submitted manuscripts must be; (i) original, (ii) unpublished (including any
 online publication), "</v>
      </c>
      <c r="FJ37" t="str">
        <f ca="1"/>
        <v>First submission only</v>
      </c>
      <c r="FK37" t="str">
        <f ca="1"/>
        <v>Unsure</v>
      </c>
      <c r="FL37" t="str">
        <f ca="1"/>
        <v>Unsure</v>
      </c>
      <c r="FM37" t="str">
        <f ca="1"/>
        <v>First submission only</v>
      </c>
      <c r="FN37" t="str">
        <f ca="1"/>
        <v>No preprint policy</v>
      </c>
      <c r="FO37" t="str">
        <f ca="1"/>
        <v>None (preprints not allowed)</v>
      </c>
      <c r="FP37" t="str">
        <f ca="1"/>
        <v>First submission only (before peer review)</v>
      </c>
      <c r="FQ37" t="str">
        <f ca="1"/>
        <v>First submission only (before peer review)</v>
      </c>
      <c r="FR37" t="str">
        <f ca="1"/>
        <v>After peer review (but not final, copyedited version)</v>
      </c>
      <c r="FS37" t="str">
        <f ca="1"/>
        <v>First submission only (before peer review)</v>
      </c>
      <c r="FT37" t="str">
        <f ca="1"/>
        <v>Unsure (preprints are allowed, but it's not clear what version)</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v>
      </c>
      <c r="LI37">
        <v>0</v>
      </c>
      <c r="LJ37">
        <v>0</v>
      </c>
      <c r="LK37">
        <v>0</v>
      </c>
      <c r="LL37">
        <v>0</v>
      </c>
      <c r="LM37">
        <v>0</v>
      </c>
      <c r="LN37">
        <v>0</v>
      </c>
      <c r="LO37">
        <v>0</v>
      </c>
      <c r="LP37">
        <v>0</v>
      </c>
      <c r="LQ37">
        <v>0</v>
      </c>
      <c r="LR37">
        <v>0</v>
      </c>
      <c r="LS37">
        <v>0</v>
      </c>
      <c r="LT37">
        <v>0</v>
      </c>
      <c r="LU37">
        <v>0</v>
      </c>
      <c r="LV37">
        <v>0</v>
      </c>
      <c r="LW37">
        <v>0</v>
      </c>
      <c r="LX37">
        <v>0</v>
      </c>
      <c r="LY37">
        <v>0</v>
      </c>
      <c r="LZ37">
        <v>0</v>
      </c>
      <c r="MA37">
        <v>0</v>
      </c>
      <c r="MB37">
        <v>0</v>
      </c>
      <c r="MC37">
        <v>0</v>
      </c>
      <c r="MD37">
        <v>0</v>
      </c>
      <c r="ME37">
        <v>0</v>
      </c>
      <c r="MF37">
        <v>0</v>
      </c>
      <c r="MG37">
        <v>0</v>
      </c>
      <c r="MH37">
        <v>0</v>
      </c>
      <c r="MI37">
        <v>0</v>
      </c>
      <c r="MJ37">
        <v>0</v>
      </c>
      <c r="MK37">
        <v>0</v>
      </c>
      <c r="ML37">
        <v>0</v>
      </c>
      <c r="MM37">
        <v>0</v>
      </c>
      <c r="MN37">
        <v>0</v>
      </c>
      <c r="MO37">
        <v>0</v>
      </c>
      <c r="MP37">
        <v>0</v>
      </c>
      <c r="MQ37">
        <v>0</v>
      </c>
      <c r="MR37">
        <v>0</v>
      </c>
      <c r="MS37">
        <v>0</v>
      </c>
      <c r="MT37">
        <v>0</v>
      </c>
      <c r="MU37">
        <v>0</v>
      </c>
      <c r="MV37">
        <v>0</v>
      </c>
      <c r="MW37">
        <v>0</v>
      </c>
      <c r="MX37">
        <v>0</v>
      </c>
      <c r="MY37">
        <v>0</v>
      </c>
      <c r="MZ37">
        <v>0</v>
      </c>
      <c r="NA37">
        <v>0</v>
      </c>
      <c r="NB37">
        <v>0</v>
      </c>
      <c r="NC37">
        <v>0</v>
      </c>
      <c r="ND37">
        <v>0</v>
      </c>
      <c r="NE37">
        <v>0</v>
      </c>
      <c r="NF37">
        <v>0</v>
      </c>
      <c r="NG37">
        <v>0</v>
      </c>
      <c r="NH37">
        <v>0</v>
      </c>
      <c r="NI37">
        <v>0</v>
      </c>
      <c r="NJ37">
        <v>0</v>
      </c>
      <c r="NK37">
        <v>0</v>
      </c>
      <c r="NL37">
        <v>0</v>
      </c>
      <c r="NM37">
        <v>0</v>
      </c>
      <c r="NN37">
        <v>0</v>
      </c>
      <c r="NO37">
        <v>0</v>
      </c>
      <c r="NP37">
        <v>0</v>
      </c>
      <c r="NQ37">
        <v>0</v>
      </c>
      <c r="NR37">
        <v>0</v>
      </c>
      <c r="NS37">
        <v>0</v>
      </c>
      <c r="NT37">
        <v>0</v>
      </c>
      <c r="NU37">
        <v>0</v>
      </c>
      <c r="NV37">
        <v>0</v>
      </c>
      <c r="NW37">
        <v>0</v>
      </c>
      <c r="NX37">
        <v>0</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0</v>
      </c>
      <c r="OZ37">
        <v>0</v>
      </c>
      <c r="PA37">
        <v>0</v>
      </c>
      <c r="PB37">
        <v>0</v>
      </c>
      <c r="PC37">
        <v>0</v>
      </c>
      <c r="PD37">
        <v>0</v>
      </c>
      <c r="PE37">
        <v>0</v>
      </c>
      <c r="PF37">
        <v>0</v>
      </c>
      <c r="PG37">
        <v>0</v>
      </c>
      <c r="PH37">
        <v>0</v>
      </c>
      <c r="PI37">
        <v>0</v>
      </c>
      <c r="PJ37">
        <v>0</v>
      </c>
      <c r="PK37">
        <v>0</v>
      </c>
      <c r="PL37">
        <v>0</v>
      </c>
      <c r="PM37">
        <v>0</v>
      </c>
      <c r="PN37">
        <v>0</v>
      </c>
      <c r="PO37">
        <v>0</v>
      </c>
      <c r="PP37">
        <v>0</v>
      </c>
      <c r="PQ37">
        <v>0</v>
      </c>
      <c r="PR37">
        <v>0</v>
      </c>
      <c r="PS37">
        <v>0</v>
      </c>
      <c r="PT37">
        <v>0</v>
      </c>
      <c r="PU37">
        <v>0</v>
      </c>
      <c r="PV37">
        <v>0</v>
      </c>
      <c r="PW37">
        <v>0</v>
      </c>
      <c r="PX37">
        <v>0</v>
      </c>
      <c r="PY37">
        <v>0</v>
      </c>
      <c r="PZ37">
        <v>0</v>
      </c>
      <c r="QA37">
        <v>0</v>
      </c>
      <c r="QB37">
        <v>0</v>
      </c>
      <c r="QC37">
        <v>0</v>
      </c>
      <c r="QD37">
        <v>0</v>
      </c>
      <c r="QE37">
        <v>0</v>
      </c>
      <c r="QF37">
        <v>0</v>
      </c>
      <c r="QG37">
        <v>0</v>
      </c>
      <c r="QH37">
        <v>0</v>
      </c>
      <c r="QI37">
        <v>0</v>
      </c>
      <c r="QJ37">
        <v>0</v>
      </c>
      <c r="QK37">
        <v>0</v>
      </c>
      <c r="QL37">
        <v>0</v>
      </c>
      <c r="QM37">
        <v>0</v>
      </c>
      <c r="QN37">
        <v>0</v>
      </c>
      <c r="QO37">
        <v>0</v>
      </c>
      <c r="QP37">
        <v>0</v>
      </c>
      <c r="QQ37">
        <v>0</v>
      </c>
      <c r="QR37">
        <v>0</v>
      </c>
      <c r="QS37">
        <v>0</v>
      </c>
      <c r="QT37">
        <v>0</v>
      </c>
      <c r="QU37">
        <v>0</v>
      </c>
      <c r="QV37">
        <v>0</v>
      </c>
      <c r="QW37">
        <v>0</v>
      </c>
      <c r="QX37">
        <v>0</v>
      </c>
      <c r="QY37">
        <v>0</v>
      </c>
      <c r="QZ37">
        <v>0</v>
      </c>
      <c r="RA37">
        <v>0</v>
      </c>
      <c r="RB37">
        <v>0</v>
      </c>
      <c r="RC37">
        <v>0</v>
      </c>
      <c r="RD37">
        <v>0</v>
      </c>
      <c r="RE37">
        <v>0</v>
      </c>
      <c r="RF37">
        <v>0</v>
      </c>
      <c r="RG37">
        <v>0</v>
      </c>
      <c r="RH37">
        <v>0</v>
      </c>
      <c r="RI37">
        <v>0</v>
      </c>
      <c r="RJ37">
        <v>0</v>
      </c>
      <c r="RK37">
        <v>0</v>
      </c>
      <c r="RL37">
        <v>0</v>
      </c>
      <c r="RM37">
        <v>0</v>
      </c>
      <c r="RN37">
        <v>0</v>
      </c>
      <c r="RO37">
        <v>0</v>
      </c>
      <c r="RP37">
        <v>0</v>
      </c>
      <c r="RQ37">
        <v>0</v>
      </c>
      <c r="RR37">
        <v>0</v>
      </c>
      <c r="RS37">
        <v>0</v>
      </c>
      <c r="RT37">
        <v>0</v>
      </c>
      <c r="RU37">
        <v>0</v>
      </c>
      <c r="RV37">
        <v>0</v>
      </c>
      <c r="RW37">
        <v>0</v>
      </c>
      <c r="RX37">
        <v>0</v>
      </c>
      <c r="RY37">
        <v>0</v>
      </c>
      <c r="RZ37">
        <v>0</v>
      </c>
      <c r="SA37">
        <v>0</v>
      </c>
      <c r="SB37">
        <v>0</v>
      </c>
      <c r="SC37">
        <v>0</v>
      </c>
      <c r="SD37">
        <v>0</v>
      </c>
      <c r="SE37">
        <v>0</v>
      </c>
      <c r="SF37">
        <v>0</v>
      </c>
      <c r="SG37">
        <v>0</v>
      </c>
      <c r="SH37">
        <v>0</v>
      </c>
      <c r="SI37">
        <v>0</v>
      </c>
      <c r="SJ37">
        <v>0</v>
      </c>
      <c r="SK37">
        <v>0</v>
      </c>
      <c r="SL37">
        <v>0</v>
      </c>
      <c r="SM37">
        <v>0</v>
      </c>
      <c r="SN37">
        <v>0</v>
      </c>
      <c r="SO37">
        <v>0</v>
      </c>
      <c r="SP37">
        <v>0</v>
      </c>
      <c r="SQ37">
        <v>0</v>
      </c>
      <c r="SR37">
        <v>0</v>
      </c>
      <c r="SS37">
        <v>0</v>
      </c>
      <c r="ST37">
        <v>0</v>
      </c>
      <c r="SU37">
        <v>0</v>
      </c>
      <c r="SV37">
        <v>0</v>
      </c>
      <c r="SW37">
        <v>0</v>
      </c>
      <c r="SX37">
        <v>0</v>
      </c>
      <c r="SY37">
        <v>0</v>
      </c>
      <c r="SZ37">
        <v>0</v>
      </c>
      <c r="TA37">
        <v>0</v>
      </c>
      <c r="TB37">
        <v>0</v>
      </c>
      <c r="TC37">
        <v>0</v>
      </c>
      <c r="TD37">
        <v>0</v>
      </c>
      <c r="TE37">
        <v>0</v>
      </c>
      <c r="TF37">
        <v>0</v>
      </c>
      <c r="TG37">
        <v>0</v>
      </c>
      <c r="TH37">
        <v>0</v>
      </c>
      <c r="TI37">
        <v>0</v>
      </c>
      <c r="TJ37">
        <v>0</v>
      </c>
      <c r="TK37">
        <v>0</v>
      </c>
      <c r="TL37">
        <v>0</v>
      </c>
      <c r="TM37">
        <v>0</v>
      </c>
      <c r="TN37">
        <v>0</v>
      </c>
      <c r="TO37">
        <v>0</v>
      </c>
      <c r="TP37">
        <v>0</v>
      </c>
      <c r="TQ37">
        <v>0</v>
      </c>
      <c r="TR37">
        <v>0</v>
      </c>
      <c r="TS37">
        <v>0</v>
      </c>
      <c r="TT37">
        <v>0</v>
      </c>
      <c r="TU37">
        <v>0</v>
      </c>
      <c r="TV37">
        <v>0</v>
      </c>
      <c r="TW37">
        <v>0</v>
      </c>
      <c r="TX37">
        <v>0</v>
      </c>
      <c r="TY37">
        <v>0</v>
      </c>
      <c r="TZ37">
        <v>0</v>
      </c>
      <c r="UA37">
        <v>0</v>
      </c>
      <c r="UB37">
        <v>0</v>
      </c>
      <c r="UC37">
        <v>0</v>
      </c>
      <c r="UD37">
        <v>0</v>
      </c>
      <c r="UE37">
        <v>0</v>
      </c>
      <c r="UF37">
        <v>0</v>
      </c>
      <c r="UG37">
        <v>0</v>
      </c>
      <c r="UH37">
        <v>0</v>
      </c>
      <c r="UI37">
        <v>0</v>
      </c>
      <c r="UJ37">
        <v>0</v>
      </c>
      <c r="UK37">
        <v>0</v>
      </c>
      <c r="UL37">
        <v>0</v>
      </c>
      <c r="UM37">
        <v>0</v>
      </c>
      <c r="UN37">
        <v>0</v>
      </c>
      <c r="UO37">
        <v>0</v>
      </c>
      <c r="UP37">
        <v>0</v>
      </c>
      <c r="UQ37">
        <v>0</v>
      </c>
      <c r="UR37">
        <v>0</v>
      </c>
      <c r="US37">
        <v>0</v>
      </c>
      <c r="UT37">
        <v>0</v>
      </c>
      <c r="UU37">
        <v>0</v>
      </c>
      <c r="UV37">
        <v>0</v>
      </c>
      <c r="UW37">
        <v>0</v>
      </c>
      <c r="UX37">
        <v>0</v>
      </c>
      <c r="UY37">
        <v>0</v>
      </c>
      <c r="UZ37">
        <v>0</v>
      </c>
      <c r="VA37">
        <v>0</v>
      </c>
      <c r="VB37">
        <v>0</v>
      </c>
      <c r="VC37">
        <v>0</v>
      </c>
      <c r="VD37">
        <v>0</v>
      </c>
      <c r="VE37">
        <v>0</v>
      </c>
      <c r="VF37">
        <v>0</v>
      </c>
      <c r="VG37">
        <v>0</v>
      </c>
      <c r="VH37">
        <v>0</v>
      </c>
      <c r="VI37">
        <v>0</v>
      </c>
      <c r="VJ37">
        <v>0</v>
      </c>
      <c r="VK37">
        <v>0</v>
      </c>
      <c r="VL37">
        <v>0</v>
      </c>
      <c r="VM37">
        <v>0</v>
      </c>
      <c r="VN37">
        <v>0</v>
      </c>
      <c r="VO37">
        <v>0</v>
      </c>
      <c r="VP37">
        <v>0</v>
      </c>
      <c r="VQ37">
        <v>0</v>
      </c>
      <c r="VR37">
        <v>0</v>
      </c>
      <c r="VS37">
        <v>0</v>
      </c>
      <c r="VT37">
        <v>0</v>
      </c>
      <c r="VU37">
        <v>0</v>
      </c>
      <c r="VV37">
        <v>0</v>
      </c>
      <c r="VW37">
        <v>0</v>
      </c>
      <c r="VX37">
        <v>0</v>
      </c>
      <c r="VY37">
        <v>0</v>
      </c>
      <c r="VZ37">
        <v>0</v>
      </c>
      <c r="WA37">
        <v>0</v>
      </c>
      <c r="WB37">
        <v>0</v>
      </c>
      <c r="WC37">
        <v>0</v>
      </c>
      <c r="WD37">
        <v>0</v>
      </c>
      <c r="WE37">
        <v>0</v>
      </c>
      <c r="WF37">
        <v>0</v>
      </c>
      <c r="WG37">
        <v>0</v>
      </c>
      <c r="WH37">
        <v>0</v>
      </c>
      <c r="WI37">
        <v>0</v>
      </c>
      <c r="WJ37">
        <v>0</v>
      </c>
      <c r="WK37">
        <v>0</v>
      </c>
      <c r="WL37">
        <v>0</v>
      </c>
      <c r="WM37">
        <v>0</v>
      </c>
      <c r="WN37">
        <v>0</v>
      </c>
      <c r="WO37">
        <v>0</v>
      </c>
      <c r="WP37">
        <v>0</v>
      </c>
      <c r="WQ37">
        <v>0</v>
      </c>
      <c r="WR37">
        <v>0</v>
      </c>
      <c r="WS37">
        <v>0</v>
      </c>
      <c r="WT37">
        <v>0</v>
      </c>
      <c r="WU37">
        <v>0</v>
      </c>
      <c r="WV37">
        <v>0</v>
      </c>
      <c r="WW37">
        <v>0</v>
      </c>
      <c r="WX37">
        <v>0</v>
      </c>
      <c r="WY37">
        <v>0</v>
      </c>
      <c r="WZ37">
        <v>0</v>
      </c>
      <c r="XA37">
        <v>0</v>
      </c>
      <c r="XB37">
        <v>0</v>
      </c>
      <c r="XC37">
        <v>0</v>
      </c>
      <c r="XD37">
        <v>0</v>
      </c>
      <c r="XE37">
        <v>0</v>
      </c>
      <c r="XF37">
        <v>0</v>
      </c>
      <c r="XG37">
        <v>0</v>
      </c>
      <c r="XH37">
        <v>0</v>
      </c>
      <c r="XI37">
        <v>0</v>
      </c>
      <c r="XJ37">
        <v>0</v>
      </c>
      <c r="XK37">
        <v>0</v>
      </c>
      <c r="XL37">
        <v>0</v>
      </c>
      <c r="XM37">
        <v>0</v>
      </c>
      <c r="XN37">
        <v>0</v>
      </c>
      <c r="XO37">
        <v>0</v>
      </c>
      <c r="XP37">
        <v>0</v>
      </c>
      <c r="XQ37">
        <v>0</v>
      </c>
      <c r="XR37">
        <v>0</v>
      </c>
      <c r="XS37">
        <v>0</v>
      </c>
      <c r="XT37">
        <v>0</v>
      </c>
      <c r="XU37">
        <v>0</v>
      </c>
      <c r="XV37">
        <v>0</v>
      </c>
      <c r="XW37">
        <v>0</v>
      </c>
      <c r="XX37">
        <v>0</v>
      </c>
      <c r="XY37">
        <v>0</v>
      </c>
      <c r="XZ37">
        <v>0</v>
      </c>
      <c r="YA37">
        <v>0</v>
      </c>
      <c r="YB37">
        <v>0</v>
      </c>
      <c r="YC37">
        <v>0</v>
      </c>
      <c r="YD37">
        <v>0</v>
      </c>
      <c r="YE37">
        <v>0</v>
      </c>
      <c r="YF37">
        <v>0</v>
      </c>
      <c r="YG37">
        <v>0</v>
      </c>
      <c r="YH37">
        <v>0</v>
      </c>
      <c r="YI37">
        <v>0</v>
      </c>
      <c r="YJ37">
        <v>0</v>
      </c>
      <c r="YK37">
        <v>0</v>
      </c>
      <c r="YL37">
        <v>0</v>
      </c>
      <c r="YM37">
        <v>0</v>
      </c>
      <c r="YN37">
        <v>0</v>
      </c>
      <c r="YO37">
        <v>0</v>
      </c>
      <c r="YP37">
        <v>0</v>
      </c>
      <c r="YQ37">
        <v>0</v>
      </c>
      <c r="YR37">
        <v>0</v>
      </c>
      <c r="YS37">
        <v>0</v>
      </c>
      <c r="YT37">
        <v>0</v>
      </c>
      <c r="YU37">
        <v>0</v>
      </c>
      <c r="YV37">
        <v>0</v>
      </c>
      <c r="YW37">
        <v>0</v>
      </c>
      <c r="YX37">
        <v>0</v>
      </c>
      <c r="YY37">
        <v>0</v>
      </c>
      <c r="YZ37">
        <v>0</v>
      </c>
      <c r="ZA37">
        <v>0</v>
      </c>
      <c r="ZB37">
        <v>0</v>
      </c>
      <c r="ZC37">
        <v>0</v>
      </c>
      <c r="ZD37">
        <v>0</v>
      </c>
      <c r="ZE37">
        <v>0</v>
      </c>
      <c r="ZF37">
        <v>0</v>
      </c>
      <c r="ZG37">
        <v>0</v>
      </c>
      <c r="ZH37">
        <v>0</v>
      </c>
      <c r="ZI37">
        <v>0</v>
      </c>
      <c r="ZJ37">
        <v>0</v>
      </c>
      <c r="ZK37">
        <v>0</v>
      </c>
      <c r="ZL37">
        <v>0</v>
      </c>
      <c r="ZM37">
        <v>0</v>
      </c>
      <c r="ZN37">
        <v>0</v>
      </c>
      <c r="ZO37">
        <v>0</v>
      </c>
      <c r="ZP37">
        <v>0</v>
      </c>
      <c r="ZQ37">
        <v>0</v>
      </c>
      <c r="ZR37">
        <v>0</v>
      </c>
      <c r="ZS37">
        <v>0</v>
      </c>
      <c r="ZT37">
        <v>0</v>
      </c>
      <c r="ZU37">
        <v>0</v>
      </c>
      <c r="ZV37">
        <v>0</v>
      </c>
      <c r="ZW37">
        <v>0</v>
      </c>
      <c r="ZX37">
        <v>0</v>
      </c>
      <c r="ZY37">
        <v>0</v>
      </c>
      <c r="ZZ37">
        <v>0</v>
      </c>
      <c r="AAA37">
        <v>0</v>
      </c>
      <c r="AAB37">
        <v>0</v>
      </c>
      <c r="AAC37">
        <v>0</v>
      </c>
      <c r="AAD37">
        <v>0</v>
      </c>
      <c r="AAE37">
        <v>0</v>
      </c>
      <c r="AAF37">
        <v>0</v>
      </c>
      <c r="AAG37">
        <v>0</v>
      </c>
      <c r="AAH37">
        <v>0</v>
      </c>
      <c r="AAI37">
        <v>0</v>
      </c>
      <c r="AAJ37">
        <v>0</v>
      </c>
      <c r="AAK37">
        <v>0</v>
      </c>
      <c r="AAL37">
        <v>0</v>
      </c>
      <c r="AAM37">
        <v>0</v>
      </c>
      <c r="AAN37">
        <v>0</v>
      </c>
      <c r="AAO37">
        <v>0</v>
      </c>
      <c r="AAP37">
        <v>0</v>
      </c>
      <c r="AAQ37">
        <v>0</v>
      </c>
      <c r="AAR37">
        <v>0</v>
      </c>
      <c r="AAS37">
        <v>0</v>
      </c>
      <c r="AAT37">
        <v>0</v>
      </c>
      <c r="AAU37">
        <v>0</v>
      </c>
      <c r="AAV37">
        <v>0</v>
      </c>
      <c r="AAW37">
        <v>0</v>
      </c>
      <c r="AAX37">
        <v>0</v>
      </c>
      <c r="AAY37">
        <v>0</v>
      </c>
      <c r="AAZ37">
        <v>0</v>
      </c>
      <c r="ABA37">
        <v>0</v>
      </c>
      <c r="ABB37">
        <v>0</v>
      </c>
      <c r="ABC37">
        <v>0</v>
      </c>
      <c r="ABD37">
        <v>0</v>
      </c>
      <c r="ABE37">
        <v>0</v>
      </c>
      <c r="ABF37">
        <v>0</v>
      </c>
      <c r="ABG37">
        <v>0</v>
      </c>
      <c r="ABH37">
        <v>0</v>
      </c>
      <c r="ABI37">
        <v>0</v>
      </c>
      <c r="ABJ37">
        <v>0</v>
      </c>
      <c r="ABK37">
        <v>0</v>
      </c>
      <c r="ABL37">
        <v>0</v>
      </c>
      <c r="ABM37">
        <v>0</v>
      </c>
      <c r="ABN37">
        <v>0</v>
      </c>
      <c r="ABO37">
        <v>0</v>
      </c>
      <c r="ABP37">
        <v>0</v>
      </c>
      <c r="ABQ37">
        <v>0</v>
      </c>
      <c r="ABR37">
        <v>0</v>
      </c>
      <c r="ABS37">
        <v>0</v>
      </c>
      <c r="ABT37">
        <v>0</v>
      </c>
      <c r="ABU37">
        <v>0</v>
      </c>
      <c r="ABV37">
        <v>0</v>
      </c>
      <c r="ABW37">
        <v>0</v>
      </c>
      <c r="ABX37">
        <v>0</v>
      </c>
      <c r="ABY37">
        <v>0</v>
      </c>
      <c r="ABZ37">
        <v>0</v>
      </c>
      <c r="ACA37">
        <v>0</v>
      </c>
      <c r="ACB37">
        <v>0</v>
      </c>
      <c r="ACC37">
        <v>0</v>
      </c>
      <c r="ACD37">
        <v>0</v>
      </c>
      <c r="ACE37">
        <v>0</v>
      </c>
      <c r="ACF37">
        <v>0</v>
      </c>
      <c r="ACG37">
        <v>0</v>
      </c>
      <c r="ACH37">
        <v>0</v>
      </c>
      <c r="ACI37">
        <v>0</v>
      </c>
      <c r="ACJ37">
        <v>0</v>
      </c>
      <c r="ACK37">
        <v>0</v>
      </c>
      <c r="ACL37">
        <v>0</v>
      </c>
      <c r="ACM37">
        <v>0</v>
      </c>
      <c r="ACN37">
        <v>0</v>
      </c>
      <c r="ACO37">
        <v>0</v>
      </c>
      <c r="ACP37">
        <v>0</v>
      </c>
      <c r="ACQ37">
        <v>0</v>
      </c>
      <c r="ACR37">
        <v>0</v>
      </c>
      <c r="ACS37">
        <v>0</v>
      </c>
      <c r="ACT37">
        <v>0</v>
      </c>
      <c r="ACU37">
        <v>0</v>
      </c>
      <c r="ACV37">
        <v>0</v>
      </c>
      <c r="ACW37">
        <v>0</v>
      </c>
      <c r="ACX37">
        <v>0</v>
      </c>
      <c r="ACY37">
        <v>0</v>
      </c>
      <c r="ACZ37">
        <v>0</v>
      </c>
      <c r="ADA37">
        <v>0</v>
      </c>
      <c r="ADB37">
        <v>0</v>
      </c>
      <c r="ADC37">
        <v>0</v>
      </c>
      <c r="ADD37">
        <v>0</v>
      </c>
      <c r="ADE37">
        <v>0</v>
      </c>
      <c r="ADF37">
        <v>0</v>
      </c>
      <c r="ADG37">
        <v>0</v>
      </c>
      <c r="ADH37">
        <v>0</v>
      </c>
      <c r="ADI37">
        <v>0</v>
      </c>
      <c r="ADJ37">
        <v>0</v>
      </c>
      <c r="ADK37">
        <v>0</v>
      </c>
      <c r="ADL37">
        <v>0</v>
      </c>
      <c r="ADM37">
        <v>0</v>
      </c>
      <c r="ADN37">
        <v>0</v>
      </c>
      <c r="ADO37">
        <v>0</v>
      </c>
      <c r="ADP37">
        <v>0</v>
      </c>
      <c r="ADQ37">
        <v>0</v>
      </c>
      <c r="ADR37">
        <v>0</v>
      </c>
      <c r="ADS37">
        <v>0</v>
      </c>
      <c r="ADT37">
        <v>0</v>
      </c>
      <c r="ADU37">
        <v>0</v>
      </c>
      <c r="ADV37">
        <v>0</v>
      </c>
      <c r="ADW37">
        <v>0</v>
      </c>
      <c r="ADX37">
        <v>0</v>
      </c>
      <c r="ADY37">
        <v>0</v>
      </c>
      <c r="ADZ37">
        <v>0</v>
      </c>
      <c r="AEA37">
        <v>0</v>
      </c>
      <c r="AEB37">
        <v>0</v>
      </c>
      <c r="AEC37">
        <v>0</v>
      </c>
      <c r="AED37">
        <v>0</v>
      </c>
      <c r="AEE37">
        <v>0</v>
      </c>
      <c r="AEF37">
        <v>0</v>
      </c>
      <c r="AEG37">
        <v>0</v>
      </c>
      <c r="AEH37">
        <v>0</v>
      </c>
      <c r="AEI37">
        <v>0</v>
      </c>
      <c r="AEJ37">
        <v>0</v>
      </c>
      <c r="AEK37">
        <v>0</v>
      </c>
      <c r="AEL37">
        <v>0</v>
      </c>
      <c r="AEM37">
        <v>0</v>
      </c>
      <c r="AEN37">
        <v>0</v>
      </c>
      <c r="AEO37">
        <v>0</v>
      </c>
      <c r="AEP37">
        <v>0</v>
      </c>
      <c r="AEQ37">
        <v>0</v>
      </c>
      <c r="AER37">
        <v>0</v>
      </c>
      <c r="AES37">
        <v>0</v>
      </c>
      <c r="AET37">
        <v>0</v>
      </c>
      <c r="AEU37">
        <v>0</v>
      </c>
      <c r="AEV37">
        <v>0</v>
      </c>
      <c r="AEW37">
        <v>0</v>
      </c>
      <c r="AEX37">
        <v>0</v>
      </c>
      <c r="AEY37">
        <v>0</v>
      </c>
      <c r="AEZ37">
        <v>0</v>
      </c>
      <c r="AFA37">
        <v>0</v>
      </c>
      <c r="AFB37">
        <v>0</v>
      </c>
      <c r="AFC37">
        <v>0</v>
      </c>
      <c r="AFD37">
        <v>0</v>
      </c>
      <c r="AFE37">
        <v>0</v>
      </c>
      <c r="AFF37">
        <v>0</v>
      </c>
      <c r="AFG37">
        <v>0</v>
      </c>
      <c r="AFH37">
        <v>0</v>
      </c>
      <c r="AFI37">
        <v>0</v>
      </c>
      <c r="AFJ37">
        <v>0</v>
      </c>
      <c r="AFK37">
        <v>0</v>
      </c>
      <c r="AFL37">
        <v>0</v>
      </c>
      <c r="AFM37">
        <v>0</v>
      </c>
      <c r="AFN37">
        <v>0</v>
      </c>
      <c r="AFO37">
        <v>0</v>
      </c>
      <c r="AFP37">
        <v>0</v>
      </c>
      <c r="AFQ37">
        <v>0</v>
      </c>
      <c r="AFR37">
        <v>0</v>
      </c>
      <c r="AFS37">
        <v>0</v>
      </c>
      <c r="AFT37">
        <v>0</v>
      </c>
      <c r="AFU37">
        <v>0</v>
      </c>
      <c r="AFV37">
        <v>0</v>
      </c>
      <c r="AFW37">
        <v>0</v>
      </c>
      <c r="AFX37">
        <v>0</v>
      </c>
      <c r="AFY37">
        <v>0</v>
      </c>
      <c r="AFZ37">
        <v>0</v>
      </c>
      <c r="AGA37">
        <v>0</v>
      </c>
      <c r="AGB37">
        <v>0</v>
      </c>
      <c r="AGC37">
        <v>0</v>
      </c>
      <c r="AGD37">
        <v>0</v>
      </c>
      <c r="AGE37">
        <v>0</v>
      </c>
      <c r="AGF37">
        <v>0</v>
      </c>
      <c r="AGG37">
        <v>0</v>
      </c>
      <c r="AGH37">
        <v>0</v>
      </c>
      <c r="AGI37">
        <v>0</v>
      </c>
      <c r="AGJ37">
        <v>0</v>
      </c>
      <c r="AGK37">
        <v>0</v>
      </c>
      <c r="AGL37">
        <v>0</v>
      </c>
      <c r="AGM37">
        <v>0</v>
      </c>
      <c r="AGN37">
        <v>0</v>
      </c>
      <c r="AGO37">
        <v>0</v>
      </c>
      <c r="AGP37">
        <v>0</v>
      </c>
      <c r="AGQ37">
        <v>0</v>
      </c>
      <c r="AGR37">
        <v>0</v>
      </c>
      <c r="AGS37">
        <v>0</v>
      </c>
      <c r="AGT37">
        <v>0</v>
      </c>
      <c r="AGU37">
        <v>0</v>
      </c>
      <c r="AGV37">
        <v>0</v>
      </c>
      <c r="AGW37">
        <v>0</v>
      </c>
      <c r="AGX37">
        <v>0</v>
      </c>
      <c r="AGY37">
        <v>0</v>
      </c>
      <c r="AGZ37">
        <v>0</v>
      </c>
      <c r="AHA37">
        <v>0</v>
      </c>
      <c r="AHB37">
        <v>0</v>
      </c>
      <c r="AHC37">
        <v>0</v>
      </c>
      <c r="AHD37">
        <v>0</v>
      </c>
      <c r="AHE37">
        <v>0</v>
      </c>
      <c r="AHF37">
        <v>0</v>
      </c>
      <c r="AHG37">
        <v>0</v>
      </c>
      <c r="AHH37">
        <v>0</v>
      </c>
      <c r="AHI37">
        <v>0</v>
      </c>
      <c r="AHJ37">
        <v>0</v>
      </c>
      <c r="AHK37">
        <v>0</v>
      </c>
      <c r="AHL37">
        <v>0</v>
      </c>
      <c r="AHM37">
        <v>0</v>
      </c>
      <c r="AHN37">
        <v>0</v>
      </c>
      <c r="AHO37">
        <v>0</v>
      </c>
      <c r="AHP37">
        <v>0</v>
      </c>
      <c r="AHQ37">
        <v>0</v>
      </c>
      <c r="AHR37">
        <v>0</v>
      </c>
      <c r="AHS37">
        <v>0</v>
      </c>
      <c r="AHT37">
        <v>0</v>
      </c>
      <c r="AHU37">
        <v>0</v>
      </c>
      <c r="AHV37">
        <v>0</v>
      </c>
      <c r="AHW37">
        <v>0</v>
      </c>
      <c r="AHX37">
        <v>0</v>
      </c>
      <c r="AHY37">
        <v>0</v>
      </c>
      <c r="AHZ37">
        <v>0</v>
      </c>
      <c r="AIA37">
        <v>0</v>
      </c>
      <c r="AIB37">
        <v>0</v>
      </c>
      <c r="AIC37">
        <v>0</v>
      </c>
      <c r="AID37">
        <v>0</v>
      </c>
      <c r="AIE37">
        <v>0</v>
      </c>
      <c r="AIF37">
        <v>0</v>
      </c>
      <c r="AIG37">
        <v>0</v>
      </c>
      <c r="AIH37">
        <v>0</v>
      </c>
      <c r="AII37">
        <v>0</v>
      </c>
      <c r="AIJ37">
        <v>0</v>
      </c>
      <c r="AIK37">
        <v>0</v>
      </c>
      <c r="AIL37">
        <v>0</v>
      </c>
      <c r="AIM37">
        <v>0</v>
      </c>
      <c r="AIN37">
        <v>0</v>
      </c>
      <c r="AIO37">
        <v>0</v>
      </c>
      <c r="AIP37">
        <v>0</v>
      </c>
      <c r="AIQ37">
        <v>0</v>
      </c>
      <c r="AIR37">
        <v>0</v>
      </c>
      <c r="AIS37">
        <v>0</v>
      </c>
      <c r="AIT37">
        <v>0</v>
      </c>
      <c r="AIU37">
        <v>0</v>
      </c>
      <c r="AIV37">
        <v>0</v>
      </c>
      <c r="AIW37">
        <v>0</v>
      </c>
      <c r="AIX37">
        <v>0</v>
      </c>
      <c r="AIY37">
        <v>0</v>
      </c>
      <c r="AIZ37">
        <v>0</v>
      </c>
      <c r="AJA37">
        <v>0</v>
      </c>
      <c r="AJB37">
        <v>0</v>
      </c>
      <c r="AJC37">
        <v>0</v>
      </c>
      <c r="AJD37">
        <v>0</v>
      </c>
      <c r="AJE37">
        <v>0</v>
      </c>
      <c r="AJF37">
        <v>0</v>
      </c>
      <c r="AJG37">
        <v>0</v>
      </c>
      <c r="AJH37">
        <v>0</v>
      </c>
      <c r="AJI37">
        <v>0</v>
      </c>
      <c r="AJJ37">
        <v>0</v>
      </c>
      <c r="AJK37">
        <v>0</v>
      </c>
      <c r="AJL37">
        <v>0</v>
      </c>
      <c r="AJM37">
        <v>0</v>
      </c>
      <c r="AJN37">
        <v>0</v>
      </c>
      <c r="AJO37">
        <v>0</v>
      </c>
      <c r="AJP37">
        <v>0</v>
      </c>
      <c r="AJQ37">
        <v>0</v>
      </c>
      <c r="AJR37">
        <v>0</v>
      </c>
      <c r="AJS37">
        <v>0</v>
      </c>
      <c r="AJT37">
        <v>0</v>
      </c>
      <c r="AJU37">
        <v>0</v>
      </c>
      <c r="AJV37">
        <v>0</v>
      </c>
      <c r="AJW37">
        <v>0</v>
      </c>
      <c r="AJX37">
        <v>0</v>
      </c>
      <c r="AJY37">
        <v>0</v>
      </c>
      <c r="AJZ37">
        <v>0</v>
      </c>
      <c r="AKA37">
        <v>0</v>
      </c>
      <c r="AKB37">
        <v>0</v>
      </c>
      <c r="AKC37">
        <v>0</v>
      </c>
      <c r="AKD37">
        <v>0</v>
      </c>
      <c r="AKE37">
        <v>0</v>
      </c>
      <c r="AKF37">
        <v>0</v>
      </c>
      <c r="AKG37">
        <v>0</v>
      </c>
      <c r="AKH37">
        <v>0</v>
      </c>
      <c r="AKI37">
        <v>0</v>
      </c>
      <c r="AKJ37">
        <v>0</v>
      </c>
      <c r="AKK37">
        <v>0</v>
      </c>
      <c r="AKL37">
        <v>0</v>
      </c>
      <c r="AKM37">
        <v>0</v>
      </c>
      <c r="AKN37">
        <v>0</v>
      </c>
      <c r="AKO37">
        <v>0</v>
      </c>
      <c r="AKP37">
        <v>0</v>
      </c>
      <c r="AKQ37">
        <v>0</v>
      </c>
      <c r="AKR37">
        <v>0</v>
      </c>
      <c r="AKS37">
        <v>0</v>
      </c>
      <c r="AKT37">
        <v>0</v>
      </c>
      <c r="AKU37">
        <v>0</v>
      </c>
      <c r="AKV37">
        <v>0</v>
      </c>
      <c r="AKW37">
        <v>0</v>
      </c>
      <c r="AKX37">
        <v>0</v>
      </c>
      <c r="AKY37">
        <v>0</v>
      </c>
      <c r="AKZ37">
        <v>0</v>
      </c>
      <c r="ALA37">
        <v>0</v>
      </c>
      <c r="ALB37">
        <v>0</v>
      </c>
      <c r="ALC37">
        <v>0</v>
      </c>
      <c r="ALD37">
        <v>0</v>
      </c>
      <c r="ALE37">
        <v>0</v>
      </c>
      <c r="ALF37">
        <v>0</v>
      </c>
      <c r="ALG37">
        <v>0</v>
      </c>
      <c r="ALH37">
        <v>0</v>
      </c>
      <c r="ALI37">
        <v>0</v>
      </c>
      <c r="ALJ37">
        <v>0</v>
      </c>
      <c r="ALK37">
        <v>0</v>
      </c>
      <c r="ALL37">
        <v>0</v>
      </c>
      <c r="ALM37">
        <v>0</v>
      </c>
      <c r="ALN37">
        <v>0</v>
      </c>
      <c r="ALO37">
        <v>0</v>
      </c>
      <c r="ALP37">
        <v>0</v>
      </c>
      <c r="ALQ37">
        <v>0</v>
      </c>
    </row>
    <row r="38" spans="1:1005" ht="224">
      <c r="A38" s="365" t="s">
        <v>1145</v>
      </c>
      <c r="B38" s="366" t="s">
        <v>48</v>
      </c>
      <c r="C38" s="367" t="s">
        <v>86</v>
      </c>
      <c r="D38" s="381" t="s">
        <v>1164</v>
      </c>
      <c r="E38" s="382" t="s">
        <v>642</v>
      </c>
      <c r="F38" t="str">
        <f t="array" ref="F38:ALQ38" ca="1">TRANSPOSE(Filtered!AI2:AI1005)</f>
        <v>Not specified</v>
      </c>
      <c r="G38" t="str">
        <f ca="1"/>
        <v/>
      </c>
      <c r="H38" t="str">
        <f ca="1"/>
        <v>Because Accounts of Chemical Research publishes review-like content, the posting of manuscripts on a preprint server such as ArXiv, BioRxiv or ChemRxiv is not appropriate. Manuscripts that have been publicly posted will not be accepted.</v>
      </c>
      <c r="I38" t="str">
        <f ca="1"/>
        <v>"Posting of the original submitted manuscript to a pre-print server is acceptable. Please note the use of a pre-print server explicitly in the cover letter, and as appropriate, state how the manuscript has been adjusted/updated between the pre-print version and the version submitted to ACS Catalysis. Authors may not revise these preprints. Upon publication in ACS Catalysis authors are advised to add a link from the preprint to the published paper via the Digital Object Identifier (DOI). Some services,such as ChemRxiv and bioRxiv, add this link for authors automatically after publication".</v>
      </c>
      <c r="J38" t="str">
        <f ca="1"/>
        <v>Submission Requirements: When authors submit their manuscripts to AMJ for publication consideration, they agree to abide by AMJ’s publication requirements. Specifically, an author must ... Agree that working papers, prior drafts, and/or final versions of submitted manuscripts that are posted on a Web site (e.g., personal, departmental, university, or working series sites) will be taken down during the review process.</v>
      </c>
      <c r="K38" t="str">
        <f ca="1"/>
        <v/>
      </c>
      <c r="L38" t="str">
        <f ca="1"/>
        <v/>
      </c>
      <c r="M38" t="str">
        <f ca="1"/>
        <v/>
      </c>
      <c r="N38" t="str">
        <f ca="1"/>
        <v/>
      </c>
      <c r="O38" t="str">
        <f ca="1"/>
        <v/>
      </c>
      <c r="P38" t="str">
        <f ca="1"/>
        <v>The author retains the right to self-archive the final submitted draft of his or her AJPS article on a personal website, a not-for-profit repository, or the author’s company/university repository or archive. Once the article publishes in its final form, please include a link to that version from the submitted version.</v>
      </c>
      <c r="Q38" t="str">
        <f ca="1"/>
        <v>Not specified</v>
      </c>
      <c r="R38" t="str">
        <f ca="1"/>
        <v/>
      </c>
      <c r="S38" t="str">
        <f ca="1"/>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T38" t="str">
        <f ca="1"/>
        <v>"Angewandte Chemie, ChemPubSoc Europe, and Asian Chemical Editorial Society (ACES) journals will consider submitted papers that have been previously 1) posted as a preprint on a non-profit community preprint server such as ChemRxiv, bioRxiv, and arXiv"</v>
      </c>
      <c r="U38" t="str">
        <f ca="1"/>
        <v/>
      </c>
      <c r="V38" t="str">
        <f ca="1"/>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W38" t="str">
        <f ca="1"/>
        <v>any recognised, not-for-profit, preprint server, such as arXiv, bioRxiv or medRxiv</v>
      </c>
      <c r="X38" t="str">
        <f ca="1"/>
        <v/>
      </c>
      <c r="Y38" t="str">
        <f ca="1"/>
        <v/>
      </c>
      <c r="Z38" t="str">
        <f ca="1"/>
        <v>Authors may make their Author's Original Version available anywhere at any time. This includes posting on their own personal websites, institutional or non-commercial or subject based repositories, commercial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A38" t="str">
        <f ca="1"/>
        <v>Not specified</v>
      </c>
      <c r="AB38" t="str">
        <f ca="1"/>
        <v>Not specified</v>
      </c>
      <c r="AC38" t="str">
        <f ca="1"/>
        <v>Authors can share their preprint anywhere at any time.</v>
      </c>
      <c r="AD38" t="str">
        <f ca="1"/>
        <v>Public release of the manuscript as a preprint before or during submission is allowed under these provisions:
Authors must retain copyright for the manuscript so that it may be transferred to the American Society of Hematology if the manuscript is accepted, per the journal’s copyright policy.
The preprint cannot be updated while the manuscript is under review and cannot be updated if it is accepted for publication in Blood.
The publication of the manuscript as a preprint, as well as public comments or coverage about that preprint, will be considered in the evaluation of the manuscript's impact.
Publication of any related preprints must be noted in the cover letter for the submission and PDFs of those preprints must be included in the submission as supplemental files.
Because of the potential impact on patient care, preprints of a clinical nature are discouraged but will be considered.</v>
      </c>
      <c r="AE38" t="str">
        <f ca="1"/>
        <v>“BMJ fully supports and encourages the archiving of preprints in any recognised, not-for-profit, preprint server, such as arXiv, bioRxiv or medRxiv.”</v>
      </c>
      <c r="AF38" s="93" t="str">
        <f ca="1"/>
        <v>“We will consider papers previously posted on preprint servers like arXiv, bioRxiv, BioRN, ChemRxiv, or ChemRN."</v>
      </c>
      <c r="AG38" t="str">
        <f ca="1"/>
        <v>“Posting of manuscripts on institutional websites or on recognized community preprint servers, such as bioRxiv, is permitted under our publication policy.”</v>
      </c>
      <c r="AH38" s="93" t="str">
        <f ca="1"/>
        <v>“We will consider papers previously posted on preprint servers like arXiv, bioRxiv, BioRN, ChemRxiv, or ChemRN."</v>
      </c>
      <c r="AI38" s="93" t="str">
        <f ca="1"/>
        <v>“We will consider papers previously posted on preprint servers like arXiv, bioRxiv, BioRN, ChemRxiv, or ChemRN."</v>
      </c>
      <c r="AJ38" s="93" t="str">
        <f ca="1"/>
        <v>“We will consider papers previously posted on preprint servers like arXiv, bioRxiv, BioRN, ChemRxiv, or ChemRN."</v>
      </c>
      <c r="AK38" t="str">
        <f ca="1"/>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L38" t="str">
        <f ca="1"/>
        <v>Not specified</v>
      </c>
      <c r="AM38" t="str">
        <f ca="1"/>
        <v>“Authors publishing in our journals may present their research ahead of publication…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N38" t="str">
        <f ca="1"/>
        <v>“Chemistry of Materials authors are allowed to deposit an initial draft of their manuscript in ChemRxiv, bioRxiv, and arXiv, prior to submission. Please note that the use of any other preprint server must be indicated in the cover letter and include a link to the preprint, and as appropriate, state how the manuscript has been adjusted/updated between deposition and submission. All other prior/redundant publication is forbidden.”</v>
      </c>
      <c r="AO38" t="str">
        <f ca="1"/>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P38" t="str">
        <f ca="1"/>
        <v>“Posting of un-refereed manuscripts to a community pre-print server by the author will not be considered prior publication, provided that the following conditions are met: 1) During submission, authors must acknowledge pre-print server deposition and provide any associated accession numbers or DOIs; 2) Versions of a manuscript that have been altered as a result of the peer review process may not be deposited; 3) The pre-print version cannot itself have been indexed in MEDLINE or PubMed; 4) Upon publication, authors are responsible for updating the archived pre-print with a DOI and link to the published version of the article.”</v>
      </c>
      <c r="AQ38" t="str">
        <f ca="1"/>
        <v>“Posting of manuscripts on institutional websites or on recognized community preprint servers, such as bioRxiv, is permitted under our publication policy.”</v>
      </c>
      <c r="AR38" t="str">
        <f ca="1"/>
        <v>“Authors can share their preprint anywhere at any time, in line with Elsevier's sharing policy..”, From sharing policy: "Authors can update their preprints on arXiv or RePEc with their accepted manuscript ." https://www.elsevier.com/about/policies/sharing</v>
      </c>
      <c r="AS38" t="str">
        <f ca="1"/>
        <v>“ADA does not consider previous presentation of a study at a meeting, previous publication of an abstract affiliated with the proceedings of meetings, or prior posting of a study on a recognized preprint server (e.g., bioRxiv) to constitute prior publication. To be clear, ADA journals will still consider papers for publication if they are previously presented in these formats.”</v>
      </c>
      <c r="AT38" t="str">
        <f ca="1"/>
        <v/>
      </c>
      <c r="AU38" t="str">
        <f ca="1"/>
        <v/>
      </c>
      <c r="AV38" t="str">
        <f ca="1"/>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AW38" t="str">
        <f ca="1"/>
        <v>Posting of pre-prints to a pre-print server is considered acceptable but requires citing of the pre-print. Please note the use of a pre-print server in the cover letter, and as appropriate, state how the manuscript has been adjusted/updated between the pre-print version and the version submitted to ES&amp;T.</v>
      </c>
      <c r="AX38" t="str">
        <f ca="1"/>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AY38" t="str">
        <f ca="1"/>
        <v/>
      </c>
      <c r="AZ38" t="str">
        <f ca="1"/>
        <v/>
      </c>
      <c r="BA38" t="str">
        <f ca="1"/>
        <v>Servers should enable green open access (minimum)</v>
      </c>
      <c r="BB38" t="str">
        <f ca="1"/>
        <v>AGU does allow posting of preprints and accepted papers in not-for-profit preprint servers that are designed to facilitate community engagement and discovery across the sciences. Any other online publication with a service that provides archiving with citation protocols and public retrieval capabilities constitutes prior publication. Preprint servers – AGU allows authors to post a draft of their accepted manuscripts on Earth and Space Science Open Archive (ESSOAr) or another not-for-profit preprint server that is designed to facilitate community engagement and discovery across the sciences.
 Repositories – AGU allows to be placed in an institutional repository 6 months after publication and allows submitted articles to be accessible on the author’s personal website. AGU also supports governmental and institutional repositories and access is available to AGU content through CHORUS, usually 12 months after publication.</v>
      </c>
      <c r="BC38" t="str">
        <f ca="1"/>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BD38" t="str">
        <f ca="1"/>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BE38" t="str">
        <f ca="1"/>
        <v>BMJ fully supports and encourages the archiving of preprints in any recognised, not-for-profit, preprint server, such as arXiv, bioRxiv or medRxiv.</v>
      </c>
      <c r="BF38" t="str">
        <f ca="1"/>
        <v>If your paper has been posted on the Internet or otherwise circulated in a preliminary form or as a working paper for a limited audience, or if your paper is associated with a longer report or brief that either has or has not yet been released, you must inform the editors at the time of submission. Factors that will be considered in determining whether or not a paper that is derivative of such working papers, briefs, or reports include: online presence, the extent of distribution/exposure, media exposure that resulted from active attempts to promote the work to the media (e.g., by media releases or media briefings), the presence of new data, analysis, etc., in the submission that distinguishes it from the earlier work.</v>
      </c>
      <c r="BG38" t="str">
        <f ca="1"/>
        <v>HEPATOLOGY will consider for review articles previously available as preprints on non-commercial servers such as ArXiv, bioRxiv, etc.</v>
      </c>
      <c r="BH38" t="str">
        <f ca="1"/>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BI38" t="str">
        <f ca="1"/>
        <v>IEEE seeks to maximize the rights of its authors and their employers to post preprint versions of an article on the author’s personal web site, on a server operated by the author’s employer, or on a server operated by an approved not-for-profit third party as specified in 8.1.9.G.2 below.... &gt; The IEEE permits posting on certain approved third-party servers. The list of approved servers shall be reviewed annually, and a complete and up-to-date list shall be maintained by the IEEE Intellectual Property Rights Office.</v>
      </c>
      <c r="BJ38" t="str">
        <f ca="1"/>
        <v>Our policy is based upon the following particular definition of “publication”. A publication, for the purposes of the dual submission policy, is defined to be a written work longer than four pages that was submitted for review by peers for either acceptance or rejection, and, after review, was accepted. In particular, this definition of publication does not depend upon whether such an accepted written work appears in a formal proceedings or whether the organizers declare that such work ``counts as a publication''.
Note that such a definition does not consider an arXiv.org paper as a publication because it cannot be rejected. It also excludes university technical reports which are typically not peer reviewed.</v>
      </c>
      <c r="BK38" t="str">
        <f ca="1"/>
        <v>The above definition does not consider an arXiv.org paper as a publication because it cannot be rejected. It also excludes university technical reports which are typically not peer reviewed.</v>
      </c>
      <c r="BL38" t="str">
        <f ca="1"/>
        <v>Authors may post their preprints in the following locations:
Author’s personal website
Author’s employer’s website
arXiv.org</v>
      </c>
      <c r="BM38" t="str">
        <f ca="1"/>
        <v>Authors may post their preprints in the following locations:
Author’s personal website
Author’s employer’s website
arXiv.org</v>
      </c>
      <c r="BN38" t="str">
        <f ca="1"/>
        <v>Authors may post their preprints in the following locations:
Author’s personal website
Author’s employer’s website
arXiv.org</v>
      </c>
      <c r="BO38" t="str">
        <f ca="1"/>
        <v>Authors may post their preprints in the following locations:
Author’s personal website
Author’s employer’s website
arXiv.org</v>
      </c>
      <c r="BP38" t="str">
        <f ca="1"/>
        <v>Authors may post their preprints in the following locations:
Author’s personal website
Author’s employer’s website
arXiv.org</v>
      </c>
      <c r="BQ38" t="str">
        <f ca="1"/>
        <v>We will consider papers previously posted on preprint servers like arXiv, bioRxiv, BioRN, ChemRxiv, or ChemRN.</v>
      </c>
      <c r="BR38" t="str">
        <f ca="1"/>
        <v/>
      </c>
      <c r="BS38" t="str">
        <f ca="1"/>
        <v>A manuscript may have been published earlier in a different language, in a preliminary form as a Working Paper in a local university series, or in a PrePrint publication of a conference, etc. In all such cases, it is compulsory that the original publication is mentioned when submitting the manuscript.</v>
      </c>
      <c r="BT38" t="str">
        <f ca="1"/>
        <v/>
      </c>
      <c r="BU38" t="str">
        <f ca="1"/>
        <v xml:space="preserve">Elsevier, the publisher of JACI, has a long tradition of liberal copyright policies and for many years has permitted both the posting of preprints on public servers and the posting of final papers as accepted on secure internal servers. Now authors of papers published in an Elsevier journal may also post their final version, as accepted by the journal, publicly on their personal Web site or their institutions' Web sites (including their institutional repository). The “final version” is the author's Word (or Text or similar word processing) file, which can be updated by the author to incorporate changes made during the peer-review and editing processes.
Authors do not need to ask Elsevier's permission to do this. They need to include the full citation of the published article (once known) and a link to the homepage of the journal or, better, the DOI of the published article.
The posting cannot be for commercial purposes (such as systematic distribution or creating links for customers to articles) and it is not permitted to post to Web sites outside of their institution (other than their own personal web page). </v>
      </c>
      <c r="BV38" t="str">
        <f ca="1"/>
        <v/>
      </c>
      <c r="BW38" t="str">
        <f ca="1"/>
        <v>Not specified</v>
      </c>
      <c r="BX38" t="str">
        <f ca="1"/>
        <v>Authors can share their preprint anywhere at any time.</v>
      </c>
      <c r="BY38" t="str">
        <f ca="1"/>
        <v/>
      </c>
      <c r="BZ38" t="str">
        <f ca="1"/>
        <v>ASCO journals will consider publication of manuscripts that contain information previously posted on preprint servers. However, authors should be advised that the degree to which the submitted manuscript overlaps with what is already posted on the preprint server may affect the novelty of the findings for ASCO journal readership, and this will be taken into account in the evaluation of the manuscript. If a report has been published on a preprint server prior to manuscript submission, this must be acknowledged during the submission process. In addition, a link to that document must be provided so that reviewers and editors can evaluate the preprinted information and compare it with the submitted manuscript. Failure to acknowledge prior dissemination of research posted on preprint servers or similar databases will jeopardize the status of the submission. When such a manuscript has been submitted to an ASCO journal, no revisions should be posted to the preprint server during the manuscript's peer review process. If the manuscript is eventually accepted for publication, no revisions should be posted on the preprint server until the final manuscript is published online by ASCO, and any such revisions must not deviate from the final version of the manuscript published by ASCO. Finally, once the manuscript has been published by an ASCO journal, any future changes to the manuscript such as errata, discovered by the authors after journal publication for instance, must be first submitted, approved, and published by ASCO, prior to making any changes to the preprint document. Violation of this preprint policy will be considered grounds for article retraction.</v>
      </c>
      <c r="CA38" t="str">
        <f ca="1"/>
        <v/>
      </c>
      <c r="CB38" t="str">
        <f ca="1"/>
        <v>Only arXiv is explicitly stated (journal runs innovative submission where, in addition to traditional, authors can submit directly via arXiv).</v>
      </c>
      <c r="CC38" t="str">
        <f ca="1"/>
        <v/>
      </c>
      <c r="CD38" t="str">
        <f ca="1"/>
        <v>"Knowing that many researchers must make results publicly available quickly, APA Journals has designated PsyArXiv as the preferred preprint server for APA journals."</v>
      </c>
      <c r="CE38" t="str">
        <f ca="1"/>
        <v>Elsevier policy: "Authors can share their preprint anywhere at any time."</v>
      </c>
      <c r="CF38" t="str">
        <f ca="1"/>
        <v>"Recently AGU Publications, the Publications Committee, and the AGU Council amended the policy to allow posting of preprints and content by authors on “not-for-profit community preprint servers.” This specifically includes arxiv.org and related groups such as astro-ph.org and cond-mat.org. "</v>
      </c>
      <c r="CG38" t="str">
        <f ca="1"/>
        <v>Elsevier policy: "Authors can share their preprint anywhere at any time."</v>
      </c>
      <c r="CH38" t="str">
        <f ca="1"/>
        <v>ArXiv: "You will need to provide an arXiv article id. This is necessary as JHEP articles are funded by the SCOAP3 consortium and thus need to be categorised and published accordingly if accepted."</v>
      </c>
      <c r="CI38" t="str">
        <f ca="1"/>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CJ38" t="str">
        <f ca="1"/>
        <v>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v>
      </c>
      <c r="CK38" t="str">
        <f ca="1"/>
        <v>"Yes, you can post your preprint, which is your own write up of your results and analysis, anywhere at any time.
 If you have posted your preprint on ArXiv, which is a non-commercial preprint server, you can also immediately update this version with your accepted manuscript."</v>
      </c>
      <c r="CL38" t="str">
        <f ca="1"/>
        <v>"Journal of the American Chemical Society authors may deposit an initial draft of their manuscript in a preprint service such as ChemRxiv, bioRxiv, arXiv, or the applicable repository for their discipline before the manuscript is accepted for publication in the Journal of the American Chemical Society. Authors may revise the preprint version of their manuscript up until a final acceptance decision has been issued. "</v>
      </c>
      <c r="CM38" t="str">
        <f ca="1"/>
        <v/>
      </c>
      <c r="CN38" t="str">
        <f ca="1"/>
        <v/>
      </c>
      <c r="CO38" t="str">
        <f ca="1"/>
        <v>"SAGE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v>
      </c>
      <c r="CP38" t="str">
        <f ca="1"/>
        <v/>
      </c>
      <c r="CQ38" t="str">
        <f ca="1"/>
        <v/>
      </c>
      <c r="CR38" t="str">
        <f ca="1"/>
        <v>"Yes, you can post your preprint, which is your own write up of your results and analysis, anywhere at any time.
 If you have posted your preprint on ArXiv, which is a non-commercial preprint server, you can also immediately update this version with your accepted manuscript."</v>
      </c>
      <c r="CS38" t="str">
        <f ca="1"/>
        <v/>
      </c>
      <c r="CT38" t="str">
        <f ca="1"/>
        <v/>
      </c>
      <c r="CU38" t="str">
        <f ca="1"/>
        <v/>
      </c>
      <c r="CV38" t="str">
        <f ca="1"/>
        <v/>
      </c>
      <c r="CW38" t="str">
        <f ca="1"/>
        <v xml:space="preserve">Insitutional repositories/not-for profit servers outside own institution </v>
      </c>
      <c r="CX38" t="str">
        <f ca="1"/>
        <v>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CY38" t="str">
        <f ca="1"/>
        <v>3.5 Updating of records on arXiv
Authors who have posted a pre-print of their manuscript to arXiv.org may supply their arXiv ID when submitting their article through ScholarOne Manuscripts. If the manuscript is accepted for publication, the arXiv record will be updated with the article DOI and will link to the final published version of the article in the journal. The arXiv record will be updated when the article is published online.</v>
      </c>
      <c r="CZ38" t="str">
        <f ca="1"/>
        <v>Nano Letters authors are allowed to deposit an initial draft of their manuscript in a preprint service. Please note any use of a preprint server in the cover letter, and as appropriate, state how the manuscript has been adjusted/updated between deposition and submission. All other prior/redundant publication is forbidden.</v>
      </c>
      <c r="DA38" t="str">
        <f ca="1"/>
        <v>Authors publishing in our journals may present their research ahead of publication in the following ways. Through the deposition of a preprint version of the article in non-commercial repositories (eg ArXiv, ChemRxiv), institutional repositories or authors’ individual websites - a preprint is defined here as an un-refereed author version of the article; a non-commercial repository is defined here as any platform or archiving service that makes digital content free to deposit and access. At scientific conferences; this includes recorded presentations, poster presentations and abstracts that are made openly available online. In commercial or non-commercial databases (data without interpretation, discussion, conclusions or context with a wider experimental project). In an open electronic lab notebook. In blogs, wikis, tweets, and other informal communication channels. As a thesis or dissertation published as part of an academic or professional qualification, in print and online. In any digital medium which is operated by the Royal Society of Chemistry, excluding journals, books and magazines</v>
      </c>
      <c r="DB38" t="str">
        <f ca="1"/>
        <v/>
      </c>
      <c r="DC38" t="str">
        <f ca="1"/>
        <v>Not specified</v>
      </c>
      <c r="DD38" t="str">
        <f ca="1"/>
        <v>Not specified</v>
      </c>
      <c r="DE38" t="str">
        <f ca="1"/>
        <v>Not specified</v>
      </c>
      <c r="DF38" t="str">
        <f ca="1"/>
        <v>Not specified</v>
      </c>
      <c r="DG38" t="str">
        <f ca="1"/>
        <v>Not specified</v>
      </c>
      <c r="DH38" t="str">
        <f ca="1"/>
        <v>Not specified</v>
      </c>
      <c r="DI38" t="str">
        <f ca="1"/>
        <v>Not specified</v>
      </c>
      <c r="DJ38" t="str">
        <f ca="1"/>
        <v>Not specified</v>
      </c>
      <c r="DK38" t="str">
        <f ca="1"/>
        <v>Not specified</v>
      </c>
      <c r="DL38" t="str">
        <f ca="1"/>
        <v>Not specified</v>
      </c>
      <c r="DM38" t="str">
        <f ca="1"/>
        <v>Not specified</v>
      </c>
      <c r="DN38" t="str">
        <f ca="1"/>
        <v>Not specified</v>
      </c>
      <c r="DO38" t="str">
        <f ca="1"/>
        <v>Not specified</v>
      </c>
      <c r="DP38" t="str">
        <f ca="1"/>
        <v>Not specified</v>
      </c>
      <c r="DQ38" t="str">
        <f ca="1"/>
        <v/>
      </c>
      <c r="DR38" t="str">
        <f ca="1"/>
        <v/>
      </c>
      <c r="DS38" t="str">
        <f ca="1"/>
        <v/>
      </c>
      <c r="DT38" t="str">
        <f ca="1"/>
        <v/>
      </c>
      <c r="DU38" t="str">
        <f ca="1"/>
        <v/>
      </c>
      <c r="DV38" t="str">
        <f ca="1"/>
        <v/>
      </c>
      <c r="DW38" t="str">
        <f ca="1"/>
        <v>Preprints: Non-anonymous preprints (on arXiv, social media, websites, etc.) are permitted.  If you choose to use the NeurIPS style for the preprint, you must use the “preprint” option rather than the “final” option. Reviewers will be instructed not to actively look for such preprints, but encountering them will not constitute a conflict of interest. Authors may submit work to NeurIPS that is already available as a preprint (e.g., on arXiv) without citing it; however, previously published papers by the authors on related topics must be cited (with adequate anonymization to preserve double-blind reviewing).</v>
      </c>
      <c r="DX38" t="str">
        <f ca="1"/>
        <v xml:space="preserve">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DY38" t="str">
        <f ca="1"/>
        <v>Preprint Servers
 We will consider papers previously posted on preprint servers like arXiv, bioRxiv, BioRN, ChemRxiv, or ChemRN. We are very interested to hear from researchers about their motivations for posting and to discuss with them whether it is the best approach for their paper, so we strongly encourage authors who are planning to submit to us to contact the editors first to discuss their specific paper and situation. This policy only applies to the original submitted version of the paper; we do not support posting of revisions that respond to editorial input and peer review or posting of the final published version to preprint servers. Also, our prepublication publicity policies with regard to coverage in the broader media still apply to studies posted on preprint servers. For more information about preprint servers and the discussions related to them, please see this blog post.</v>
      </c>
      <c r="DZ38" t="str">
        <f ca="1"/>
        <v/>
      </c>
      <c r="EA38" t="str">
        <f ca="1"/>
        <v>[Journal] will consider for review articles previously available as preprints on non-commercial servers. Authors may also post the submitted version of a manuscript to non-commercial servers at any time. Authors are requested to update any pre-publication versions with a link to the final published article.</v>
      </c>
      <c r="EB38" s="93" t="str">
        <f ca="1"/>
        <v>NAR allows authors to deposit preprints in community preprint servers such as arXiv.org and BioRxiv.org, provided that entries are updated to acknowledge that the article has been accepted/published by NAR. Our policy towards such archives is kept under review, but we currently do not consider articles that have already been posted PLoS Currents. Authors are encouraged to contact the Editorial Office if they are in any doubt about prior submission. Please read our full self-archiving policy.</v>
      </c>
      <c r="EC38" t="str">
        <f ca="1"/>
        <v/>
      </c>
      <c r="ED38" t="str">
        <f ca="1"/>
        <v/>
      </c>
      <c r="EE38" t="str">
        <f ca="1"/>
        <v/>
      </c>
      <c r="EF38" t="str">
        <f ca="1"/>
        <v/>
      </c>
      <c r="EG38" t="str">
        <f ca="1"/>
        <v/>
      </c>
      <c r="EH38" t="str">
        <f ca="1"/>
        <v/>
      </c>
      <c r="EI38" t="str">
        <f ca="1"/>
        <v/>
      </c>
      <c r="EJ38" t="str">
        <f ca="1"/>
        <v/>
      </c>
      <c r="EK38" t="str">
        <f ca="1"/>
        <v/>
      </c>
      <c r="EL38" t="str">
        <f ca="1"/>
        <v>E.g. bioRxiv</v>
      </c>
      <c r="EM38" t="str">
        <f ca="1"/>
        <v>Posting on Preprint Servers, such as arXiv or bioRxiv, is permitted.</v>
      </c>
      <c r="EN38" t="str">
        <f ca="1"/>
        <v/>
      </c>
      <c r="EO38" t="str">
        <f ca="1"/>
        <v>This includes posting on their own personal websites, institutional or non-commercial subject based repositories, commercial platforms websites or repositories, or social media, provided that, upon acceptance, they acknowledge that the article has been accepted for publication as follows: 
 This article has been accepted for publication in [Journal Title] Published by Oxford University Press. 
 After publication we would also ask authors to update their AOV with the Digital Object Identifier (DOI), and include a link to the Version of Record.</v>
      </c>
      <c r="EP38" t="str">
        <f ca="1"/>
        <v/>
      </c>
      <c r="EQ38" t="str">
        <f ca="1"/>
        <v/>
      </c>
      <c r="ER38" t="str">
        <f ca="1"/>
        <v/>
      </c>
      <c r="ES38" t="str">
        <f ca="1"/>
        <v/>
      </c>
      <c r="ET38" t="str">
        <f ca="1"/>
        <v>Not specified</v>
      </c>
      <c r="EU38" t="str">
        <f ca="1"/>
        <v>We do support posting of research papers on not-for-profit preprint servers such as arXiv.org and bioRxiv.org.</v>
      </c>
      <c r="EV38" t="str">
        <f ca="1"/>
        <v>We do support posting of research papers on not-for-profit preprint servers such as arXiv.org and bioRxiv.org.</v>
      </c>
      <c r="EW38" t="str">
        <f ca="1"/>
        <v>You are welcome to post pre-submission versions or the original submitted version of the manuscript on a personal blog, a collaborative wiki or a recognised preprint server at any time. The website and URL must be identified in the cover letter accompanying submission of the paper to Scientific Reports.</v>
      </c>
      <c r="EX38" t="str">
        <f ca="1"/>
        <v>Please note that preprints can be shared anywhere at any time, in line with Elsevier's sharing policy. Sharing your preprints e.g. on a preprint server will not count as prior publication (see 'Multiple, redundant or concurrent publication' for more information).</v>
      </c>
      <c r="EY38" t="str">
        <f ca="1"/>
        <v>"Submitted manuscripts should not have been previously published and should not be submitted for publication elsewhere while they are under consideration by SMJ .
 ...
 We suggest that you circulate your manuscript among colleagues before submitting to SMJ , and make revisions based on their thoughtful suggestions. The reviewers should not be your first readers."</v>
      </c>
      <c r="EZ38" t="str">
        <f ca="1"/>
        <v>Submission of a manuscript implies: that the work described has not been published before; that it is not under consideration for publication anywhere else; that its publication has been approved by all co-authors, if any, as well as by the responsible authorities – tacitly or explicitly – at the institute where the work has been carried out. The publisher will not be held legally responsible should there be any claims for compensation.</v>
      </c>
      <c r="FA38" t="str">
        <f ca="1"/>
        <v/>
      </c>
      <c r="FB38" t="str">
        <f ca="1"/>
        <v>Please note that preprints can be shared anywhere at any time, in line with Elsevier's sharing policy. Sharing your preprints e.g. on a preprint server will not count as prior publication (see 'Multiple, redundant or concurrent publication' for more information).</v>
      </c>
      <c r="FC38" t="str">
        <f ca="1"/>
        <v>It is understood that work submitted to TQ has not been previously published or is not under consideration for publication elsewhere.</v>
      </c>
      <c r="FD38" t="str">
        <f ca="1"/>
        <v/>
      </c>
      <c r="FE38" t="str">
        <f ca="1"/>
        <v/>
      </c>
      <c r="FF38" t="str">
        <f ca="1"/>
        <v/>
      </c>
      <c r="FG38" t="str">
        <f ca="1"/>
        <v>For articles to be published in EPJ this explicitly includes the relevant preprint servers, in particular ArXiv (arxiv.org).</v>
      </c>
      <c r="FH38" t="str">
        <f ca="1"/>
        <v>The JCI will consider manuscripts that have been posted to a community preprint server; authors must disclose the preprint server and the accession number or DOI in their cover letter. At the time of publication, authors should ensure that the preprint server updates the preprint with a link to the published article, including the DOI link.</v>
      </c>
      <c r="FI38" t="str">
        <f ca="1"/>
        <v/>
      </c>
      <c r="FJ38" t="str">
        <f ca="1"/>
        <v>JPC Letters authors are allowed to deposit an initial draft of their manuscript in a preprint service such as ChemRxiv, arXiv, bioRxiv, or the applicable repository for their discipline prior to submission. Please note any use of a preprint server in the Cover Letter and, as appropriate, state how the manuscript has been adjusted/updated between deposition and submission. The use of a preprint service will not bias reviewing/acceptance of the paper in JPC Letters. Upon publication, authors are advised to add a link from the preprint to the published paper via the Digital Object Identifier (DOI). Redundant publication, such as the use of a repository for published versions of papers, is subject to the Journal Publication Agreement and generally requires copyright permission.</v>
      </c>
      <c r="FK38" t="str">
        <f ca="1"/>
        <v>Presentation of data at a scientific meeting, as a poster, abstract, orally, on a CD, or as an abstract on the web, or on a preprint server does not conflict with submission to the Lancet journals.</v>
      </c>
      <c r="FL38" t="str">
        <f ca="1"/>
        <v>Presentation of data at a scientific meeting, as a poster, abstract, orally, on a CD, or as an abstract on the web, or on a preprint server does not conflict with submission to the Lancet journals. https://els-jbs-prod-cdn.literatumonline.com/pb/assets/raw/Lancet/authors/tln-info-for-authors-1541596047120.pdf</v>
      </c>
      <c r="FM38" t="str">
        <f ca="1"/>
        <v xml:space="preserve">Presentation of data at a scientific meeting, as a poster, abstract, orally, on a CD, or as an abstract on the web, or on a preprint server does not conflict with submission to the Lancet journals. </v>
      </c>
      <c r="FN38" t="str">
        <f ca="1"/>
        <v/>
      </c>
      <c r="FO38" t="str">
        <f ca="1"/>
        <v/>
      </c>
      <c r="FP38" t="str">
        <f ca="1"/>
        <v/>
      </c>
      <c r="FQ38" t="str">
        <f ca="1"/>
        <v>own personal websites, institutional or non-commercial subject based repositories, commercial platforms websites or repositories, or social media</v>
      </c>
      <c r="FR38" t="str">
        <f ca="1"/>
        <v>Not allowed</v>
      </c>
      <c r="FS38" t="str">
        <f ca="1"/>
        <v/>
      </c>
      <c r="FT38" t="str">
        <f ca="1"/>
        <v>Authors can share their preprint anywhere at any time.
If accepted for publication, we encourage authors to link from the preprint to their formal publication via its Digital Object Identifier (DOI). Millions of researchers have access to the formal publications on ScienceDirect, and so links will help your users to find, access, cite, and use the best available version.
Authors can update their preprints on arXiv or RePEc with their accepted manuscript .</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v>
      </c>
      <c r="LI38">
        <v>0</v>
      </c>
      <c r="LJ38">
        <v>0</v>
      </c>
      <c r="LK38">
        <v>0</v>
      </c>
      <c r="LL38">
        <v>0</v>
      </c>
      <c r="LM38">
        <v>0</v>
      </c>
      <c r="LN38">
        <v>0</v>
      </c>
      <c r="LO38">
        <v>0</v>
      </c>
      <c r="LP38">
        <v>0</v>
      </c>
      <c r="LQ38">
        <v>0</v>
      </c>
      <c r="LR38">
        <v>0</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0</v>
      </c>
      <c r="MN38">
        <v>0</v>
      </c>
      <c r="MO38">
        <v>0</v>
      </c>
      <c r="MP38">
        <v>0</v>
      </c>
      <c r="MQ38">
        <v>0</v>
      </c>
      <c r="MR38">
        <v>0</v>
      </c>
      <c r="MS38">
        <v>0</v>
      </c>
      <c r="MT38">
        <v>0</v>
      </c>
      <c r="MU38">
        <v>0</v>
      </c>
      <c r="MV38">
        <v>0</v>
      </c>
      <c r="MW38">
        <v>0</v>
      </c>
      <c r="MX38">
        <v>0</v>
      </c>
      <c r="MY38">
        <v>0</v>
      </c>
      <c r="MZ38">
        <v>0</v>
      </c>
      <c r="NA38">
        <v>0</v>
      </c>
      <c r="NB38">
        <v>0</v>
      </c>
      <c r="NC38">
        <v>0</v>
      </c>
      <c r="ND38">
        <v>0</v>
      </c>
      <c r="NE38">
        <v>0</v>
      </c>
      <c r="NF38">
        <v>0</v>
      </c>
      <c r="NG38">
        <v>0</v>
      </c>
      <c r="NH38">
        <v>0</v>
      </c>
      <c r="NI38">
        <v>0</v>
      </c>
      <c r="NJ38">
        <v>0</v>
      </c>
      <c r="NK38">
        <v>0</v>
      </c>
      <c r="NL38">
        <v>0</v>
      </c>
      <c r="NM38">
        <v>0</v>
      </c>
      <c r="NN38">
        <v>0</v>
      </c>
      <c r="NO38">
        <v>0</v>
      </c>
      <c r="NP38">
        <v>0</v>
      </c>
      <c r="NQ38">
        <v>0</v>
      </c>
      <c r="NR38">
        <v>0</v>
      </c>
      <c r="NS38">
        <v>0</v>
      </c>
      <c r="NT38">
        <v>0</v>
      </c>
      <c r="NU38">
        <v>0</v>
      </c>
      <c r="NV38">
        <v>0</v>
      </c>
      <c r="NW38">
        <v>0</v>
      </c>
      <c r="NX38">
        <v>0</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0</v>
      </c>
      <c r="OV38">
        <v>0</v>
      </c>
      <c r="OW38">
        <v>0</v>
      </c>
      <c r="OX38">
        <v>0</v>
      </c>
      <c r="OY38">
        <v>0</v>
      </c>
      <c r="OZ38">
        <v>0</v>
      </c>
      <c r="PA38">
        <v>0</v>
      </c>
      <c r="PB38">
        <v>0</v>
      </c>
      <c r="PC38">
        <v>0</v>
      </c>
      <c r="PD38">
        <v>0</v>
      </c>
      <c r="PE38">
        <v>0</v>
      </c>
      <c r="PF38">
        <v>0</v>
      </c>
      <c r="PG38">
        <v>0</v>
      </c>
      <c r="PH38">
        <v>0</v>
      </c>
      <c r="PI38">
        <v>0</v>
      </c>
      <c r="PJ38">
        <v>0</v>
      </c>
      <c r="PK38">
        <v>0</v>
      </c>
      <c r="PL38">
        <v>0</v>
      </c>
      <c r="PM38">
        <v>0</v>
      </c>
      <c r="PN38">
        <v>0</v>
      </c>
      <c r="PO38">
        <v>0</v>
      </c>
      <c r="PP38">
        <v>0</v>
      </c>
      <c r="PQ38">
        <v>0</v>
      </c>
      <c r="PR38">
        <v>0</v>
      </c>
      <c r="PS38">
        <v>0</v>
      </c>
      <c r="PT38">
        <v>0</v>
      </c>
      <c r="PU38">
        <v>0</v>
      </c>
      <c r="PV38">
        <v>0</v>
      </c>
      <c r="PW38">
        <v>0</v>
      </c>
      <c r="PX38">
        <v>0</v>
      </c>
      <c r="PY38">
        <v>0</v>
      </c>
      <c r="PZ38">
        <v>0</v>
      </c>
      <c r="QA38">
        <v>0</v>
      </c>
      <c r="QB38">
        <v>0</v>
      </c>
      <c r="QC38">
        <v>0</v>
      </c>
      <c r="QD38">
        <v>0</v>
      </c>
      <c r="QE38">
        <v>0</v>
      </c>
      <c r="QF38">
        <v>0</v>
      </c>
      <c r="QG38">
        <v>0</v>
      </c>
      <c r="QH38">
        <v>0</v>
      </c>
      <c r="QI38">
        <v>0</v>
      </c>
      <c r="QJ38">
        <v>0</v>
      </c>
      <c r="QK38">
        <v>0</v>
      </c>
      <c r="QL38">
        <v>0</v>
      </c>
      <c r="QM38">
        <v>0</v>
      </c>
      <c r="QN38">
        <v>0</v>
      </c>
      <c r="QO38">
        <v>0</v>
      </c>
      <c r="QP38">
        <v>0</v>
      </c>
      <c r="QQ38">
        <v>0</v>
      </c>
      <c r="QR38">
        <v>0</v>
      </c>
      <c r="QS38">
        <v>0</v>
      </c>
      <c r="QT38">
        <v>0</v>
      </c>
      <c r="QU38">
        <v>0</v>
      </c>
      <c r="QV38">
        <v>0</v>
      </c>
      <c r="QW38">
        <v>0</v>
      </c>
      <c r="QX38">
        <v>0</v>
      </c>
      <c r="QY38">
        <v>0</v>
      </c>
      <c r="QZ38">
        <v>0</v>
      </c>
      <c r="RA38">
        <v>0</v>
      </c>
      <c r="RB38">
        <v>0</v>
      </c>
      <c r="RC38">
        <v>0</v>
      </c>
      <c r="RD38">
        <v>0</v>
      </c>
      <c r="RE38">
        <v>0</v>
      </c>
      <c r="RF38">
        <v>0</v>
      </c>
      <c r="RG38">
        <v>0</v>
      </c>
      <c r="RH38">
        <v>0</v>
      </c>
      <c r="RI38">
        <v>0</v>
      </c>
      <c r="RJ38">
        <v>0</v>
      </c>
      <c r="RK38">
        <v>0</v>
      </c>
      <c r="RL38">
        <v>0</v>
      </c>
      <c r="RM38">
        <v>0</v>
      </c>
      <c r="RN38">
        <v>0</v>
      </c>
      <c r="RO38">
        <v>0</v>
      </c>
      <c r="RP38">
        <v>0</v>
      </c>
      <c r="RQ38">
        <v>0</v>
      </c>
      <c r="RR38">
        <v>0</v>
      </c>
      <c r="RS38">
        <v>0</v>
      </c>
      <c r="RT38">
        <v>0</v>
      </c>
      <c r="RU38">
        <v>0</v>
      </c>
      <c r="RV38">
        <v>0</v>
      </c>
      <c r="RW38">
        <v>0</v>
      </c>
      <c r="RX38">
        <v>0</v>
      </c>
      <c r="RY38">
        <v>0</v>
      </c>
      <c r="RZ38">
        <v>0</v>
      </c>
      <c r="SA38">
        <v>0</v>
      </c>
      <c r="SB38">
        <v>0</v>
      </c>
      <c r="SC38">
        <v>0</v>
      </c>
      <c r="SD38">
        <v>0</v>
      </c>
      <c r="SE38">
        <v>0</v>
      </c>
      <c r="SF38">
        <v>0</v>
      </c>
      <c r="SG38">
        <v>0</v>
      </c>
      <c r="SH38">
        <v>0</v>
      </c>
      <c r="SI38">
        <v>0</v>
      </c>
      <c r="SJ38">
        <v>0</v>
      </c>
      <c r="SK38">
        <v>0</v>
      </c>
      <c r="SL38">
        <v>0</v>
      </c>
      <c r="SM38">
        <v>0</v>
      </c>
      <c r="SN38">
        <v>0</v>
      </c>
      <c r="SO38">
        <v>0</v>
      </c>
      <c r="SP38">
        <v>0</v>
      </c>
      <c r="SQ38">
        <v>0</v>
      </c>
      <c r="SR38">
        <v>0</v>
      </c>
      <c r="SS38">
        <v>0</v>
      </c>
      <c r="ST38">
        <v>0</v>
      </c>
      <c r="SU38">
        <v>0</v>
      </c>
      <c r="SV38">
        <v>0</v>
      </c>
      <c r="SW38">
        <v>0</v>
      </c>
      <c r="SX38">
        <v>0</v>
      </c>
      <c r="SY38">
        <v>0</v>
      </c>
      <c r="SZ38">
        <v>0</v>
      </c>
      <c r="TA38">
        <v>0</v>
      </c>
      <c r="TB38">
        <v>0</v>
      </c>
      <c r="TC38">
        <v>0</v>
      </c>
      <c r="TD38">
        <v>0</v>
      </c>
      <c r="TE38">
        <v>0</v>
      </c>
      <c r="TF38">
        <v>0</v>
      </c>
      <c r="TG38">
        <v>0</v>
      </c>
      <c r="TH38">
        <v>0</v>
      </c>
      <c r="TI38">
        <v>0</v>
      </c>
      <c r="TJ38">
        <v>0</v>
      </c>
      <c r="TK38">
        <v>0</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v>
      </c>
      <c r="WF38">
        <v>0</v>
      </c>
      <c r="WG38">
        <v>0</v>
      </c>
      <c r="WH38">
        <v>0</v>
      </c>
      <c r="WI38">
        <v>0</v>
      </c>
      <c r="WJ38">
        <v>0</v>
      </c>
      <c r="WK38">
        <v>0</v>
      </c>
      <c r="WL38">
        <v>0</v>
      </c>
      <c r="WM38">
        <v>0</v>
      </c>
      <c r="WN38">
        <v>0</v>
      </c>
      <c r="WO38">
        <v>0</v>
      </c>
      <c r="WP38">
        <v>0</v>
      </c>
      <c r="WQ38">
        <v>0</v>
      </c>
      <c r="WR38">
        <v>0</v>
      </c>
      <c r="WS38">
        <v>0</v>
      </c>
      <c r="WT38">
        <v>0</v>
      </c>
      <c r="WU38">
        <v>0</v>
      </c>
      <c r="WV38">
        <v>0</v>
      </c>
      <c r="WW38">
        <v>0</v>
      </c>
      <c r="WX38">
        <v>0</v>
      </c>
      <c r="WY38">
        <v>0</v>
      </c>
      <c r="WZ38">
        <v>0</v>
      </c>
      <c r="XA38">
        <v>0</v>
      </c>
      <c r="XB38">
        <v>0</v>
      </c>
      <c r="XC38">
        <v>0</v>
      </c>
      <c r="XD38">
        <v>0</v>
      </c>
      <c r="XE38">
        <v>0</v>
      </c>
      <c r="XF38">
        <v>0</v>
      </c>
      <c r="XG38">
        <v>0</v>
      </c>
      <c r="XH38">
        <v>0</v>
      </c>
      <c r="XI38">
        <v>0</v>
      </c>
      <c r="XJ38">
        <v>0</v>
      </c>
      <c r="XK38">
        <v>0</v>
      </c>
      <c r="XL38">
        <v>0</v>
      </c>
      <c r="XM38">
        <v>0</v>
      </c>
      <c r="XN38">
        <v>0</v>
      </c>
      <c r="XO38">
        <v>0</v>
      </c>
      <c r="XP38">
        <v>0</v>
      </c>
      <c r="XQ38">
        <v>0</v>
      </c>
      <c r="XR38">
        <v>0</v>
      </c>
      <c r="XS38">
        <v>0</v>
      </c>
      <c r="XT38">
        <v>0</v>
      </c>
      <c r="XU38">
        <v>0</v>
      </c>
      <c r="XV38">
        <v>0</v>
      </c>
      <c r="XW38">
        <v>0</v>
      </c>
      <c r="XX38">
        <v>0</v>
      </c>
      <c r="XY38">
        <v>0</v>
      </c>
      <c r="XZ38">
        <v>0</v>
      </c>
      <c r="YA38">
        <v>0</v>
      </c>
      <c r="YB38">
        <v>0</v>
      </c>
      <c r="YC38">
        <v>0</v>
      </c>
      <c r="YD38">
        <v>0</v>
      </c>
      <c r="YE38">
        <v>0</v>
      </c>
      <c r="YF38">
        <v>0</v>
      </c>
      <c r="YG38">
        <v>0</v>
      </c>
      <c r="YH38">
        <v>0</v>
      </c>
      <c r="YI38">
        <v>0</v>
      </c>
      <c r="YJ38">
        <v>0</v>
      </c>
      <c r="YK38">
        <v>0</v>
      </c>
      <c r="YL38">
        <v>0</v>
      </c>
      <c r="YM38">
        <v>0</v>
      </c>
      <c r="YN38">
        <v>0</v>
      </c>
      <c r="YO38">
        <v>0</v>
      </c>
      <c r="YP38">
        <v>0</v>
      </c>
      <c r="YQ38">
        <v>0</v>
      </c>
      <c r="YR38">
        <v>0</v>
      </c>
      <c r="YS38">
        <v>0</v>
      </c>
      <c r="YT38">
        <v>0</v>
      </c>
      <c r="YU38">
        <v>0</v>
      </c>
      <c r="YV38">
        <v>0</v>
      </c>
      <c r="YW38">
        <v>0</v>
      </c>
      <c r="YX38">
        <v>0</v>
      </c>
      <c r="YY38">
        <v>0</v>
      </c>
      <c r="YZ38">
        <v>0</v>
      </c>
      <c r="ZA38">
        <v>0</v>
      </c>
      <c r="ZB38">
        <v>0</v>
      </c>
      <c r="ZC38">
        <v>0</v>
      </c>
      <c r="ZD38">
        <v>0</v>
      </c>
      <c r="ZE38">
        <v>0</v>
      </c>
      <c r="ZF38">
        <v>0</v>
      </c>
      <c r="ZG38">
        <v>0</v>
      </c>
      <c r="ZH38">
        <v>0</v>
      </c>
      <c r="ZI38">
        <v>0</v>
      </c>
      <c r="ZJ38">
        <v>0</v>
      </c>
      <c r="ZK38">
        <v>0</v>
      </c>
      <c r="ZL38">
        <v>0</v>
      </c>
      <c r="ZM38">
        <v>0</v>
      </c>
      <c r="ZN38">
        <v>0</v>
      </c>
      <c r="ZO38">
        <v>0</v>
      </c>
      <c r="ZP38">
        <v>0</v>
      </c>
      <c r="ZQ38">
        <v>0</v>
      </c>
      <c r="ZR38">
        <v>0</v>
      </c>
      <c r="ZS38">
        <v>0</v>
      </c>
      <c r="ZT38">
        <v>0</v>
      </c>
      <c r="ZU38">
        <v>0</v>
      </c>
      <c r="ZV38">
        <v>0</v>
      </c>
      <c r="ZW38">
        <v>0</v>
      </c>
      <c r="ZX38">
        <v>0</v>
      </c>
      <c r="ZY38">
        <v>0</v>
      </c>
      <c r="ZZ38">
        <v>0</v>
      </c>
      <c r="AAA38">
        <v>0</v>
      </c>
      <c r="AAB38">
        <v>0</v>
      </c>
      <c r="AAC38">
        <v>0</v>
      </c>
      <c r="AAD38">
        <v>0</v>
      </c>
      <c r="AAE38">
        <v>0</v>
      </c>
      <c r="AAF38">
        <v>0</v>
      </c>
      <c r="AAG38">
        <v>0</v>
      </c>
      <c r="AAH38">
        <v>0</v>
      </c>
      <c r="AAI38">
        <v>0</v>
      </c>
      <c r="AAJ38">
        <v>0</v>
      </c>
      <c r="AAK38">
        <v>0</v>
      </c>
      <c r="AAL38">
        <v>0</v>
      </c>
      <c r="AAM38">
        <v>0</v>
      </c>
      <c r="AAN38">
        <v>0</v>
      </c>
      <c r="AAO38">
        <v>0</v>
      </c>
      <c r="AAP38">
        <v>0</v>
      </c>
      <c r="AAQ38">
        <v>0</v>
      </c>
      <c r="AAR38">
        <v>0</v>
      </c>
      <c r="AAS38">
        <v>0</v>
      </c>
      <c r="AAT38">
        <v>0</v>
      </c>
      <c r="AAU38">
        <v>0</v>
      </c>
      <c r="AAV38">
        <v>0</v>
      </c>
      <c r="AAW38">
        <v>0</v>
      </c>
      <c r="AAX38">
        <v>0</v>
      </c>
      <c r="AAY38">
        <v>0</v>
      </c>
      <c r="AAZ38">
        <v>0</v>
      </c>
      <c r="ABA38">
        <v>0</v>
      </c>
      <c r="ABB38">
        <v>0</v>
      </c>
      <c r="ABC38">
        <v>0</v>
      </c>
      <c r="ABD38">
        <v>0</v>
      </c>
      <c r="ABE38">
        <v>0</v>
      </c>
      <c r="ABF38">
        <v>0</v>
      </c>
      <c r="ABG38">
        <v>0</v>
      </c>
      <c r="ABH38">
        <v>0</v>
      </c>
      <c r="ABI38">
        <v>0</v>
      </c>
      <c r="ABJ38">
        <v>0</v>
      </c>
      <c r="ABK38">
        <v>0</v>
      </c>
      <c r="ABL38">
        <v>0</v>
      </c>
      <c r="ABM38">
        <v>0</v>
      </c>
      <c r="ABN38">
        <v>0</v>
      </c>
      <c r="ABO38">
        <v>0</v>
      </c>
      <c r="ABP38">
        <v>0</v>
      </c>
      <c r="ABQ38">
        <v>0</v>
      </c>
      <c r="ABR38">
        <v>0</v>
      </c>
      <c r="ABS38">
        <v>0</v>
      </c>
      <c r="ABT38">
        <v>0</v>
      </c>
      <c r="ABU38">
        <v>0</v>
      </c>
      <c r="ABV38">
        <v>0</v>
      </c>
      <c r="ABW38">
        <v>0</v>
      </c>
      <c r="ABX38">
        <v>0</v>
      </c>
      <c r="ABY38">
        <v>0</v>
      </c>
      <c r="ABZ38">
        <v>0</v>
      </c>
      <c r="ACA38">
        <v>0</v>
      </c>
      <c r="ACB38">
        <v>0</v>
      </c>
      <c r="ACC38">
        <v>0</v>
      </c>
      <c r="ACD38">
        <v>0</v>
      </c>
      <c r="ACE38">
        <v>0</v>
      </c>
      <c r="ACF38">
        <v>0</v>
      </c>
      <c r="ACG38">
        <v>0</v>
      </c>
      <c r="ACH38">
        <v>0</v>
      </c>
      <c r="ACI38">
        <v>0</v>
      </c>
      <c r="ACJ38">
        <v>0</v>
      </c>
      <c r="ACK38">
        <v>0</v>
      </c>
      <c r="ACL38">
        <v>0</v>
      </c>
      <c r="ACM38">
        <v>0</v>
      </c>
      <c r="ACN38">
        <v>0</v>
      </c>
      <c r="ACO38">
        <v>0</v>
      </c>
      <c r="ACP38">
        <v>0</v>
      </c>
      <c r="ACQ38">
        <v>0</v>
      </c>
      <c r="ACR38">
        <v>0</v>
      </c>
      <c r="ACS38">
        <v>0</v>
      </c>
      <c r="ACT38">
        <v>0</v>
      </c>
      <c r="ACU38">
        <v>0</v>
      </c>
      <c r="ACV38">
        <v>0</v>
      </c>
      <c r="ACW38">
        <v>0</v>
      </c>
      <c r="ACX38">
        <v>0</v>
      </c>
      <c r="ACY38">
        <v>0</v>
      </c>
      <c r="ACZ38">
        <v>0</v>
      </c>
      <c r="ADA38">
        <v>0</v>
      </c>
      <c r="ADB38">
        <v>0</v>
      </c>
      <c r="ADC38">
        <v>0</v>
      </c>
      <c r="ADD38">
        <v>0</v>
      </c>
      <c r="ADE38">
        <v>0</v>
      </c>
      <c r="ADF38">
        <v>0</v>
      </c>
      <c r="ADG38">
        <v>0</v>
      </c>
      <c r="ADH38">
        <v>0</v>
      </c>
      <c r="ADI38">
        <v>0</v>
      </c>
      <c r="ADJ38">
        <v>0</v>
      </c>
      <c r="ADK38">
        <v>0</v>
      </c>
      <c r="ADL38">
        <v>0</v>
      </c>
      <c r="ADM38">
        <v>0</v>
      </c>
      <c r="ADN38">
        <v>0</v>
      </c>
      <c r="ADO38">
        <v>0</v>
      </c>
      <c r="ADP38">
        <v>0</v>
      </c>
      <c r="ADQ38">
        <v>0</v>
      </c>
      <c r="ADR38">
        <v>0</v>
      </c>
      <c r="ADS38">
        <v>0</v>
      </c>
      <c r="ADT38">
        <v>0</v>
      </c>
      <c r="ADU38">
        <v>0</v>
      </c>
      <c r="ADV38">
        <v>0</v>
      </c>
      <c r="ADW38">
        <v>0</v>
      </c>
      <c r="ADX38">
        <v>0</v>
      </c>
      <c r="ADY38">
        <v>0</v>
      </c>
      <c r="ADZ38">
        <v>0</v>
      </c>
      <c r="AEA38">
        <v>0</v>
      </c>
      <c r="AEB38">
        <v>0</v>
      </c>
      <c r="AEC38">
        <v>0</v>
      </c>
      <c r="AED38">
        <v>0</v>
      </c>
      <c r="AEE38">
        <v>0</v>
      </c>
      <c r="AEF38">
        <v>0</v>
      </c>
      <c r="AEG38">
        <v>0</v>
      </c>
      <c r="AEH38">
        <v>0</v>
      </c>
      <c r="AEI38">
        <v>0</v>
      </c>
      <c r="AEJ38">
        <v>0</v>
      </c>
      <c r="AEK38">
        <v>0</v>
      </c>
      <c r="AEL38">
        <v>0</v>
      </c>
      <c r="AEM38">
        <v>0</v>
      </c>
      <c r="AEN38">
        <v>0</v>
      </c>
      <c r="AEO38">
        <v>0</v>
      </c>
      <c r="AEP38">
        <v>0</v>
      </c>
      <c r="AEQ38">
        <v>0</v>
      </c>
      <c r="AER38">
        <v>0</v>
      </c>
      <c r="AES38">
        <v>0</v>
      </c>
      <c r="AET38">
        <v>0</v>
      </c>
      <c r="AEU38">
        <v>0</v>
      </c>
      <c r="AEV38">
        <v>0</v>
      </c>
      <c r="AEW38">
        <v>0</v>
      </c>
      <c r="AEX38">
        <v>0</v>
      </c>
      <c r="AEY38">
        <v>0</v>
      </c>
      <c r="AEZ38">
        <v>0</v>
      </c>
      <c r="AFA38">
        <v>0</v>
      </c>
      <c r="AFB38">
        <v>0</v>
      </c>
      <c r="AFC38">
        <v>0</v>
      </c>
      <c r="AFD38">
        <v>0</v>
      </c>
      <c r="AFE38">
        <v>0</v>
      </c>
      <c r="AFF38">
        <v>0</v>
      </c>
      <c r="AFG38">
        <v>0</v>
      </c>
      <c r="AFH38">
        <v>0</v>
      </c>
      <c r="AFI38">
        <v>0</v>
      </c>
      <c r="AFJ38">
        <v>0</v>
      </c>
      <c r="AFK38">
        <v>0</v>
      </c>
      <c r="AFL38">
        <v>0</v>
      </c>
      <c r="AFM38">
        <v>0</v>
      </c>
      <c r="AFN38">
        <v>0</v>
      </c>
      <c r="AFO38">
        <v>0</v>
      </c>
      <c r="AFP38">
        <v>0</v>
      </c>
      <c r="AFQ38">
        <v>0</v>
      </c>
      <c r="AFR38">
        <v>0</v>
      </c>
      <c r="AFS38">
        <v>0</v>
      </c>
      <c r="AFT38">
        <v>0</v>
      </c>
      <c r="AFU38">
        <v>0</v>
      </c>
      <c r="AFV38">
        <v>0</v>
      </c>
      <c r="AFW38">
        <v>0</v>
      </c>
      <c r="AFX38">
        <v>0</v>
      </c>
      <c r="AFY38">
        <v>0</v>
      </c>
      <c r="AFZ38">
        <v>0</v>
      </c>
      <c r="AGA38">
        <v>0</v>
      </c>
      <c r="AGB38">
        <v>0</v>
      </c>
      <c r="AGC38">
        <v>0</v>
      </c>
      <c r="AGD38">
        <v>0</v>
      </c>
      <c r="AGE38">
        <v>0</v>
      </c>
      <c r="AGF38">
        <v>0</v>
      </c>
      <c r="AGG38">
        <v>0</v>
      </c>
      <c r="AGH38">
        <v>0</v>
      </c>
      <c r="AGI38">
        <v>0</v>
      </c>
      <c r="AGJ38">
        <v>0</v>
      </c>
      <c r="AGK38">
        <v>0</v>
      </c>
      <c r="AGL38">
        <v>0</v>
      </c>
      <c r="AGM38">
        <v>0</v>
      </c>
      <c r="AGN38">
        <v>0</v>
      </c>
      <c r="AGO38">
        <v>0</v>
      </c>
      <c r="AGP38">
        <v>0</v>
      </c>
      <c r="AGQ38">
        <v>0</v>
      </c>
      <c r="AGR38">
        <v>0</v>
      </c>
      <c r="AGS38">
        <v>0</v>
      </c>
      <c r="AGT38">
        <v>0</v>
      </c>
      <c r="AGU38">
        <v>0</v>
      </c>
      <c r="AGV38">
        <v>0</v>
      </c>
      <c r="AGW38">
        <v>0</v>
      </c>
      <c r="AGX38">
        <v>0</v>
      </c>
      <c r="AGY38">
        <v>0</v>
      </c>
      <c r="AGZ38">
        <v>0</v>
      </c>
      <c r="AHA38">
        <v>0</v>
      </c>
      <c r="AHB38">
        <v>0</v>
      </c>
      <c r="AHC38">
        <v>0</v>
      </c>
      <c r="AHD38">
        <v>0</v>
      </c>
      <c r="AHE38">
        <v>0</v>
      </c>
      <c r="AHF38">
        <v>0</v>
      </c>
      <c r="AHG38">
        <v>0</v>
      </c>
      <c r="AHH38">
        <v>0</v>
      </c>
      <c r="AHI38">
        <v>0</v>
      </c>
      <c r="AHJ38">
        <v>0</v>
      </c>
      <c r="AHK38">
        <v>0</v>
      </c>
      <c r="AHL38">
        <v>0</v>
      </c>
      <c r="AHM38">
        <v>0</v>
      </c>
      <c r="AHN38">
        <v>0</v>
      </c>
      <c r="AHO38">
        <v>0</v>
      </c>
      <c r="AHP38">
        <v>0</v>
      </c>
      <c r="AHQ38">
        <v>0</v>
      </c>
      <c r="AHR38">
        <v>0</v>
      </c>
      <c r="AHS38">
        <v>0</v>
      </c>
      <c r="AHT38">
        <v>0</v>
      </c>
      <c r="AHU38">
        <v>0</v>
      </c>
      <c r="AHV38">
        <v>0</v>
      </c>
      <c r="AHW38">
        <v>0</v>
      </c>
      <c r="AHX38">
        <v>0</v>
      </c>
      <c r="AHY38">
        <v>0</v>
      </c>
      <c r="AHZ38">
        <v>0</v>
      </c>
      <c r="AIA38">
        <v>0</v>
      </c>
      <c r="AIB38">
        <v>0</v>
      </c>
      <c r="AIC38">
        <v>0</v>
      </c>
      <c r="AID38">
        <v>0</v>
      </c>
      <c r="AIE38">
        <v>0</v>
      </c>
      <c r="AIF38">
        <v>0</v>
      </c>
      <c r="AIG38">
        <v>0</v>
      </c>
      <c r="AIH38">
        <v>0</v>
      </c>
      <c r="AII38">
        <v>0</v>
      </c>
      <c r="AIJ38">
        <v>0</v>
      </c>
      <c r="AIK38">
        <v>0</v>
      </c>
      <c r="AIL38">
        <v>0</v>
      </c>
      <c r="AIM38">
        <v>0</v>
      </c>
      <c r="AIN38">
        <v>0</v>
      </c>
      <c r="AIO38">
        <v>0</v>
      </c>
      <c r="AIP38">
        <v>0</v>
      </c>
      <c r="AIQ38">
        <v>0</v>
      </c>
      <c r="AIR38">
        <v>0</v>
      </c>
      <c r="AIS38">
        <v>0</v>
      </c>
      <c r="AIT38">
        <v>0</v>
      </c>
      <c r="AIU38">
        <v>0</v>
      </c>
      <c r="AIV38">
        <v>0</v>
      </c>
      <c r="AIW38">
        <v>0</v>
      </c>
      <c r="AIX38">
        <v>0</v>
      </c>
      <c r="AIY38">
        <v>0</v>
      </c>
      <c r="AIZ38">
        <v>0</v>
      </c>
      <c r="AJA38">
        <v>0</v>
      </c>
      <c r="AJB38">
        <v>0</v>
      </c>
      <c r="AJC38">
        <v>0</v>
      </c>
      <c r="AJD38">
        <v>0</v>
      </c>
      <c r="AJE38">
        <v>0</v>
      </c>
      <c r="AJF38">
        <v>0</v>
      </c>
      <c r="AJG38">
        <v>0</v>
      </c>
      <c r="AJH38">
        <v>0</v>
      </c>
      <c r="AJI38">
        <v>0</v>
      </c>
      <c r="AJJ38">
        <v>0</v>
      </c>
      <c r="AJK38">
        <v>0</v>
      </c>
      <c r="AJL38">
        <v>0</v>
      </c>
      <c r="AJM38">
        <v>0</v>
      </c>
      <c r="AJN38">
        <v>0</v>
      </c>
      <c r="AJO38">
        <v>0</v>
      </c>
      <c r="AJP38">
        <v>0</v>
      </c>
      <c r="AJQ38">
        <v>0</v>
      </c>
      <c r="AJR38">
        <v>0</v>
      </c>
      <c r="AJS38">
        <v>0</v>
      </c>
      <c r="AJT38">
        <v>0</v>
      </c>
      <c r="AJU38">
        <v>0</v>
      </c>
      <c r="AJV38">
        <v>0</v>
      </c>
      <c r="AJW38">
        <v>0</v>
      </c>
      <c r="AJX38">
        <v>0</v>
      </c>
      <c r="AJY38">
        <v>0</v>
      </c>
      <c r="AJZ38">
        <v>0</v>
      </c>
      <c r="AKA38">
        <v>0</v>
      </c>
      <c r="AKB38">
        <v>0</v>
      </c>
      <c r="AKC38">
        <v>0</v>
      </c>
      <c r="AKD38">
        <v>0</v>
      </c>
      <c r="AKE38">
        <v>0</v>
      </c>
      <c r="AKF38">
        <v>0</v>
      </c>
      <c r="AKG38">
        <v>0</v>
      </c>
      <c r="AKH38">
        <v>0</v>
      </c>
      <c r="AKI38">
        <v>0</v>
      </c>
      <c r="AKJ38">
        <v>0</v>
      </c>
      <c r="AKK38">
        <v>0</v>
      </c>
      <c r="AKL38">
        <v>0</v>
      </c>
      <c r="AKM38">
        <v>0</v>
      </c>
      <c r="AKN38">
        <v>0</v>
      </c>
      <c r="AKO38">
        <v>0</v>
      </c>
      <c r="AKP38">
        <v>0</v>
      </c>
      <c r="AKQ38">
        <v>0</v>
      </c>
      <c r="AKR38">
        <v>0</v>
      </c>
      <c r="AKS38">
        <v>0</v>
      </c>
      <c r="AKT38">
        <v>0</v>
      </c>
      <c r="AKU38">
        <v>0</v>
      </c>
      <c r="AKV38">
        <v>0</v>
      </c>
      <c r="AKW38">
        <v>0</v>
      </c>
      <c r="AKX38">
        <v>0</v>
      </c>
      <c r="AKY38">
        <v>0</v>
      </c>
      <c r="AKZ38">
        <v>0</v>
      </c>
      <c r="ALA38">
        <v>0</v>
      </c>
      <c r="ALB38">
        <v>0</v>
      </c>
      <c r="ALC38">
        <v>0</v>
      </c>
      <c r="ALD38">
        <v>0</v>
      </c>
      <c r="ALE38">
        <v>0</v>
      </c>
      <c r="ALF38">
        <v>0</v>
      </c>
      <c r="ALG38">
        <v>0</v>
      </c>
      <c r="ALH38">
        <v>0</v>
      </c>
      <c r="ALI38">
        <v>0</v>
      </c>
      <c r="ALJ38">
        <v>0</v>
      </c>
      <c r="ALK38">
        <v>0</v>
      </c>
      <c r="ALL38">
        <v>0</v>
      </c>
      <c r="ALM38">
        <v>0</v>
      </c>
      <c r="ALN38">
        <v>0</v>
      </c>
      <c r="ALO38">
        <v>0</v>
      </c>
      <c r="ALP38">
        <v>0</v>
      </c>
      <c r="ALQ38">
        <v>0</v>
      </c>
    </row>
    <row r="39" spans="1:1005" ht="154">
      <c r="A39" s="365" t="s">
        <v>1145</v>
      </c>
      <c r="B39" s="366" t="s">
        <v>50</v>
      </c>
      <c r="C39" s="383" t="s">
        <v>1217</v>
      </c>
      <c r="D39" s="381" t="s">
        <v>1222</v>
      </c>
      <c r="E39" s="382" t="s">
        <v>412</v>
      </c>
      <c r="F39" t="str">
        <f t="array" ref="F39:ALQ39" ca="1">TRANSPOSE(Filtered!AJ2:AJ1005)</f>
        <v>Yes, in the reference list</v>
      </c>
      <c r="G39" t="str">
        <f ca="1"/>
        <v>Unsure</v>
      </c>
      <c r="H39" t="str">
        <f ca="1"/>
        <v>Unsure</v>
      </c>
      <c r="I39" t="str">
        <f ca="1"/>
        <v>Unsure</v>
      </c>
      <c r="J39" t="str">
        <f ca="1"/>
        <v/>
      </c>
      <c r="K39" t="str">
        <f ca="1"/>
        <v>Not specified</v>
      </c>
      <c r="L39" t="str">
        <f ca="1"/>
        <v>Not specified</v>
      </c>
      <c r="M39" t="str">
        <f ca="1"/>
        <v>Not specified</v>
      </c>
      <c r="N39" t="str">
        <f ca="1"/>
        <v>Not specified</v>
      </c>
      <c r="O39" t="str">
        <f ca="1"/>
        <v>Not specified</v>
      </c>
      <c r="P39" t="str">
        <f ca="1"/>
        <v>Not specified</v>
      </c>
      <c r="Q39" t="str">
        <f ca="1"/>
        <v/>
      </c>
      <c r="R39" t="str">
        <f ca="1"/>
        <v>Unsure</v>
      </c>
      <c r="S39" t="str">
        <f ca="1"/>
        <v>Yes, in the reference list</v>
      </c>
      <c r="T39" t="str">
        <f ca="1"/>
        <v>Yes, in the reference list</v>
      </c>
      <c r="U39" t="str">
        <f ca="1"/>
        <v>Yes, but only in the text (not the reference list)</v>
      </c>
      <c r="V39" t="str">
        <f ca="1"/>
        <v>Yes, but only in the text</v>
      </c>
      <c r="W39" t="str">
        <f ca="1"/>
        <v>Not specified</v>
      </c>
      <c r="X39" t="str">
        <f ca="1"/>
        <v>Not specified</v>
      </c>
      <c r="Y39" t="str">
        <f ca="1"/>
        <v>Not specified</v>
      </c>
      <c r="Z39" t="str">
        <f ca="1"/>
        <v/>
      </c>
      <c r="AA39" t="str">
        <f ca="1"/>
        <v>Not specified</v>
      </c>
      <c r="AB39" t="str">
        <f ca="1"/>
        <v>Not specified</v>
      </c>
      <c r="AC39" t="str">
        <f ca="1"/>
        <v>Not specified</v>
      </c>
      <c r="AD39" t="str">
        <f ca="1"/>
        <v/>
      </c>
      <c r="AE39" t="str">
        <f ca="1"/>
        <v>Not specified</v>
      </c>
      <c r="AF39" t="str">
        <f ca="1"/>
        <v>Not specified</v>
      </c>
      <c r="AG39" t="str">
        <f ca="1"/>
        <v>Not specified</v>
      </c>
      <c r="AH39" t="str">
        <f ca="1"/>
        <v>Not specified</v>
      </c>
      <c r="AI39" t="str">
        <f ca="1"/>
        <v>Not specified</v>
      </c>
      <c r="AJ39" t="str">
        <f ca="1"/>
        <v>Not specified</v>
      </c>
      <c r="AK39" t="str">
        <f ca="1"/>
        <v>Yes, in the reference list</v>
      </c>
      <c r="AL39" t="str">
        <f ca="1"/>
        <v>No</v>
      </c>
      <c r="AM39" t="str">
        <f ca="1"/>
        <v>Yes, in the reference list</v>
      </c>
      <c r="AN39" t="str">
        <f ca="1"/>
        <v>Unsure</v>
      </c>
      <c r="AO39" t="str">
        <f ca="1"/>
        <v>No</v>
      </c>
      <c r="AP39" t="str">
        <f ca="1"/>
        <v>No</v>
      </c>
      <c r="AQ39" t="str">
        <f ca="1"/>
        <v>Not specified</v>
      </c>
      <c r="AR39" t="str">
        <f ca="1"/>
        <v>Yes, but only in the text (not the reference list)</v>
      </c>
      <c r="AS39" t="str">
        <f ca="1"/>
        <v>Not specified</v>
      </c>
      <c r="AT39" t="str">
        <f ca="1"/>
        <v/>
      </c>
      <c r="AU39" t="str">
        <f ca="1"/>
        <v>Not specified</v>
      </c>
      <c r="AV39" t="str">
        <f ca="1"/>
        <v>Not specified</v>
      </c>
      <c r="AW39" t="str">
        <f ca="1"/>
        <v>Other; Any references in publications that would be difficult for most reviewers to obtain or are
 unpublished should be uploaded as Information for Review Only. DOI numbers are helpful but not mandatory
 unless they are the only identifying information available (e.g., for recently published articles). - https://pubs.acs.org/paragonplus/submission/esthag/esthag_authguide.pdf</v>
      </c>
      <c r="AX39" t="str">
        <f ca="1"/>
        <v>Unsure - https://academic.oup.com/eurheartj/pages/General_Instructions#2.4</v>
      </c>
      <c r="AY39" t="str">
        <f ca="1"/>
        <v>Not specified</v>
      </c>
      <c r="AZ39" t="str">
        <f ca="1"/>
        <v>Not specified</v>
      </c>
      <c r="BA39" t="str">
        <f ca="1"/>
        <v>Not specified</v>
      </c>
      <c r="BB39" t="str">
        <f ca="1"/>
        <v>Not specified</v>
      </c>
      <c r="BC39" t="str">
        <f ca="1"/>
        <v>Not specified</v>
      </c>
      <c r="BD39" t="str">
        <f ca="1"/>
        <v>Unsure</v>
      </c>
      <c r="BE39" t="str">
        <f ca="1"/>
        <v>Not specified</v>
      </c>
      <c r="BF39" t="str">
        <f ca="1"/>
        <v>Not specified</v>
      </c>
      <c r="BG39" t="str">
        <f ca="1"/>
        <v>Not specified</v>
      </c>
      <c r="BH39" t="str">
        <f ca="1"/>
        <v>Not specified</v>
      </c>
      <c r="BI39" t="str">
        <f ca="1"/>
        <v>Not specified</v>
      </c>
      <c r="BJ39" t="str">
        <f ca="1"/>
        <v>Unsure</v>
      </c>
      <c r="BK39" t="str">
        <f ca="1"/>
        <v>Yes, in the reference list</v>
      </c>
      <c r="BL39" t="str">
        <f ca="1"/>
        <v>Not specified</v>
      </c>
      <c r="BM39" t="str">
        <f ca="1"/>
        <v>Not specified</v>
      </c>
      <c r="BN39" t="str">
        <f ca="1"/>
        <v/>
      </c>
      <c r="BO39" t="str">
        <f ca="1"/>
        <v>Not specified</v>
      </c>
      <c r="BP39" t="str">
        <f ca="1"/>
        <v>Not specified</v>
      </c>
      <c r="BQ39" t="str">
        <f ca="1"/>
        <v>Other: References should include only articles that are published or in press.</v>
      </c>
      <c r="BR39" t="str">
        <f ca="1"/>
        <v>Not specified</v>
      </c>
      <c r="BS39" t="str">
        <f ca="1"/>
        <v/>
      </c>
      <c r="BT39" t="str">
        <f ca="1"/>
        <v>Not specified</v>
      </c>
      <c r="BU39" t="str">
        <f ca="1"/>
        <v>Not specified</v>
      </c>
      <c r="BV39" t="str">
        <f ca="1"/>
        <v>Not specified</v>
      </c>
      <c r="BW39" t="str">
        <f ca="1"/>
        <v>Not specified</v>
      </c>
      <c r="BX39" t="str">
        <f ca="1"/>
        <v>Not specified</v>
      </c>
      <c r="BY39" t="str">
        <f ca="1"/>
        <v>Not specified</v>
      </c>
      <c r="BZ39" t="str">
        <f ca="1"/>
        <v>Not specified</v>
      </c>
      <c r="CA39" t="str">
        <f ca="1"/>
        <v/>
      </c>
      <c r="CB39" t="str">
        <f ca="1"/>
        <v>Unsure</v>
      </c>
      <c r="CC39" t="str">
        <f ca="1"/>
        <v>Not specified</v>
      </c>
      <c r="CD39" t="str">
        <f ca="1"/>
        <v>Not specified</v>
      </c>
      <c r="CE39" t="str">
        <f ca="1"/>
        <v>Not specified</v>
      </c>
      <c r="CF39" t="str">
        <f ca="1"/>
        <v>Other ("Citations to papers on the arxiv.org are allowed when other sources are not available." This is the only reference I found to citation of preprints, but it might not be restricted to arxiv)</v>
      </c>
      <c r="CG39" t="str">
        <f ca="1"/>
        <v>Not specified</v>
      </c>
      <c r="CH39" t="str">
        <f ca="1"/>
        <v>Yes, in the reference list</v>
      </c>
      <c r="CI39" t="str">
        <f ca="1"/>
        <v>Unsure</v>
      </c>
      <c r="CJ39" t="str">
        <f ca="1"/>
        <v>Yes, in the reference list</v>
      </c>
      <c r="CK39" t="str">
        <f ca="1"/>
        <v>Unsure</v>
      </c>
      <c r="CL39" t="str">
        <f ca="1"/>
        <v>Unsure</v>
      </c>
      <c r="CM39" t="str">
        <f ca="1"/>
        <v>Not specified</v>
      </c>
      <c r="CN39" t="str">
        <f ca="1"/>
        <v>Unsure</v>
      </c>
      <c r="CO39" t="str">
        <f ca="1"/>
        <v>Unsure</v>
      </c>
      <c r="CP39" t="str">
        <f ca="1"/>
        <v>Not specified</v>
      </c>
      <c r="CQ39" t="str">
        <f ca="1"/>
        <v>Not specified</v>
      </c>
      <c r="CR39" t="str">
        <f ca="1"/>
        <v>Not specified</v>
      </c>
      <c r="CS39" t="str">
        <f ca="1"/>
        <v>Not specified</v>
      </c>
      <c r="CT39" t="str">
        <f ca="1"/>
        <v/>
      </c>
      <c r="CU39" t="str">
        <f ca="1"/>
        <v>Not specified</v>
      </c>
      <c r="CV39" t="str">
        <f ca="1"/>
        <v>Not specified</v>
      </c>
      <c r="CW39" t="str">
        <f ca="1"/>
        <v>Not specified</v>
      </c>
      <c r="CX39" t="str">
        <f ca="1"/>
        <v>Yes, but only in the text (not in the reference list)</v>
      </c>
      <c r="CY39" t="str">
        <f ca="1"/>
        <v>Yes, in the reference list (https://academic.oup.com/mnras/pages/General_Instructions#6.3%20References%20and%20citations)</v>
      </c>
      <c r="CZ39" t="str">
        <f ca="1"/>
        <v>Yes, in the reference list (DOI should be provided)</v>
      </c>
      <c r="DA39" t="str">
        <f ca="1"/>
        <v/>
      </c>
      <c r="DB39" t="str">
        <f ca="1"/>
        <v>Yes, in the reference list.</v>
      </c>
      <c r="DC39" t="str">
        <f ca="1"/>
        <v>Yes, in the reference list</v>
      </c>
      <c r="DD39" t="str">
        <f ca="1"/>
        <v>Yes, in the reference list</v>
      </c>
      <c r="DE39" t="str">
        <f ca="1"/>
        <v>Yes, in the reference list</v>
      </c>
      <c r="DF39" t="str">
        <f ca="1"/>
        <v>Yes, in the reference list</v>
      </c>
      <c r="DG39" t="str">
        <f ca="1"/>
        <v>Yes, in the reference list.</v>
      </c>
      <c r="DH39" t="str">
        <f ca="1"/>
        <v>Yes, in the reference list</v>
      </c>
      <c r="DI39" t="str">
        <f ca="1"/>
        <v>Yes, in the reference list</v>
      </c>
      <c r="DJ39" t="str">
        <f ca="1"/>
        <v>Yes, in the reference list</v>
      </c>
      <c r="DK39" t="str">
        <f ca="1"/>
        <v>Yes, in the reference list</v>
      </c>
      <c r="DL39" t="str">
        <f ca="1"/>
        <v>Yes, in the reference list</v>
      </c>
      <c r="DM39" t="str">
        <f ca="1"/>
        <v>Yes, in the reference list</v>
      </c>
      <c r="DN39" t="str">
        <f ca="1"/>
        <v>Yes, in the reference list</v>
      </c>
      <c r="DO39" t="str">
        <f ca="1"/>
        <v>Yes, in the reference list</v>
      </c>
      <c r="DP39" t="str">
        <f ca="1"/>
        <v>Yes, in the reference list</v>
      </c>
      <c r="DQ39" t="str">
        <f ca="1"/>
        <v>Not specified</v>
      </c>
      <c r="DR39" t="str">
        <f ca="1"/>
        <v>Not specified</v>
      </c>
      <c r="DS39" t="str">
        <f ca="1"/>
        <v>Not specified</v>
      </c>
      <c r="DT39" t="str">
        <f ca="1"/>
        <v>Not specified</v>
      </c>
      <c r="DU39" t="str">
        <f ca="1"/>
        <v>Not specified</v>
      </c>
      <c r="DV39" t="str">
        <f ca="1"/>
        <v>Not specified</v>
      </c>
      <c r="DW39" t="str">
        <f ca="1"/>
        <v>Yes, in the reference list (assumed)</v>
      </c>
      <c r="DX39" t="str">
        <f ca="1"/>
        <v>Unsure</v>
      </c>
      <c r="DY39" t="str">
        <f ca="1"/>
        <v>Not specified</v>
      </c>
      <c r="DZ39" t="str">
        <f ca="1"/>
        <v>Not specified</v>
      </c>
      <c r="EA39" t="str">
        <f ca="1"/>
        <v>Yes, in the reference list</v>
      </c>
      <c r="EB39" t="str">
        <f ca="1"/>
        <v>Yes, in the reference list</v>
      </c>
      <c r="EC39" t="str">
        <f ca="1"/>
        <v>Yes, but only in the text</v>
      </c>
      <c r="ED39" t="str">
        <f ca="1"/>
        <v>Not specified</v>
      </c>
      <c r="EE39" t="str">
        <f ca="1"/>
        <v>Not specified</v>
      </c>
      <c r="EF39" t="str">
        <f ca="1"/>
        <v>Yes, but only in the text (not the reference list) - Author instructions https://www.springer.com/philosophy/journal/11098</v>
      </c>
      <c r="EG39" t="str">
        <f ca="1"/>
        <v>Yes, in the reference list (Authors may cite unpublished work, such as e-prints, preprints, internal reports, or results that have been reported only orally at meetings (even though an abstract may have been published).) https://journals.aps.org/prb/authors/editorial-policies-practices</v>
      </c>
      <c r="EH39" t="str">
        <f ca="1"/>
        <v>Yes, in the reference list (Authors may cite unpublished work, such as e-prints, preprints, internal reports, or results that have been reported only orally at meetings (even though an abstract may have been published).) https://journals.aps.org/prd/authors/editorial-policies-practices</v>
      </c>
      <c r="EI39" t="str">
        <f ca="1"/>
        <v>Unsure</v>
      </c>
      <c r="EJ39" t="str">
        <f ca="1"/>
        <v>Yes, in the reference list</v>
      </c>
      <c r="EK39" t="str">
        <f ca="1"/>
        <v>Not specified</v>
      </c>
      <c r="EL39" t="str">
        <f ca="1"/>
        <v>Yes, in reference list</v>
      </c>
      <c r="EM39" t="str">
        <f ca="1"/>
        <v>Not specified</v>
      </c>
      <c r="EN39" t="str">
        <f ca="1"/>
        <v>Not specified</v>
      </c>
      <c r="EO39" t="str">
        <f ca="1"/>
        <v>Not specified</v>
      </c>
      <c r="EP39" t="str">
        <f ca="1"/>
        <v>Not specified</v>
      </c>
      <c r="EQ39" t="str">
        <f ca="1"/>
        <v>Not specified</v>
      </c>
      <c r="ER39" t="str">
        <f ca="1"/>
        <v>Not specified</v>
      </c>
      <c r="ES39" t="str">
        <f ca="1"/>
        <v>Not specified</v>
      </c>
      <c r="ET39" t="str">
        <f ca="1"/>
        <v>Not specified</v>
      </c>
      <c r="EU39" t="str">
        <f ca="1"/>
        <v>Not specified</v>
      </c>
      <c r="EV39" t="str">
        <f ca="1"/>
        <v>Not specified</v>
      </c>
      <c r="EW39" t="str">
        <f ca="1"/>
        <v>Preprints may be cited in the reference list as below: Babichev, S.A., Ries, J. &amp; Lvovsky, A.I. Quantum scissors: teleportation of single-mode optical states by means of a nonlocal single photon. Preprint at http://arXiv.org/quant-ph/0208066 (2002).</v>
      </c>
      <c r="EX39" t="str">
        <f ca="1"/>
        <v>Unsure</v>
      </c>
      <c r="EY39" t="str">
        <f ca="1"/>
        <v>Yes</v>
      </c>
      <c r="EZ39" t="str">
        <f ca="1"/>
        <v>Not specified</v>
      </c>
      <c r="FA39" t="str">
        <f ca="1"/>
        <v>Not specified</v>
      </c>
      <c r="FB39" t="str">
        <f ca="1"/>
        <v>Not specified</v>
      </c>
      <c r="FC39" t="str">
        <f ca="1"/>
        <v>Unsure</v>
      </c>
      <c r="FD39" t="str">
        <f ca="1"/>
        <v>Unsure</v>
      </c>
      <c r="FE39" t="str">
        <f ca="1"/>
        <v>Unsure</v>
      </c>
      <c r="FF39" t="str">
        <f ca="1"/>
        <v>Unsure - http://ideas.cochrane.org/forums/326856-cochrane-style-manual/suggestions/18762079-referencing-preprints</v>
      </c>
      <c r="FG39" t="str">
        <f ca="1"/>
        <v>Unsure</v>
      </c>
      <c r="FH39" t="str">
        <f ca="1"/>
        <v>Unsure</v>
      </c>
      <c r="FI39" t="str">
        <f ca="1"/>
        <v>Unsure</v>
      </c>
      <c r="FJ39" t="str">
        <f ca="1"/>
        <v>Unsure</v>
      </c>
      <c r="FK39" t="str">
        <f ca="1"/>
        <v>Not specified</v>
      </c>
      <c r="FL39" t="str">
        <f ca="1"/>
        <v>Not specified</v>
      </c>
      <c r="FM39" t="str">
        <f ca="1"/>
        <v>Not specified</v>
      </c>
      <c r="FN39" t="str">
        <f ca="1"/>
        <v>Not specified</v>
      </c>
      <c r="FO39" t="str">
        <f ca="1"/>
        <v>Not specified</v>
      </c>
      <c r="FP39" t="str">
        <f ca="1"/>
        <v>Not specified</v>
      </c>
      <c r="FQ39" t="str">
        <f ca="1"/>
        <v>Not specified</v>
      </c>
      <c r="FR39" t="str">
        <f ca="1"/>
        <v>Not specified</v>
      </c>
      <c r="FS39" t="str">
        <f ca="1"/>
        <v>Unsure</v>
      </c>
      <c r="FT39" t="str">
        <f ca="1"/>
        <v>Not specified</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0</v>
      </c>
      <c r="MR39">
        <v>0</v>
      </c>
      <c r="MS39">
        <v>0</v>
      </c>
      <c r="MT39">
        <v>0</v>
      </c>
      <c r="MU39">
        <v>0</v>
      </c>
      <c r="MV39">
        <v>0</v>
      </c>
      <c r="MW39">
        <v>0</v>
      </c>
      <c r="MX39">
        <v>0</v>
      </c>
      <c r="MY39">
        <v>0</v>
      </c>
      <c r="MZ39">
        <v>0</v>
      </c>
      <c r="NA39">
        <v>0</v>
      </c>
      <c r="NB39">
        <v>0</v>
      </c>
      <c r="NC39">
        <v>0</v>
      </c>
      <c r="ND39">
        <v>0</v>
      </c>
      <c r="NE39">
        <v>0</v>
      </c>
      <c r="NF39">
        <v>0</v>
      </c>
      <c r="NG39">
        <v>0</v>
      </c>
      <c r="NH39">
        <v>0</v>
      </c>
      <c r="NI39">
        <v>0</v>
      </c>
      <c r="NJ39">
        <v>0</v>
      </c>
      <c r="NK39">
        <v>0</v>
      </c>
      <c r="NL39">
        <v>0</v>
      </c>
      <c r="NM39">
        <v>0</v>
      </c>
      <c r="NN39">
        <v>0</v>
      </c>
      <c r="NO39">
        <v>0</v>
      </c>
      <c r="NP39">
        <v>0</v>
      </c>
      <c r="NQ39">
        <v>0</v>
      </c>
      <c r="NR39">
        <v>0</v>
      </c>
      <c r="NS39">
        <v>0</v>
      </c>
      <c r="NT39">
        <v>0</v>
      </c>
      <c r="NU39">
        <v>0</v>
      </c>
      <c r="NV39">
        <v>0</v>
      </c>
      <c r="NW39">
        <v>0</v>
      </c>
      <c r="NX39">
        <v>0</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0</v>
      </c>
      <c r="OU39">
        <v>0</v>
      </c>
      <c r="OV39">
        <v>0</v>
      </c>
      <c r="OW39">
        <v>0</v>
      </c>
      <c r="OX39">
        <v>0</v>
      </c>
      <c r="OY39">
        <v>0</v>
      </c>
      <c r="OZ39">
        <v>0</v>
      </c>
      <c r="PA39">
        <v>0</v>
      </c>
      <c r="PB39">
        <v>0</v>
      </c>
      <c r="PC39">
        <v>0</v>
      </c>
      <c r="PD39">
        <v>0</v>
      </c>
      <c r="PE39">
        <v>0</v>
      </c>
      <c r="PF39">
        <v>0</v>
      </c>
      <c r="PG39">
        <v>0</v>
      </c>
      <c r="PH39">
        <v>0</v>
      </c>
      <c r="PI39">
        <v>0</v>
      </c>
      <c r="PJ39">
        <v>0</v>
      </c>
      <c r="PK39">
        <v>0</v>
      </c>
      <c r="PL39">
        <v>0</v>
      </c>
      <c r="PM39">
        <v>0</v>
      </c>
      <c r="PN39">
        <v>0</v>
      </c>
      <c r="PO39">
        <v>0</v>
      </c>
      <c r="PP39">
        <v>0</v>
      </c>
      <c r="PQ39">
        <v>0</v>
      </c>
      <c r="PR39">
        <v>0</v>
      </c>
      <c r="PS39">
        <v>0</v>
      </c>
      <c r="PT39">
        <v>0</v>
      </c>
      <c r="PU39">
        <v>0</v>
      </c>
      <c r="PV39">
        <v>0</v>
      </c>
      <c r="PW39">
        <v>0</v>
      </c>
      <c r="PX39">
        <v>0</v>
      </c>
      <c r="PY39">
        <v>0</v>
      </c>
      <c r="PZ39">
        <v>0</v>
      </c>
      <c r="QA39">
        <v>0</v>
      </c>
      <c r="QB39">
        <v>0</v>
      </c>
      <c r="QC39">
        <v>0</v>
      </c>
      <c r="QD39">
        <v>0</v>
      </c>
      <c r="QE39">
        <v>0</v>
      </c>
      <c r="QF39">
        <v>0</v>
      </c>
      <c r="QG39">
        <v>0</v>
      </c>
      <c r="QH39">
        <v>0</v>
      </c>
      <c r="QI39">
        <v>0</v>
      </c>
      <c r="QJ39">
        <v>0</v>
      </c>
      <c r="QK39">
        <v>0</v>
      </c>
      <c r="QL39">
        <v>0</v>
      </c>
      <c r="QM39">
        <v>0</v>
      </c>
      <c r="QN39">
        <v>0</v>
      </c>
      <c r="QO39">
        <v>0</v>
      </c>
      <c r="QP39">
        <v>0</v>
      </c>
      <c r="QQ39">
        <v>0</v>
      </c>
      <c r="QR39">
        <v>0</v>
      </c>
      <c r="QS39">
        <v>0</v>
      </c>
      <c r="QT39">
        <v>0</v>
      </c>
      <c r="QU39">
        <v>0</v>
      </c>
      <c r="QV39">
        <v>0</v>
      </c>
      <c r="QW39">
        <v>0</v>
      </c>
      <c r="QX39">
        <v>0</v>
      </c>
      <c r="QY39">
        <v>0</v>
      </c>
      <c r="QZ39">
        <v>0</v>
      </c>
      <c r="RA39">
        <v>0</v>
      </c>
      <c r="RB39">
        <v>0</v>
      </c>
      <c r="RC39">
        <v>0</v>
      </c>
      <c r="RD39">
        <v>0</v>
      </c>
      <c r="RE39">
        <v>0</v>
      </c>
      <c r="RF39">
        <v>0</v>
      </c>
      <c r="RG39">
        <v>0</v>
      </c>
      <c r="RH39">
        <v>0</v>
      </c>
      <c r="RI39">
        <v>0</v>
      </c>
      <c r="RJ39">
        <v>0</v>
      </c>
      <c r="RK39">
        <v>0</v>
      </c>
      <c r="RL39">
        <v>0</v>
      </c>
      <c r="RM39">
        <v>0</v>
      </c>
      <c r="RN39">
        <v>0</v>
      </c>
      <c r="RO39">
        <v>0</v>
      </c>
      <c r="RP39">
        <v>0</v>
      </c>
      <c r="RQ39">
        <v>0</v>
      </c>
      <c r="RR39">
        <v>0</v>
      </c>
      <c r="RS39">
        <v>0</v>
      </c>
      <c r="RT39">
        <v>0</v>
      </c>
      <c r="RU39">
        <v>0</v>
      </c>
      <c r="RV39">
        <v>0</v>
      </c>
      <c r="RW39">
        <v>0</v>
      </c>
      <c r="RX39">
        <v>0</v>
      </c>
      <c r="RY39">
        <v>0</v>
      </c>
      <c r="RZ39">
        <v>0</v>
      </c>
      <c r="SA39">
        <v>0</v>
      </c>
      <c r="SB39">
        <v>0</v>
      </c>
      <c r="SC39">
        <v>0</v>
      </c>
      <c r="SD39">
        <v>0</v>
      </c>
      <c r="SE39">
        <v>0</v>
      </c>
      <c r="SF39">
        <v>0</v>
      </c>
      <c r="SG39">
        <v>0</v>
      </c>
      <c r="SH39">
        <v>0</v>
      </c>
      <c r="SI39">
        <v>0</v>
      </c>
      <c r="SJ39">
        <v>0</v>
      </c>
      <c r="SK39">
        <v>0</v>
      </c>
      <c r="SL39">
        <v>0</v>
      </c>
      <c r="SM39">
        <v>0</v>
      </c>
      <c r="SN39">
        <v>0</v>
      </c>
      <c r="SO39">
        <v>0</v>
      </c>
      <c r="SP39">
        <v>0</v>
      </c>
      <c r="SQ39">
        <v>0</v>
      </c>
      <c r="SR39">
        <v>0</v>
      </c>
      <c r="SS39">
        <v>0</v>
      </c>
      <c r="ST39">
        <v>0</v>
      </c>
      <c r="SU39">
        <v>0</v>
      </c>
      <c r="SV39">
        <v>0</v>
      </c>
      <c r="SW39">
        <v>0</v>
      </c>
      <c r="SX39">
        <v>0</v>
      </c>
      <c r="SY39">
        <v>0</v>
      </c>
      <c r="SZ39">
        <v>0</v>
      </c>
      <c r="TA39">
        <v>0</v>
      </c>
      <c r="TB39">
        <v>0</v>
      </c>
      <c r="TC39">
        <v>0</v>
      </c>
      <c r="TD39">
        <v>0</v>
      </c>
      <c r="TE39">
        <v>0</v>
      </c>
      <c r="TF39">
        <v>0</v>
      </c>
      <c r="TG39">
        <v>0</v>
      </c>
      <c r="TH39">
        <v>0</v>
      </c>
      <c r="TI39">
        <v>0</v>
      </c>
      <c r="TJ39">
        <v>0</v>
      </c>
      <c r="TK39">
        <v>0</v>
      </c>
      <c r="TL39">
        <v>0</v>
      </c>
      <c r="TM39">
        <v>0</v>
      </c>
      <c r="TN39">
        <v>0</v>
      </c>
      <c r="TO39">
        <v>0</v>
      </c>
      <c r="TP39">
        <v>0</v>
      </c>
      <c r="TQ39">
        <v>0</v>
      </c>
      <c r="TR39">
        <v>0</v>
      </c>
      <c r="TS39">
        <v>0</v>
      </c>
      <c r="TT39">
        <v>0</v>
      </c>
      <c r="TU39">
        <v>0</v>
      </c>
      <c r="TV39">
        <v>0</v>
      </c>
      <c r="TW39">
        <v>0</v>
      </c>
      <c r="TX39">
        <v>0</v>
      </c>
      <c r="TY39">
        <v>0</v>
      </c>
      <c r="TZ39">
        <v>0</v>
      </c>
      <c r="UA39">
        <v>0</v>
      </c>
      <c r="UB39">
        <v>0</v>
      </c>
      <c r="UC39">
        <v>0</v>
      </c>
      <c r="UD39">
        <v>0</v>
      </c>
      <c r="UE39">
        <v>0</v>
      </c>
      <c r="UF39">
        <v>0</v>
      </c>
      <c r="UG39">
        <v>0</v>
      </c>
      <c r="UH39">
        <v>0</v>
      </c>
      <c r="UI39">
        <v>0</v>
      </c>
      <c r="UJ39">
        <v>0</v>
      </c>
      <c r="UK39">
        <v>0</v>
      </c>
      <c r="UL39">
        <v>0</v>
      </c>
      <c r="UM39">
        <v>0</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v>0</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0</v>
      </c>
      <c r="WM39">
        <v>0</v>
      </c>
      <c r="WN39">
        <v>0</v>
      </c>
      <c r="WO39">
        <v>0</v>
      </c>
      <c r="WP39">
        <v>0</v>
      </c>
      <c r="WQ39">
        <v>0</v>
      </c>
      <c r="WR39">
        <v>0</v>
      </c>
      <c r="WS39">
        <v>0</v>
      </c>
      <c r="WT39">
        <v>0</v>
      </c>
      <c r="WU39">
        <v>0</v>
      </c>
      <c r="WV39">
        <v>0</v>
      </c>
      <c r="WW39">
        <v>0</v>
      </c>
      <c r="WX39">
        <v>0</v>
      </c>
      <c r="WY39">
        <v>0</v>
      </c>
      <c r="WZ39">
        <v>0</v>
      </c>
      <c r="XA39">
        <v>0</v>
      </c>
      <c r="XB39">
        <v>0</v>
      </c>
      <c r="XC39">
        <v>0</v>
      </c>
      <c r="XD39">
        <v>0</v>
      </c>
      <c r="XE39">
        <v>0</v>
      </c>
      <c r="XF39">
        <v>0</v>
      </c>
      <c r="XG39">
        <v>0</v>
      </c>
      <c r="XH39">
        <v>0</v>
      </c>
      <c r="XI39">
        <v>0</v>
      </c>
      <c r="XJ39">
        <v>0</v>
      </c>
      <c r="XK39">
        <v>0</v>
      </c>
      <c r="XL39">
        <v>0</v>
      </c>
      <c r="XM39">
        <v>0</v>
      </c>
      <c r="XN39">
        <v>0</v>
      </c>
      <c r="XO39">
        <v>0</v>
      </c>
      <c r="XP39">
        <v>0</v>
      </c>
      <c r="XQ39">
        <v>0</v>
      </c>
      <c r="XR39">
        <v>0</v>
      </c>
      <c r="XS39">
        <v>0</v>
      </c>
      <c r="XT39">
        <v>0</v>
      </c>
      <c r="XU39">
        <v>0</v>
      </c>
      <c r="XV39">
        <v>0</v>
      </c>
      <c r="XW39">
        <v>0</v>
      </c>
      <c r="XX39">
        <v>0</v>
      </c>
      <c r="XY39">
        <v>0</v>
      </c>
      <c r="XZ39">
        <v>0</v>
      </c>
      <c r="YA39">
        <v>0</v>
      </c>
      <c r="YB39">
        <v>0</v>
      </c>
      <c r="YC39">
        <v>0</v>
      </c>
      <c r="YD39">
        <v>0</v>
      </c>
      <c r="YE39">
        <v>0</v>
      </c>
      <c r="YF39">
        <v>0</v>
      </c>
      <c r="YG39">
        <v>0</v>
      </c>
      <c r="YH39">
        <v>0</v>
      </c>
      <c r="YI39">
        <v>0</v>
      </c>
      <c r="YJ39">
        <v>0</v>
      </c>
      <c r="YK39">
        <v>0</v>
      </c>
      <c r="YL39">
        <v>0</v>
      </c>
      <c r="YM39">
        <v>0</v>
      </c>
      <c r="YN39">
        <v>0</v>
      </c>
      <c r="YO39">
        <v>0</v>
      </c>
      <c r="YP39">
        <v>0</v>
      </c>
      <c r="YQ39">
        <v>0</v>
      </c>
      <c r="YR39">
        <v>0</v>
      </c>
      <c r="YS39">
        <v>0</v>
      </c>
      <c r="YT39">
        <v>0</v>
      </c>
      <c r="YU39">
        <v>0</v>
      </c>
      <c r="YV39">
        <v>0</v>
      </c>
      <c r="YW39">
        <v>0</v>
      </c>
      <c r="YX39">
        <v>0</v>
      </c>
      <c r="YY39">
        <v>0</v>
      </c>
      <c r="YZ39">
        <v>0</v>
      </c>
      <c r="ZA39">
        <v>0</v>
      </c>
      <c r="ZB39">
        <v>0</v>
      </c>
      <c r="ZC39">
        <v>0</v>
      </c>
      <c r="ZD39">
        <v>0</v>
      </c>
      <c r="ZE39">
        <v>0</v>
      </c>
      <c r="ZF39">
        <v>0</v>
      </c>
      <c r="ZG39">
        <v>0</v>
      </c>
      <c r="ZH39">
        <v>0</v>
      </c>
      <c r="ZI39">
        <v>0</v>
      </c>
      <c r="ZJ39">
        <v>0</v>
      </c>
      <c r="ZK39">
        <v>0</v>
      </c>
      <c r="ZL39">
        <v>0</v>
      </c>
      <c r="ZM39">
        <v>0</v>
      </c>
      <c r="ZN39">
        <v>0</v>
      </c>
      <c r="ZO39">
        <v>0</v>
      </c>
      <c r="ZP39">
        <v>0</v>
      </c>
      <c r="ZQ39">
        <v>0</v>
      </c>
      <c r="ZR39">
        <v>0</v>
      </c>
      <c r="ZS39">
        <v>0</v>
      </c>
      <c r="ZT39">
        <v>0</v>
      </c>
      <c r="ZU39">
        <v>0</v>
      </c>
      <c r="ZV39">
        <v>0</v>
      </c>
      <c r="ZW39">
        <v>0</v>
      </c>
      <c r="ZX39">
        <v>0</v>
      </c>
      <c r="ZY39">
        <v>0</v>
      </c>
      <c r="ZZ39">
        <v>0</v>
      </c>
      <c r="AAA39">
        <v>0</v>
      </c>
      <c r="AAB39">
        <v>0</v>
      </c>
      <c r="AAC39">
        <v>0</v>
      </c>
      <c r="AAD39">
        <v>0</v>
      </c>
      <c r="AAE39">
        <v>0</v>
      </c>
      <c r="AAF39">
        <v>0</v>
      </c>
      <c r="AAG39">
        <v>0</v>
      </c>
      <c r="AAH39">
        <v>0</v>
      </c>
      <c r="AAI39">
        <v>0</v>
      </c>
      <c r="AAJ39">
        <v>0</v>
      </c>
      <c r="AAK39">
        <v>0</v>
      </c>
      <c r="AAL39">
        <v>0</v>
      </c>
      <c r="AAM39">
        <v>0</v>
      </c>
      <c r="AAN39">
        <v>0</v>
      </c>
      <c r="AAO39">
        <v>0</v>
      </c>
      <c r="AAP39">
        <v>0</v>
      </c>
      <c r="AAQ39">
        <v>0</v>
      </c>
      <c r="AAR39">
        <v>0</v>
      </c>
      <c r="AAS39">
        <v>0</v>
      </c>
      <c r="AAT39">
        <v>0</v>
      </c>
      <c r="AAU39">
        <v>0</v>
      </c>
      <c r="AAV39">
        <v>0</v>
      </c>
      <c r="AAW39">
        <v>0</v>
      </c>
      <c r="AAX39">
        <v>0</v>
      </c>
      <c r="AAY39">
        <v>0</v>
      </c>
      <c r="AAZ39">
        <v>0</v>
      </c>
      <c r="ABA39">
        <v>0</v>
      </c>
      <c r="ABB39">
        <v>0</v>
      </c>
      <c r="ABC39">
        <v>0</v>
      </c>
      <c r="ABD39">
        <v>0</v>
      </c>
      <c r="ABE39">
        <v>0</v>
      </c>
      <c r="ABF39">
        <v>0</v>
      </c>
      <c r="ABG39">
        <v>0</v>
      </c>
      <c r="ABH39">
        <v>0</v>
      </c>
      <c r="ABI39">
        <v>0</v>
      </c>
      <c r="ABJ39">
        <v>0</v>
      </c>
      <c r="ABK39">
        <v>0</v>
      </c>
      <c r="ABL39">
        <v>0</v>
      </c>
      <c r="ABM39">
        <v>0</v>
      </c>
      <c r="ABN39">
        <v>0</v>
      </c>
      <c r="ABO39">
        <v>0</v>
      </c>
      <c r="ABP39">
        <v>0</v>
      </c>
      <c r="ABQ39">
        <v>0</v>
      </c>
      <c r="ABR39">
        <v>0</v>
      </c>
      <c r="ABS39">
        <v>0</v>
      </c>
      <c r="ABT39">
        <v>0</v>
      </c>
      <c r="ABU39">
        <v>0</v>
      </c>
      <c r="ABV39">
        <v>0</v>
      </c>
      <c r="ABW39">
        <v>0</v>
      </c>
      <c r="ABX39">
        <v>0</v>
      </c>
      <c r="ABY39">
        <v>0</v>
      </c>
      <c r="ABZ39">
        <v>0</v>
      </c>
      <c r="ACA39">
        <v>0</v>
      </c>
      <c r="ACB39">
        <v>0</v>
      </c>
      <c r="ACC39">
        <v>0</v>
      </c>
      <c r="ACD39">
        <v>0</v>
      </c>
      <c r="ACE39">
        <v>0</v>
      </c>
      <c r="ACF39">
        <v>0</v>
      </c>
      <c r="ACG39">
        <v>0</v>
      </c>
      <c r="ACH39">
        <v>0</v>
      </c>
      <c r="ACI39">
        <v>0</v>
      </c>
      <c r="ACJ39">
        <v>0</v>
      </c>
      <c r="ACK39">
        <v>0</v>
      </c>
      <c r="ACL39">
        <v>0</v>
      </c>
      <c r="ACM39">
        <v>0</v>
      </c>
      <c r="ACN39">
        <v>0</v>
      </c>
      <c r="ACO39">
        <v>0</v>
      </c>
      <c r="ACP39">
        <v>0</v>
      </c>
      <c r="ACQ39">
        <v>0</v>
      </c>
      <c r="ACR39">
        <v>0</v>
      </c>
      <c r="ACS39">
        <v>0</v>
      </c>
      <c r="ACT39">
        <v>0</v>
      </c>
      <c r="ACU39">
        <v>0</v>
      </c>
      <c r="ACV39">
        <v>0</v>
      </c>
      <c r="ACW39">
        <v>0</v>
      </c>
      <c r="ACX39">
        <v>0</v>
      </c>
      <c r="ACY39">
        <v>0</v>
      </c>
      <c r="ACZ39">
        <v>0</v>
      </c>
      <c r="ADA39">
        <v>0</v>
      </c>
      <c r="ADB39">
        <v>0</v>
      </c>
      <c r="ADC39">
        <v>0</v>
      </c>
      <c r="ADD39">
        <v>0</v>
      </c>
      <c r="ADE39">
        <v>0</v>
      </c>
      <c r="ADF39">
        <v>0</v>
      </c>
      <c r="ADG39">
        <v>0</v>
      </c>
      <c r="ADH39">
        <v>0</v>
      </c>
      <c r="ADI39">
        <v>0</v>
      </c>
      <c r="ADJ39">
        <v>0</v>
      </c>
      <c r="ADK39">
        <v>0</v>
      </c>
      <c r="ADL39">
        <v>0</v>
      </c>
      <c r="ADM39">
        <v>0</v>
      </c>
      <c r="ADN39">
        <v>0</v>
      </c>
      <c r="ADO39">
        <v>0</v>
      </c>
      <c r="ADP39">
        <v>0</v>
      </c>
      <c r="ADQ39">
        <v>0</v>
      </c>
      <c r="ADR39">
        <v>0</v>
      </c>
      <c r="ADS39">
        <v>0</v>
      </c>
      <c r="ADT39">
        <v>0</v>
      </c>
      <c r="ADU39">
        <v>0</v>
      </c>
      <c r="ADV39">
        <v>0</v>
      </c>
      <c r="ADW39">
        <v>0</v>
      </c>
      <c r="ADX39">
        <v>0</v>
      </c>
      <c r="ADY39">
        <v>0</v>
      </c>
      <c r="ADZ39">
        <v>0</v>
      </c>
      <c r="AEA39">
        <v>0</v>
      </c>
      <c r="AEB39">
        <v>0</v>
      </c>
      <c r="AEC39">
        <v>0</v>
      </c>
      <c r="AED39">
        <v>0</v>
      </c>
      <c r="AEE39">
        <v>0</v>
      </c>
      <c r="AEF39">
        <v>0</v>
      </c>
      <c r="AEG39">
        <v>0</v>
      </c>
      <c r="AEH39">
        <v>0</v>
      </c>
      <c r="AEI39">
        <v>0</v>
      </c>
      <c r="AEJ39">
        <v>0</v>
      </c>
      <c r="AEK39">
        <v>0</v>
      </c>
      <c r="AEL39">
        <v>0</v>
      </c>
      <c r="AEM39">
        <v>0</v>
      </c>
      <c r="AEN39">
        <v>0</v>
      </c>
      <c r="AEO39">
        <v>0</v>
      </c>
      <c r="AEP39">
        <v>0</v>
      </c>
      <c r="AEQ39">
        <v>0</v>
      </c>
      <c r="AER39">
        <v>0</v>
      </c>
      <c r="AES39">
        <v>0</v>
      </c>
      <c r="AET39">
        <v>0</v>
      </c>
      <c r="AEU39">
        <v>0</v>
      </c>
      <c r="AEV39">
        <v>0</v>
      </c>
      <c r="AEW39">
        <v>0</v>
      </c>
      <c r="AEX39">
        <v>0</v>
      </c>
      <c r="AEY39">
        <v>0</v>
      </c>
      <c r="AEZ39">
        <v>0</v>
      </c>
      <c r="AFA39">
        <v>0</v>
      </c>
      <c r="AFB39">
        <v>0</v>
      </c>
      <c r="AFC39">
        <v>0</v>
      </c>
      <c r="AFD39">
        <v>0</v>
      </c>
      <c r="AFE39">
        <v>0</v>
      </c>
      <c r="AFF39">
        <v>0</v>
      </c>
      <c r="AFG39">
        <v>0</v>
      </c>
      <c r="AFH39">
        <v>0</v>
      </c>
      <c r="AFI39">
        <v>0</v>
      </c>
      <c r="AFJ39">
        <v>0</v>
      </c>
      <c r="AFK39">
        <v>0</v>
      </c>
      <c r="AFL39">
        <v>0</v>
      </c>
      <c r="AFM39">
        <v>0</v>
      </c>
      <c r="AFN39">
        <v>0</v>
      </c>
      <c r="AFO39">
        <v>0</v>
      </c>
      <c r="AFP39">
        <v>0</v>
      </c>
      <c r="AFQ39">
        <v>0</v>
      </c>
      <c r="AFR39">
        <v>0</v>
      </c>
      <c r="AFS39">
        <v>0</v>
      </c>
      <c r="AFT39">
        <v>0</v>
      </c>
      <c r="AFU39">
        <v>0</v>
      </c>
      <c r="AFV39">
        <v>0</v>
      </c>
      <c r="AFW39">
        <v>0</v>
      </c>
      <c r="AFX39">
        <v>0</v>
      </c>
      <c r="AFY39">
        <v>0</v>
      </c>
      <c r="AFZ39">
        <v>0</v>
      </c>
      <c r="AGA39">
        <v>0</v>
      </c>
      <c r="AGB39">
        <v>0</v>
      </c>
      <c r="AGC39">
        <v>0</v>
      </c>
      <c r="AGD39">
        <v>0</v>
      </c>
      <c r="AGE39">
        <v>0</v>
      </c>
      <c r="AGF39">
        <v>0</v>
      </c>
      <c r="AGG39">
        <v>0</v>
      </c>
      <c r="AGH39">
        <v>0</v>
      </c>
      <c r="AGI39">
        <v>0</v>
      </c>
      <c r="AGJ39">
        <v>0</v>
      </c>
      <c r="AGK39">
        <v>0</v>
      </c>
      <c r="AGL39">
        <v>0</v>
      </c>
      <c r="AGM39">
        <v>0</v>
      </c>
      <c r="AGN39">
        <v>0</v>
      </c>
      <c r="AGO39">
        <v>0</v>
      </c>
      <c r="AGP39">
        <v>0</v>
      </c>
      <c r="AGQ39">
        <v>0</v>
      </c>
      <c r="AGR39">
        <v>0</v>
      </c>
      <c r="AGS39">
        <v>0</v>
      </c>
      <c r="AGT39">
        <v>0</v>
      </c>
      <c r="AGU39">
        <v>0</v>
      </c>
      <c r="AGV39">
        <v>0</v>
      </c>
      <c r="AGW39">
        <v>0</v>
      </c>
      <c r="AGX39">
        <v>0</v>
      </c>
      <c r="AGY39">
        <v>0</v>
      </c>
      <c r="AGZ39">
        <v>0</v>
      </c>
      <c r="AHA39">
        <v>0</v>
      </c>
      <c r="AHB39">
        <v>0</v>
      </c>
      <c r="AHC39">
        <v>0</v>
      </c>
      <c r="AHD39">
        <v>0</v>
      </c>
      <c r="AHE39">
        <v>0</v>
      </c>
      <c r="AHF39">
        <v>0</v>
      </c>
      <c r="AHG39">
        <v>0</v>
      </c>
      <c r="AHH39">
        <v>0</v>
      </c>
      <c r="AHI39">
        <v>0</v>
      </c>
      <c r="AHJ39">
        <v>0</v>
      </c>
      <c r="AHK39">
        <v>0</v>
      </c>
      <c r="AHL39">
        <v>0</v>
      </c>
      <c r="AHM39">
        <v>0</v>
      </c>
      <c r="AHN39">
        <v>0</v>
      </c>
      <c r="AHO39">
        <v>0</v>
      </c>
      <c r="AHP39">
        <v>0</v>
      </c>
      <c r="AHQ39">
        <v>0</v>
      </c>
      <c r="AHR39">
        <v>0</v>
      </c>
      <c r="AHS39">
        <v>0</v>
      </c>
      <c r="AHT39">
        <v>0</v>
      </c>
      <c r="AHU39">
        <v>0</v>
      </c>
      <c r="AHV39">
        <v>0</v>
      </c>
      <c r="AHW39">
        <v>0</v>
      </c>
      <c r="AHX39">
        <v>0</v>
      </c>
      <c r="AHY39">
        <v>0</v>
      </c>
      <c r="AHZ39">
        <v>0</v>
      </c>
      <c r="AIA39">
        <v>0</v>
      </c>
      <c r="AIB39">
        <v>0</v>
      </c>
      <c r="AIC39">
        <v>0</v>
      </c>
      <c r="AID39">
        <v>0</v>
      </c>
      <c r="AIE39">
        <v>0</v>
      </c>
      <c r="AIF39">
        <v>0</v>
      </c>
      <c r="AIG39">
        <v>0</v>
      </c>
      <c r="AIH39">
        <v>0</v>
      </c>
      <c r="AII39">
        <v>0</v>
      </c>
      <c r="AIJ39">
        <v>0</v>
      </c>
      <c r="AIK39">
        <v>0</v>
      </c>
      <c r="AIL39">
        <v>0</v>
      </c>
      <c r="AIM39">
        <v>0</v>
      </c>
      <c r="AIN39">
        <v>0</v>
      </c>
      <c r="AIO39">
        <v>0</v>
      </c>
      <c r="AIP39">
        <v>0</v>
      </c>
      <c r="AIQ39">
        <v>0</v>
      </c>
      <c r="AIR39">
        <v>0</v>
      </c>
      <c r="AIS39">
        <v>0</v>
      </c>
      <c r="AIT39">
        <v>0</v>
      </c>
      <c r="AIU39">
        <v>0</v>
      </c>
      <c r="AIV39">
        <v>0</v>
      </c>
      <c r="AIW39">
        <v>0</v>
      </c>
      <c r="AIX39">
        <v>0</v>
      </c>
      <c r="AIY39">
        <v>0</v>
      </c>
      <c r="AIZ39">
        <v>0</v>
      </c>
      <c r="AJA39">
        <v>0</v>
      </c>
      <c r="AJB39">
        <v>0</v>
      </c>
      <c r="AJC39">
        <v>0</v>
      </c>
      <c r="AJD39">
        <v>0</v>
      </c>
      <c r="AJE39">
        <v>0</v>
      </c>
      <c r="AJF39">
        <v>0</v>
      </c>
      <c r="AJG39">
        <v>0</v>
      </c>
      <c r="AJH39">
        <v>0</v>
      </c>
      <c r="AJI39">
        <v>0</v>
      </c>
      <c r="AJJ39">
        <v>0</v>
      </c>
      <c r="AJK39">
        <v>0</v>
      </c>
      <c r="AJL39">
        <v>0</v>
      </c>
      <c r="AJM39">
        <v>0</v>
      </c>
      <c r="AJN39">
        <v>0</v>
      </c>
      <c r="AJO39">
        <v>0</v>
      </c>
      <c r="AJP39">
        <v>0</v>
      </c>
      <c r="AJQ39">
        <v>0</v>
      </c>
      <c r="AJR39">
        <v>0</v>
      </c>
      <c r="AJS39">
        <v>0</v>
      </c>
      <c r="AJT39">
        <v>0</v>
      </c>
      <c r="AJU39">
        <v>0</v>
      </c>
      <c r="AJV39">
        <v>0</v>
      </c>
      <c r="AJW39">
        <v>0</v>
      </c>
      <c r="AJX39">
        <v>0</v>
      </c>
      <c r="AJY39">
        <v>0</v>
      </c>
      <c r="AJZ39">
        <v>0</v>
      </c>
      <c r="AKA39">
        <v>0</v>
      </c>
      <c r="AKB39">
        <v>0</v>
      </c>
      <c r="AKC39">
        <v>0</v>
      </c>
      <c r="AKD39">
        <v>0</v>
      </c>
      <c r="AKE39">
        <v>0</v>
      </c>
      <c r="AKF39">
        <v>0</v>
      </c>
      <c r="AKG39">
        <v>0</v>
      </c>
      <c r="AKH39">
        <v>0</v>
      </c>
      <c r="AKI39">
        <v>0</v>
      </c>
      <c r="AKJ39">
        <v>0</v>
      </c>
      <c r="AKK39">
        <v>0</v>
      </c>
      <c r="AKL39">
        <v>0</v>
      </c>
      <c r="AKM39">
        <v>0</v>
      </c>
      <c r="AKN39">
        <v>0</v>
      </c>
      <c r="AKO39">
        <v>0</v>
      </c>
      <c r="AKP39">
        <v>0</v>
      </c>
      <c r="AKQ39">
        <v>0</v>
      </c>
      <c r="AKR39">
        <v>0</v>
      </c>
      <c r="AKS39">
        <v>0</v>
      </c>
      <c r="AKT39">
        <v>0</v>
      </c>
      <c r="AKU39">
        <v>0</v>
      </c>
      <c r="AKV39">
        <v>0</v>
      </c>
      <c r="AKW39">
        <v>0</v>
      </c>
      <c r="AKX39">
        <v>0</v>
      </c>
      <c r="AKY39">
        <v>0</v>
      </c>
      <c r="AKZ39">
        <v>0</v>
      </c>
      <c r="ALA39">
        <v>0</v>
      </c>
      <c r="ALB39">
        <v>0</v>
      </c>
      <c r="ALC39">
        <v>0</v>
      </c>
      <c r="ALD39">
        <v>0</v>
      </c>
      <c r="ALE39">
        <v>0</v>
      </c>
      <c r="ALF39">
        <v>0</v>
      </c>
      <c r="ALG39">
        <v>0</v>
      </c>
      <c r="ALH39">
        <v>0</v>
      </c>
      <c r="ALI39">
        <v>0</v>
      </c>
      <c r="ALJ39">
        <v>0</v>
      </c>
      <c r="ALK39">
        <v>0</v>
      </c>
      <c r="ALL39">
        <v>0</v>
      </c>
      <c r="ALM39">
        <v>0</v>
      </c>
      <c r="ALN39">
        <v>0</v>
      </c>
      <c r="ALO39">
        <v>0</v>
      </c>
      <c r="ALP39">
        <v>0</v>
      </c>
      <c r="ALQ39">
        <v>0</v>
      </c>
    </row>
    <row r="40" spans="1:1005" ht="42">
      <c r="A40" s="365" t="s">
        <v>1145</v>
      </c>
      <c r="B40" s="366" t="s">
        <v>51</v>
      </c>
      <c r="C40" s="367" t="s">
        <v>91</v>
      </c>
      <c r="D40" s="366" t="s">
        <v>274</v>
      </c>
      <c r="E40" s="378" t="s">
        <v>355</v>
      </c>
      <c r="F40" t="str">
        <f t="array" ref="F40:ALQ40" ca="1">TRANSPOSE(Filtered!AK2:AK1005)</f>
        <v>Yes</v>
      </c>
      <c r="G40" t="str">
        <f ca="1"/>
        <v>No</v>
      </c>
      <c r="H40" t="str">
        <f ca="1"/>
        <v>No</v>
      </c>
      <c r="I40" t="str">
        <f ca="1"/>
        <v>Unsure</v>
      </c>
      <c r="J40" t="str">
        <f ca="1"/>
        <v>No</v>
      </c>
      <c r="K40" t="str">
        <f ca="1"/>
        <v>Unsure</v>
      </c>
      <c r="L40" t="str">
        <f ca="1"/>
        <v/>
      </c>
      <c r="M40" t="str">
        <f ca="1"/>
        <v/>
      </c>
      <c r="N40" t="str">
        <f ca="1"/>
        <v>No</v>
      </c>
      <c r="O40" t="str">
        <f ca="1"/>
        <v>Unsure</v>
      </c>
      <c r="P40" t="str">
        <f ca="1"/>
        <v>Unsure</v>
      </c>
      <c r="Q40" t="str">
        <f ca="1"/>
        <v>No</v>
      </c>
      <c r="R40" t="str">
        <f ca="1"/>
        <v>Unsure</v>
      </c>
      <c r="S40" t="str">
        <f ca="1"/>
        <v>Unsure</v>
      </c>
      <c r="T40" t="str">
        <f ca="1"/>
        <v>Unsure</v>
      </c>
      <c r="U40" t="str">
        <f ca="1"/>
        <v>Unsure</v>
      </c>
      <c r="V40" t="str">
        <f ca="1"/>
        <v>Unsure</v>
      </c>
      <c r="W40" t="str">
        <f ca="1"/>
        <v>No</v>
      </c>
      <c r="X40" t="str">
        <f ca="1"/>
        <v>No</v>
      </c>
      <c r="Y40" t="str">
        <f ca="1"/>
        <v>No</v>
      </c>
      <c r="Z40" t="str">
        <f ca="1"/>
        <v>Unsure</v>
      </c>
      <c r="AA40" t="str">
        <f ca="1"/>
        <v>Unsure</v>
      </c>
      <c r="AB40" t="str">
        <f ca="1"/>
        <v>Unsure</v>
      </c>
      <c r="AC40" t="str">
        <f ca="1"/>
        <v>No</v>
      </c>
      <c r="AD40" t="str">
        <f ca="1"/>
        <v>Unsure</v>
      </c>
      <c r="AE40" t="str">
        <f ca="1"/>
        <v>Unsure</v>
      </c>
      <c r="AF40" t="str">
        <f ca="1"/>
        <v>Unsure</v>
      </c>
      <c r="AG40" t="str">
        <f ca="1"/>
        <v>Unsure</v>
      </c>
      <c r="AH40" t="str">
        <f ca="1"/>
        <v>Unsure</v>
      </c>
      <c r="AI40" t="str">
        <f ca="1"/>
        <v>Unsure</v>
      </c>
      <c r="AJ40" t="str">
        <f ca="1"/>
        <v>Unsure</v>
      </c>
      <c r="AK40" t="str">
        <f ca="1"/>
        <v>Unsure</v>
      </c>
      <c r="AL40" t="str">
        <f ca="1"/>
        <v>Unsure</v>
      </c>
      <c r="AM40" t="str">
        <f ca="1"/>
        <v>Unsure</v>
      </c>
      <c r="AN40" t="str">
        <f ca="1"/>
        <v>Unsure</v>
      </c>
      <c r="AO40" t="str">
        <f ca="1"/>
        <v>Unsure</v>
      </c>
      <c r="AP40" t="str">
        <f ca="1"/>
        <v>Unsure</v>
      </c>
      <c r="AQ40" t="str">
        <f ca="1"/>
        <v>Unsure</v>
      </c>
      <c r="AR40" t="str">
        <f ca="1"/>
        <v>Unsure</v>
      </c>
      <c r="AS40" t="str">
        <f ca="1"/>
        <v>Unsure</v>
      </c>
      <c r="AT40" t="str">
        <f ca="1"/>
        <v>Unsure</v>
      </c>
      <c r="AU40" t="str">
        <f ca="1"/>
        <v>Unsure</v>
      </c>
      <c r="AV40" t="str">
        <f ca="1"/>
        <v>Unsure</v>
      </c>
      <c r="AW40" t="str">
        <f ca="1"/>
        <v>Unsure</v>
      </c>
      <c r="AX40" t="str">
        <f ca="1"/>
        <v>Unsure</v>
      </c>
      <c r="AY40" t="str">
        <f ca="1"/>
        <v>Unsure</v>
      </c>
      <c r="AZ40" t="str">
        <f ca="1"/>
        <v>Unsure</v>
      </c>
      <c r="BA40" t="str">
        <f ca="1"/>
        <v>Unsure</v>
      </c>
      <c r="BB40" t="str">
        <f ca="1"/>
        <v>Unsure</v>
      </c>
      <c r="BC40" t="str">
        <f ca="1"/>
        <v>Unsure</v>
      </c>
      <c r="BD40" t="str">
        <f ca="1"/>
        <v>Unsure</v>
      </c>
      <c r="BE40" t="str">
        <f ca="1"/>
        <v>Unsure</v>
      </c>
      <c r="BF40" t="str">
        <f ca="1"/>
        <v>Unsure</v>
      </c>
      <c r="BG40" t="str">
        <f ca="1"/>
        <v>Unsure</v>
      </c>
      <c r="BH40" t="str">
        <f ca="1"/>
        <v>Unsure</v>
      </c>
      <c r="BI40" t="str">
        <f ca="1"/>
        <v>Unsure</v>
      </c>
      <c r="BJ40" t="str">
        <f ca="1"/>
        <v>Unsure</v>
      </c>
      <c r="BK40" t="str">
        <f ca="1"/>
        <v>Unsure</v>
      </c>
      <c r="BL40" t="str">
        <f ca="1"/>
        <v>Unsure</v>
      </c>
      <c r="BM40" t="str">
        <f ca="1"/>
        <v>Unsure</v>
      </c>
      <c r="BN40" t="str">
        <f ca="1"/>
        <v/>
      </c>
      <c r="BO40" t="str">
        <f ca="1"/>
        <v>Unsure</v>
      </c>
      <c r="BP40" t="str">
        <f ca="1"/>
        <v>Unsure</v>
      </c>
      <c r="BQ40" t="str">
        <f ca="1"/>
        <v>Unsure</v>
      </c>
      <c r="BR40" t="str">
        <f ca="1"/>
        <v>Unsure</v>
      </c>
      <c r="BS40" t="str">
        <f ca="1"/>
        <v>Unsure</v>
      </c>
      <c r="BT40" t="str">
        <f ca="1"/>
        <v>No</v>
      </c>
      <c r="BU40" t="str">
        <f ca="1"/>
        <v>Unsure</v>
      </c>
      <c r="BV40" t="str">
        <f ca="1"/>
        <v>Unsure</v>
      </c>
      <c r="BW40" t="str">
        <f ca="1"/>
        <v>Unsure</v>
      </c>
      <c r="BX40" t="str">
        <f ca="1"/>
        <v>Unsure</v>
      </c>
      <c r="BY40" t="str">
        <f ca="1"/>
        <v>Unsure</v>
      </c>
      <c r="BZ40" t="str">
        <f ca="1"/>
        <v>Unsure</v>
      </c>
      <c r="CA40" t="str">
        <f ca="1"/>
        <v/>
      </c>
      <c r="CB40" t="str">
        <f ca="1"/>
        <v>Unsure</v>
      </c>
      <c r="CC40" t="str">
        <f ca="1"/>
        <v>Unsure</v>
      </c>
      <c r="CD40" t="str">
        <f ca="1"/>
        <v>Unsure</v>
      </c>
      <c r="CE40" t="str">
        <f ca="1"/>
        <v>Unsure</v>
      </c>
      <c r="CF40" t="str">
        <f ca="1"/>
        <v>Unsure</v>
      </c>
      <c r="CG40" t="str">
        <f ca="1"/>
        <v>Unsure</v>
      </c>
      <c r="CH40" t="str">
        <f ca="1"/>
        <v>Unsure</v>
      </c>
      <c r="CI40" t="str">
        <f ca="1"/>
        <v>Unsure</v>
      </c>
      <c r="CJ40" t="str">
        <f ca="1"/>
        <v>Unsure</v>
      </c>
      <c r="CK40" t="str">
        <f ca="1"/>
        <v>Unsure</v>
      </c>
      <c r="CL40" t="str">
        <f ca="1"/>
        <v>Unsure</v>
      </c>
      <c r="CM40" t="str">
        <f ca="1"/>
        <v>No</v>
      </c>
      <c r="CN40" t="str">
        <f ca="1"/>
        <v>Unsure</v>
      </c>
      <c r="CO40" t="str">
        <f ca="1"/>
        <v>Unsure</v>
      </c>
      <c r="CP40" t="str">
        <f ca="1"/>
        <v/>
      </c>
      <c r="CQ40" t="str">
        <f ca="1"/>
        <v/>
      </c>
      <c r="CR40" t="str">
        <f ca="1"/>
        <v>Unsure</v>
      </c>
      <c r="CS40" t="str">
        <f ca="1"/>
        <v>Unsure</v>
      </c>
      <c r="CT40" t="str">
        <f ca="1"/>
        <v/>
      </c>
      <c r="CU40" t="str">
        <f ca="1"/>
        <v>Unsure</v>
      </c>
      <c r="CV40" t="str">
        <f ca="1"/>
        <v>Unsure</v>
      </c>
      <c r="CW40" t="str">
        <f ca="1"/>
        <v>No</v>
      </c>
      <c r="CX40" t="str">
        <f ca="1"/>
        <v>Unsure</v>
      </c>
      <c r="CY40" t="str">
        <f ca="1"/>
        <v>Unsure</v>
      </c>
      <c r="CZ40" t="str">
        <f ca="1"/>
        <v/>
      </c>
      <c r="DA40" t="str">
        <f ca="1"/>
        <v>Unsure</v>
      </c>
      <c r="DB40" t="str">
        <f ca="1"/>
        <v>Yes</v>
      </c>
      <c r="DC40" t="str">
        <f ca="1"/>
        <v/>
      </c>
      <c r="DD40" t="str">
        <f ca="1"/>
        <v/>
      </c>
      <c r="DE40" t="str">
        <f ca="1"/>
        <v/>
      </c>
      <c r="DF40" t="str">
        <f ca="1"/>
        <v/>
      </c>
      <c r="DG40" t="str">
        <f ca="1"/>
        <v>Yes</v>
      </c>
      <c r="DH40" t="str">
        <f ca="1"/>
        <v/>
      </c>
      <c r="DI40" t="str">
        <f ca="1"/>
        <v/>
      </c>
      <c r="DJ40" t="str">
        <f ca="1"/>
        <v/>
      </c>
      <c r="DK40" t="str">
        <f ca="1"/>
        <v/>
      </c>
      <c r="DL40" t="str">
        <f ca="1"/>
        <v/>
      </c>
      <c r="DM40" t="str">
        <f ca="1"/>
        <v/>
      </c>
      <c r="DN40" t="str">
        <f ca="1"/>
        <v/>
      </c>
      <c r="DO40" t="str">
        <f ca="1"/>
        <v/>
      </c>
      <c r="DP40" t="str">
        <f ca="1"/>
        <v/>
      </c>
      <c r="DQ40" t="str">
        <f ca="1"/>
        <v>Unsure</v>
      </c>
      <c r="DR40" t="str">
        <f ca="1"/>
        <v>Unsure</v>
      </c>
      <c r="DS40" t="str">
        <f ca="1"/>
        <v>Unsure</v>
      </c>
      <c r="DT40" t="str">
        <f ca="1"/>
        <v>Unsure</v>
      </c>
      <c r="DU40" t="str">
        <f ca="1"/>
        <v>Unsure</v>
      </c>
      <c r="DV40" t="str">
        <f ca="1"/>
        <v>Unsure</v>
      </c>
      <c r="DW40" t="str">
        <f ca="1"/>
        <v>Unsure</v>
      </c>
      <c r="DX40" t="str">
        <f ca="1"/>
        <v>Unsure</v>
      </c>
      <c r="DY40" t="str">
        <f ca="1"/>
        <v>Unsure</v>
      </c>
      <c r="DZ40" t="str">
        <f ca="1"/>
        <v>Unsure</v>
      </c>
      <c r="EA40" t="str">
        <f ca="1"/>
        <v>Yes</v>
      </c>
      <c r="EB40" t="str">
        <f ca="1"/>
        <v>Unsure</v>
      </c>
      <c r="EC40" t="str">
        <f ca="1"/>
        <v>Unsure</v>
      </c>
      <c r="ED40" t="str">
        <f ca="1"/>
        <v>Unsure</v>
      </c>
      <c r="EE40" t="str">
        <f ca="1"/>
        <v>Unsure</v>
      </c>
      <c r="EF40" t="str">
        <f ca="1"/>
        <v>Unsure</v>
      </c>
      <c r="EG40" t="str">
        <f ca="1"/>
        <v/>
      </c>
      <c r="EH40" t="str">
        <f ca="1"/>
        <v/>
      </c>
      <c r="EI40" t="str">
        <f ca="1"/>
        <v>Unsure</v>
      </c>
      <c r="EJ40" t="str">
        <f ca="1"/>
        <v>Unsure</v>
      </c>
      <c r="EK40" t="str">
        <f ca="1"/>
        <v>Yes</v>
      </c>
      <c r="EL40" t="str">
        <f ca="1"/>
        <v>Yes</v>
      </c>
      <c r="EM40" t="str">
        <f ca="1"/>
        <v>Unsure</v>
      </c>
      <c r="EN40" t="str">
        <f ca="1"/>
        <v>Unsure</v>
      </c>
      <c r="EO40" t="str">
        <f ca="1"/>
        <v>Unsure</v>
      </c>
      <c r="EP40" t="str">
        <f ca="1"/>
        <v>Unsure</v>
      </c>
      <c r="EQ40" t="str">
        <f ca="1"/>
        <v>Unsure</v>
      </c>
      <c r="ER40" t="str">
        <f ca="1"/>
        <v>Unsure</v>
      </c>
      <c r="ES40" t="str">
        <f ca="1"/>
        <v>Unsure</v>
      </c>
      <c r="ET40" t="str">
        <f ca="1"/>
        <v>Unsure</v>
      </c>
      <c r="EU40" t="str">
        <f ca="1"/>
        <v>Unsure</v>
      </c>
      <c r="EV40" t="str">
        <f ca="1"/>
        <v>Unsure</v>
      </c>
      <c r="EW40" t="str">
        <f ca="1"/>
        <v>Yes</v>
      </c>
      <c r="EX40" t="str">
        <f ca="1"/>
        <v>Unsure</v>
      </c>
      <c r="EY40" t="str">
        <f ca="1"/>
        <v>Unsure</v>
      </c>
      <c r="EZ40" t="str">
        <f ca="1"/>
        <v>Unsure</v>
      </c>
      <c r="FA40" t="str">
        <f ca="1"/>
        <v>Unsure</v>
      </c>
      <c r="FB40" t="str">
        <f ca="1"/>
        <v>Unsure</v>
      </c>
      <c r="FC40" t="str">
        <f ca="1"/>
        <v>Unsure</v>
      </c>
      <c r="FD40" t="str">
        <f ca="1"/>
        <v>Unsure</v>
      </c>
      <c r="FE40" t="str">
        <f ca="1"/>
        <v>Unsure</v>
      </c>
      <c r="FF40" t="str">
        <f ca="1"/>
        <v>Unsure</v>
      </c>
      <c r="FG40" t="str">
        <f ca="1"/>
        <v>Unsure</v>
      </c>
      <c r="FH40" t="str">
        <f ca="1"/>
        <v>Unsure</v>
      </c>
      <c r="FI40" t="str">
        <f ca="1"/>
        <v>Unsure</v>
      </c>
      <c r="FJ40" t="str">
        <f ca="1"/>
        <v>Unsure</v>
      </c>
      <c r="FK40" t="str">
        <f ca="1"/>
        <v>Unsure</v>
      </c>
      <c r="FL40" t="str">
        <f ca="1"/>
        <v>Unsure</v>
      </c>
      <c r="FM40" t="str">
        <f ca="1"/>
        <v>Unsure</v>
      </c>
      <c r="FN40" t="str">
        <f ca="1"/>
        <v>Unsure</v>
      </c>
      <c r="FO40" t="str">
        <f ca="1"/>
        <v>No</v>
      </c>
      <c r="FP40" t="str">
        <f ca="1"/>
        <v>Unsure</v>
      </c>
      <c r="FQ40" t="str">
        <f ca="1"/>
        <v>Unsure</v>
      </c>
      <c r="FR40" t="str">
        <f ca="1"/>
        <v>Unsure</v>
      </c>
      <c r="FS40" t="str">
        <f ca="1"/>
        <v>Unsure</v>
      </c>
      <c r="FT40" t="str">
        <f ca="1"/>
        <v>Unsure</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0</v>
      </c>
      <c r="ACV40">
        <v>0</v>
      </c>
      <c r="ACW40">
        <v>0</v>
      </c>
      <c r="ACX40">
        <v>0</v>
      </c>
      <c r="ACY40">
        <v>0</v>
      </c>
      <c r="ACZ40">
        <v>0</v>
      </c>
      <c r="ADA40">
        <v>0</v>
      </c>
      <c r="ADB40">
        <v>0</v>
      </c>
      <c r="ADC40">
        <v>0</v>
      </c>
      <c r="ADD40">
        <v>0</v>
      </c>
      <c r="ADE40">
        <v>0</v>
      </c>
      <c r="ADF40">
        <v>0</v>
      </c>
      <c r="ADG40">
        <v>0</v>
      </c>
      <c r="ADH40">
        <v>0</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0</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0</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0</v>
      </c>
      <c r="AGJ40">
        <v>0</v>
      </c>
      <c r="AGK40">
        <v>0</v>
      </c>
      <c r="AGL40">
        <v>0</v>
      </c>
      <c r="AGM40">
        <v>0</v>
      </c>
      <c r="AGN40">
        <v>0</v>
      </c>
      <c r="AGO40">
        <v>0</v>
      </c>
      <c r="AGP40">
        <v>0</v>
      </c>
      <c r="AGQ40">
        <v>0</v>
      </c>
      <c r="AGR40">
        <v>0</v>
      </c>
      <c r="AGS40">
        <v>0</v>
      </c>
      <c r="AGT40">
        <v>0</v>
      </c>
      <c r="AGU40">
        <v>0</v>
      </c>
      <c r="AGV40">
        <v>0</v>
      </c>
      <c r="AGW40">
        <v>0</v>
      </c>
      <c r="AGX40">
        <v>0</v>
      </c>
      <c r="AGY40">
        <v>0</v>
      </c>
      <c r="AGZ40">
        <v>0</v>
      </c>
      <c r="AHA40">
        <v>0</v>
      </c>
      <c r="AHB40">
        <v>0</v>
      </c>
      <c r="AHC40">
        <v>0</v>
      </c>
      <c r="AHD40">
        <v>0</v>
      </c>
      <c r="AHE40">
        <v>0</v>
      </c>
      <c r="AHF40">
        <v>0</v>
      </c>
      <c r="AHG40">
        <v>0</v>
      </c>
      <c r="AHH40">
        <v>0</v>
      </c>
      <c r="AHI40">
        <v>0</v>
      </c>
      <c r="AHJ40">
        <v>0</v>
      </c>
      <c r="AHK40">
        <v>0</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0</v>
      </c>
      <c r="AIX40">
        <v>0</v>
      </c>
      <c r="AIY40">
        <v>0</v>
      </c>
      <c r="AIZ40">
        <v>0</v>
      </c>
      <c r="AJA40">
        <v>0</v>
      </c>
      <c r="AJB40">
        <v>0</v>
      </c>
      <c r="AJC40">
        <v>0</v>
      </c>
      <c r="AJD40">
        <v>0</v>
      </c>
      <c r="AJE40">
        <v>0</v>
      </c>
      <c r="AJF40">
        <v>0</v>
      </c>
      <c r="AJG40">
        <v>0</v>
      </c>
      <c r="AJH40">
        <v>0</v>
      </c>
      <c r="AJI40">
        <v>0</v>
      </c>
      <c r="AJJ40">
        <v>0</v>
      </c>
      <c r="AJK40">
        <v>0</v>
      </c>
      <c r="AJL40">
        <v>0</v>
      </c>
      <c r="AJM40">
        <v>0</v>
      </c>
      <c r="AJN40">
        <v>0</v>
      </c>
      <c r="AJO40">
        <v>0</v>
      </c>
      <c r="AJP40">
        <v>0</v>
      </c>
      <c r="AJQ40">
        <v>0</v>
      </c>
      <c r="AJR40">
        <v>0</v>
      </c>
      <c r="AJS40">
        <v>0</v>
      </c>
      <c r="AJT40">
        <v>0</v>
      </c>
      <c r="AJU40">
        <v>0</v>
      </c>
      <c r="AJV40">
        <v>0</v>
      </c>
      <c r="AJW40">
        <v>0</v>
      </c>
      <c r="AJX40">
        <v>0</v>
      </c>
      <c r="AJY40">
        <v>0</v>
      </c>
      <c r="AJZ40">
        <v>0</v>
      </c>
      <c r="AKA40">
        <v>0</v>
      </c>
      <c r="AKB40">
        <v>0</v>
      </c>
      <c r="AKC40">
        <v>0</v>
      </c>
      <c r="AKD40">
        <v>0</v>
      </c>
      <c r="AKE40">
        <v>0</v>
      </c>
      <c r="AKF40">
        <v>0</v>
      </c>
      <c r="AKG40">
        <v>0</v>
      </c>
      <c r="AKH40">
        <v>0</v>
      </c>
      <c r="AKI40">
        <v>0</v>
      </c>
      <c r="AKJ40">
        <v>0</v>
      </c>
      <c r="AKK40">
        <v>0</v>
      </c>
      <c r="AKL40">
        <v>0</v>
      </c>
      <c r="AKM40">
        <v>0</v>
      </c>
      <c r="AKN40">
        <v>0</v>
      </c>
      <c r="AKO40">
        <v>0</v>
      </c>
      <c r="AKP40">
        <v>0</v>
      </c>
      <c r="AKQ40">
        <v>0</v>
      </c>
      <c r="AKR40">
        <v>0</v>
      </c>
      <c r="AKS40">
        <v>0</v>
      </c>
      <c r="AKT40">
        <v>0</v>
      </c>
      <c r="AKU40">
        <v>0</v>
      </c>
      <c r="AKV40">
        <v>0</v>
      </c>
      <c r="AKW40">
        <v>0</v>
      </c>
      <c r="AKX40">
        <v>0</v>
      </c>
      <c r="AKY40">
        <v>0</v>
      </c>
      <c r="AKZ40">
        <v>0</v>
      </c>
      <c r="ALA40">
        <v>0</v>
      </c>
      <c r="ALB40">
        <v>0</v>
      </c>
      <c r="ALC40">
        <v>0</v>
      </c>
      <c r="ALD40">
        <v>0</v>
      </c>
      <c r="ALE40">
        <v>0</v>
      </c>
      <c r="ALF40">
        <v>0</v>
      </c>
      <c r="ALG40">
        <v>0</v>
      </c>
      <c r="ALH40">
        <v>0</v>
      </c>
      <c r="ALI40">
        <v>0</v>
      </c>
      <c r="ALJ40">
        <v>0</v>
      </c>
      <c r="ALK40">
        <v>0</v>
      </c>
      <c r="ALL40">
        <v>0</v>
      </c>
      <c r="ALM40">
        <v>0</v>
      </c>
      <c r="ALN40">
        <v>0</v>
      </c>
      <c r="ALO40">
        <v>0</v>
      </c>
      <c r="ALP40">
        <v>0</v>
      </c>
      <c r="ALQ40">
        <v>0</v>
      </c>
    </row>
    <row r="41" spans="1:1005" ht="168">
      <c r="A41" s="365" t="s">
        <v>1145</v>
      </c>
      <c r="B41" s="366" t="s">
        <v>52</v>
      </c>
      <c r="C41" s="383" t="s">
        <v>1240</v>
      </c>
      <c r="D41" s="366" t="s">
        <v>97</v>
      </c>
      <c r="E41" s="378" t="s">
        <v>799</v>
      </c>
      <c r="F41" t="str">
        <f t="array" ref="F41:ALQ41" ca="1">TRANSPOSE(Filtered!AL2:AL1005)</f>
        <v>At submission, authors must explain any prior publication (including any electronic publication, such as a blog post) of the same or a substantially similar manuscript, or partial disclosure of data, as well as circumstances that might lead the editor-in-chief, deputy or associate editors, reviewers, or editorial staff to believe (1) that the manuscript may have been published elsewhere (e.g., when the title of a submitted manuscript is the same as or similar to the title of a previously published article), or (2) that the manuscript or one very similar to it may have been published in or submitted to Academic Medicine previously.</v>
      </c>
      <c r="G41" t="str">
        <f ca="1"/>
        <v/>
      </c>
      <c r="H41" t="str">
        <f ca="1"/>
        <v/>
      </c>
      <c r="I41" t="str">
        <f ca="1"/>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J41" t="str">
        <f ca="1"/>
        <v/>
      </c>
      <c r="K41" t="str">
        <f ca="1"/>
        <v>Ethics statement: "A scientist should not proclaim a discovery to the public unless the experimental, statistical, or theoretical support for it is of strength sufficient to warrant publication in the scientific literature. An account of the experimental work and results that support a public pronouncement should be submitted as quickly as possible for publication in a scientific journal. Scientists should, however, be aware that disclosure of research results in the public press or in an electronic database or bulletin board might be considered by a journal editor as equivalent to a preliminary communication in the scientific literature."</v>
      </c>
      <c r="L41" t="str">
        <f ca="1"/>
        <v/>
      </c>
      <c r="M41" t="str">
        <f ca="1"/>
        <v/>
      </c>
      <c r="N41" t="str">
        <f ca="1"/>
        <v/>
      </c>
      <c r="O41" t="str">
        <f ca="1"/>
        <v/>
      </c>
      <c r="P41" t="str">
        <f ca="1"/>
        <v/>
      </c>
      <c r="Q41" t="str">
        <f ca="1"/>
        <v/>
      </c>
      <c r="R41" t="str">
        <f ca="1"/>
        <v/>
      </c>
      <c r="S41" t="str">
        <f ca="1"/>
        <v/>
      </c>
      <c r="T41" t="str">
        <f ca="1"/>
        <v>"In the case of preprints, journals require that the material is not communicated with the media prior to publication of the paper in the journal family."</v>
      </c>
      <c r="U41" t="str">
        <f ca="1"/>
        <v/>
      </c>
      <c r="V41" t="str">
        <f ca="1"/>
        <v/>
      </c>
      <c r="W41" t="str">
        <f ca="1"/>
        <v>Authors whose research has been presented at a scientific meeting are of course still able to publish in any of our journals, but we ask that the media is not provided with any additional information prior to publication of the full article in the journal because it is important that journalists and readers have access to the full peer reviewed version of record. Prior presentation of the work at a conference should be acknowledged in the manuscript.</v>
      </c>
      <c r="X41" t="str">
        <f ca="1"/>
        <v/>
      </c>
      <c r="Y41" t="str">
        <f ca="1"/>
        <v/>
      </c>
      <c r="Z41" t="str">
        <f ca="1"/>
        <v/>
      </c>
      <c r="AA41" t="str">
        <f ca="1"/>
        <v/>
      </c>
      <c r="AB41" t="str">
        <f ca="1"/>
        <v/>
      </c>
      <c r="AC41" t="str">
        <f ca="1"/>
        <v/>
      </c>
      <c r="AD41" t="str">
        <f ca="1"/>
        <v>The publication of the manuscript as a preprint, as well as public comments or coverage about that preprint, will be considered in the evaluation of the manuscript's impact.</v>
      </c>
      <c r="AE41" t="str">
        <f ca="1"/>
        <v/>
      </c>
      <c r="AF41" s="93" t="str">
        <f ca="1"/>
        <v>"we ask that you refrain from talking to the media until one week prior to the online publication date of the paper…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https://www.cell.com/cancer-cell/authors#prepub</v>
      </c>
      <c r="AG41" t="str">
        <f ca="1"/>
        <v>Not specified for preprints, but general media policy: "press coverage and presentation at scientific conferences can sometimes affect consideration of submissions. For example, reporting the main findings of a manuscript in the mass media can compromise the novelty of the work and thus its appropriateness for publication by the AACR. Therefore, authors should feel free to present their data at scientific meetings but should not intentionally seek media attention or give copies of the figures or data from their manuscript to any reporter. If a reporter attends an author's session at a meeting and writes a story based only on the presentation, such coverage will not affect consideration of the author's manuscript.”</v>
      </c>
      <c r="AH41" t="str">
        <f ca="1"/>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https://www.cell.com/cell/authors
"Also, our prepublication publicity policies with regard to coverage in the broader media still apply to studies posted on preprint servers." — https://www.cell.com/cell/authors</v>
      </c>
      <c r="AI41" t="str">
        <f ca="1"/>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https://www.cell.com/cell-metabolism/authors
"Also, our prepublication publicity policies with regard to coverage in the broader media still apply to studies posted on preprint servers." — https://www.cell.com/cell-metabolism/authors</v>
      </c>
      <c r="AJ41" t="str">
        <f ca="1"/>
        <v>“Work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 — https://www.cell.com/cell-stem-cell/authors
"Also, our prepublication publicity policies with regard to coverage in the broader media still apply to studies posted on preprint servers." — https://www.cell.com/cell-stem-cell/authors</v>
      </c>
      <c r="AK41" t="str">
        <f ca="1"/>
        <v>Unsure</v>
      </c>
      <c r="AL41" t="str">
        <f ca="1"/>
        <v>Not specified</v>
      </c>
      <c r="AM41" t="str">
        <f ca="1"/>
        <v/>
      </c>
      <c r="AN41" t="str">
        <f ca="1"/>
        <v/>
      </c>
      <c r="AO41" t="str">
        <f ca="1"/>
        <v>Not specific to preprints: "Direct release of information through press releases or media briefings may preclude publication”</v>
      </c>
      <c r="AP41" t="str">
        <f ca="1"/>
        <v>Not specific to preprints: "Direct release of information through press releases or media briefings may preclude publication”</v>
      </c>
      <c r="AQ41" t="str">
        <f ca="1"/>
        <v/>
      </c>
      <c r="AR41" t="str">
        <f ca="1"/>
        <v/>
      </c>
      <c r="AS41" s="93" t="str">
        <f ca="1"/>
        <v>"If you are interested in reporting on a Diabetes Care article published online ahead of print, please specify in your news release that you are reporting on a preprint version of a study that is scheduled to be published in a future issue of Diabetes Care, currently available online at care.diabetesjournals.org/content/early/recent." — http://care.diabetesjournals.org/content/instructions-for-authors#media</v>
      </c>
      <c r="AT41" t="str">
        <f ca="1"/>
        <v/>
      </c>
      <c r="AU41" t="str">
        <f ca="1"/>
        <v/>
      </c>
      <c r="AV41" t="str">
        <f ca="1"/>
        <v/>
      </c>
      <c r="AW41" t="str">
        <f ca="1"/>
        <v/>
      </c>
      <c r="AX41" t="str">
        <f ca="1"/>
        <v/>
      </c>
      <c r="AY41" t="str">
        <f ca="1"/>
        <v/>
      </c>
      <c r="AZ41" t="str">
        <f ca="1"/>
        <v/>
      </c>
      <c r="BA41" t="str">
        <f ca="1"/>
        <v>Working papers or versions of the paper posted on a pre-print server: authors should alert the Editor when submitting their paper if they have posted it on a pre-print server. Authors should not post an updated version of their paper on the pre-print server while it is being peer reviewed for possible publication in the journal. If the article is accepted for publication, the author may re-use their work according to the journal's self-archiving policy: SAGE’s standard self-archiving policy can be found on our Author Gateway. Please note that individual journals may not accept for consideration papers that have been posted on pre-print servers. Please check the submission guidelines of the journal you are submitting to and confirm with the Editor or Editorial Office directly.</v>
      </c>
      <c r="BB41" t="str">
        <f ca="1"/>
        <v>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 AGU also often co-issues or otherwise coordinates press notifications with authors’ institutions. We also can coordinate publication of your AGU paper with publication of other papers in non-AGU journals on request of authors or their institutions. If you feel that your paper merits press or social media attention, or are planning a press release or other press notification about your paper, please fill out our form here.</v>
      </c>
      <c r="BC41" t="str">
        <f ca="1"/>
        <v/>
      </c>
      <c r="BD41" t="str">
        <f ca="1"/>
        <v/>
      </c>
      <c r="BE41" t="str">
        <f ca="1"/>
        <v>Preprints are preliminary reports of work that have not been peer reviewed. They should therefore not be used to guide clinical practice, health-related behavior or health policy. They should not be reported in the media as established information.</v>
      </c>
      <c r="BF41" t="str">
        <f ca="1"/>
        <v>"All papers are embargoed for release until a specified date. No story may be released to the public until 12:01 a.m. on the embargo date (this means that news stories may be printed, aired, or released electronically in that day's morning editions)." General embargo policy: https://www.healthaffairs.org/help-for-authors#embargopolicy</v>
      </c>
      <c r="BG41" t="str">
        <f ca="1"/>
        <v/>
      </c>
      <c r="BH41" t="str">
        <f ca="1"/>
        <v/>
      </c>
      <c r="BI41" t="str">
        <f ca="1"/>
        <v/>
      </c>
      <c r="BJ41" t="str">
        <f ca="1"/>
        <v/>
      </c>
      <c r="BK41" t="str">
        <f ca="1"/>
        <v>Papers submitted to ICCV must not be discussed with the press until they have been officially accepted for publication. Work explicitly identified as an ICCV submission also may not be advertised on social media. Please see the FAQ below for more details. Violations may result in the paper being rejected or removed from the conference and proceedings.</v>
      </c>
      <c r="BL41" t="str">
        <f ca="1"/>
        <v/>
      </c>
      <c r="BM41" t="str">
        <f ca="1"/>
        <v/>
      </c>
      <c r="BN41" t="str">
        <f ca="1"/>
        <v/>
      </c>
      <c r="BO41" t="str">
        <f ca="1"/>
        <v/>
      </c>
      <c r="BP41" t="str">
        <f ca="1"/>
        <v/>
      </c>
      <c r="BQ41" t="str">
        <f ca="1"/>
        <v>We want to make sure that your paper gets the attention it deserves, so we work with the popular and scientific media to promote coverage of your paper. As part of this process, we ask that you refrain from talking to the media until one week prior to the online publication date of the paper. If you do speak with the media at that time, please inform them that the paper is under media embargo until 11 AM US east coast time on the date of publication. We encourage you to present your work at scientific meetings, but we ask that you not discuss the findings with the media beyond the formal presentation. This policy covers work that is intended for submission, currently under consideration, or in press at a Cell Press journal. Additionally, before your paper is published, please do not discuss it or cite it as in press in review articles. However, you can discuss your embargoed paper with other scientific journals if the paper will be covered in review or news material that is intended to coincide or follow publication of your paper.</v>
      </c>
      <c r="BR41" t="str">
        <f ca="1"/>
        <v/>
      </c>
      <c r="BS41" t="str">
        <f ca="1"/>
        <v/>
      </c>
      <c r="BT41" t="str">
        <f ca="1"/>
        <v>Authors who present information contained in a manuscript that is under consideration by this journal during scientific or clinical meetings should not distribute complete reports (ie, copies of manuscripts) or full data presented as tables and figures to conference attendees or journalists. Publication of abstracts in print and online conference proceedings, as well as posting of slides or videos from the scientific presentation on the meeting website, is acceptable. However, for manuscripts under consideration by this journal, publication of full reports in meeting proceedings or online, issuing detailed news releases reporting the results of the study that go beyond the meeting abstract, or participation in formal news conferences will ordinarily jeopardize chances for publication of the submitted manuscript in this journal.5 Media coverage of presentations at scientific meetings will not jeopardize consideration, but direct release of information through press releases or news media briefings may preclude consideration of the manuscript by this journal.</v>
      </c>
      <c r="BU41" t="str">
        <f ca="1"/>
        <v/>
      </c>
      <c r="BV41" t="str">
        <f ca="1"/>
        <v/>
      </c>
      <c r="BW41" t="str">
        <f ca="1"/>
        <v/>
      </c>
      <c r="BX41" t="str">
        <f ca="1"/>
        <v/>
      </c>
      <c r="BY41" t="str">
        <f ca="1"/>
        <v/>
      </c>
      <c r="BZ41" t="str">
        <f ca="1"/>
        <v/>
      </c>
      <c r="CA41" t="str">
        <f ca="1"/>
        <v/>
      </c>
      <c r="CB41" t="str">
        <f ca="1"/>
        <v/>
      </c>
      <c r="CC41" t="str">
        <f ca="1"/>
        <v/>
      </c>
      <c r="CD41" t="str">
        <f ca="1"/>
        <v/>
      </c>
      <c r="CE41" t="str">
        <f ca="1"/>
        <v>Unclear, but states "This journal has an embargo period of 24 months.
 An adapted embargo period of 12 months will apply for UK researchers who are grant recipient from the Research Council UK, Wellcome Trust, Higher Education Funding Council for England, and who wish to self-archive their accepted author manuscript." - no mention of media coverage of preprints specifically.</v>
      </c>
      <c r="CF41" t="str">
        <f ca="1"/>
        <v>Not specific to preprints, but: "AGU does not consider prior press attention of a result as publication unless the release is so extensive that it would count as prior publication of a paper. AGU encourages authors to release results to the press at the time of publication when a full assessment is possible. AGU does not embargo press notifications and strives to distribute these as soon as AGU content is available online."</v>
      </c>
      <c r="CG41" t="str">
        <f ca="1"/>
        <v/>
      </c>
      <c r="CH41" t="str">
        <f ca="1"/>
        <v/>
      </c>
      <c r="CI41" t="str">
        <f ca="1"/>
        <v/>
      </c>
      <c r="CJ41" t="str">
        <f ca="1"/>
        <v/>
      </c>
      <c r="CK41" t="str">
        <f ca="1"/>
        <v/>
      </c>
      <c r="CL41" t="str">
        <f ca="1"/>
        <v/>
      </c>
      <c r="CM41" t="str">
        <f ca="1"/>
        <v/>
      </c>
      <c r="CN41" t="str">
        <f ca="1"/>
        <v/>
      </c>
      <c r="CO41" t="str">
        <f ca="1"/>
        <v/>
      </c>
      <c r="CP41" t="str">
        <f ca="1"/>
        <v/>
      </c>
      <c r="CQ41" t="str">
        <f ca="1"/>
        <v/>
      </c>
      <c r="CR41" t="str">
        <f ca="1"/>
        <v/>
      </c>
      <c r="CS41" t="str">
        <f ca="1"/>
        <v/>
      </c>
      <c r="CT41" t="str">
        <f ca="1"/>
        <v/>
      </c>
      <c r="CU41" t="str">
        <f ca="1"/>
        <v/>
      </c>
      <c r="CV41" t="str">
        <f ca="1"/>
        <v/>
      </c>
      <c r="CW41" t="str">
        <f ca="1"/>
        <v/>
      </c>
      <c r="CX41" t="str">
        <f ca="1"/>
        <v>Part of our role as a scientific publisher is to help ensure that the work you publish with us reaches the broadest possible readership within both the research community and the broader public. We understand that effective communication of the advances you have made helps promote public appreciation of science, and we want to do what we can to further that goal. We also take seriously our responsibility to support informed scientific journalism, and look to encourage balanced and accurate coverage that avoids inappropriate hype. To assist with these aims, we operate an embargoed press release system, which allows reporters a protected window to develop their stories. All Cell Press papers are made available to the media up to 7 days before publication and are under media embargo until 11 AM (US, ET) on their date of publication. The embargo date and time should be clearly communicated in any materials distributed about them. Work intended for submission to a Cell Press journal, currently under consideration at a Cell Press journal, or in press at a Cell Press journal may not be discussed with the media or other scientific journals until one week before publication. If authors choose to make their work available to the scientific community before publication, through presentation at a scientific meeting or posting online, we ask that they and their institutions refrain from actively seeking media attention for the work and avoid participating in interviews about it. Coverage that results from pre-publication communication can impact media interest in a paper at the time of publication and affect our ability to support responsible scientific journalism. Please contact our press office (press@cell.com) if you or your press officer need embargo information for your paper, you plan on hosting a press conference, or if there are special circumstances that you would like to discuss.</v>
      </c>
      <c r="CY41" t="str">
        <f ca="1"/>
        <v/>
      </c>
      <c r="CZ41" t="str">
        <f ca="1"/>
        <v/>
      </c>
      <c r="DA41" t="str">
        <f ca="1"/>
        <v/>
      </c>
      <c r="DB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C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D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E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F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G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H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I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J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K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L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M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N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O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P41" t="str">
        <f ca="1"/>
        <v>We strongly discourage authors and potential authors from direct solicitation of media coverage of material they have submitted to Nature and the Nature Research journals. Accepted contributions can be discussed with the media only once the publication date has been confirmed and no more than a week before the publication date under our embargo conditions. Please refer to the "Communications between scientists" section for more information about our embargo policy as it pertains to conference presentations and preprints.</v>
      </c>
      <c r="DQ41" t="str">
        <f ca="1"/>
        <v/>
      </c>
      <c r="DR41" t="str">
        <f ca="1"/>
        <v/>
      </c>
      <c r="DS41" t="str">
        <f ca="1"/>
        <v/>
      </c>
      <c r="DT41" t="str">
        <f ca="1"/>
        <v/>
      </c>
      <c r="DU41" t="str">
        <f ca="1"/>
        <v/>
      </c>
      <c r="DV41" t="str">
        <f ca="1"/>
        <v/>
      </c>
      <c r="DW41" t="str">
        <f ca="1"/>
        <v/>
      </c>
      <c r="DX41" t="str">
        <f ca="1"/>
        <v/>
      </c>
      <c r="DY41" s="93" t="str">
        <f ca="1"/>
        <v>our prepublication publicity policies with regard to coverage in the broader media still apply to studies posted on preprint servers.</v>
      </c>
      <c r="DZ41" t="str">
        <f ca="1"/>
        <v/>
      </c>
      <c r="EA41" t="str">
        <f ca="1"/>
        <v/>
      </c>
      <c r="EB41" t="str">
        <f ca="1"/>
        <v/>
      </c>
      <c r="EC41" t="str">
        <f ca="1"/>
        <v/>
      </c>
      <c r="ED41" t="str">
        <f ca="1"/>
        <v/>
      </c>
      <c r="EE41" t="str">
        <f ca="1"/>
        <v/>
      </c>
      <c r="EF41" t="str">
        <f ca="1"/>
        <v/>
      </c>
      <c r="EG41" t="str">
        <f ca="1"/>
        <v/>
      </c>
      <c r="EH41" t="str">
        <f ca="1"/>
        <v/>
      </c>
      <c r="EI41" t="str">
        <f ca="1"/>
        <v/>
      </c>
      <c r="EJ41" t="str">
        <f ca="1"/>
        <v/>
      </c>
      <c r="EK41" t="str">
        <f ca="1"/>
        <v/>
      </c>
      <c r="EL41" t="str">
        <f ca="1"/>
        <v/>
      </c>
      <c r="EM41" t="str">
        <f ca="1"/>
        <v>we may distribute advance copies of accepted manuscripts under embargo to the news media before online publication in the journal, we ask that authors inform us if a version of their submission has ever appeared on a publicly accessible preprint server. This helps us to ensure equitable dissemination of information to journalists.</v>
      </c>
      <c r="EN41" t="str">
        <f ca="1"/>
        <v/>
      </c>
      <c r="EO41" t="str">
        <f ca="1"/>
        <v/>
      </c>
      <c r="EP41" t="str">
        <f ca="1"/>
        <v/>
      </c>
      <c r="EQ41" t="str">
        <f ca="1"/>
        <v/>
      </c>
      <c r="ER41" t="str">
        <f ca="1"/>
        <v/>
      </c>
      <c r="ES41" t="str">
        <f ca="1"/>
        <v/>
      </c>
      <c r="ET41" t="str">
        <f ca="1"/>
        <v/>
      </c>
      <c r="EU41" t="str">
        <f ca="1"/>
        <v>Manuscripts posted at a preprint server should not be discussed with the media prior to publication. Please contact the editors with questions regarding allowable postings to other servers.</v>
      </c>
      <c r="EV41" t="str">
        <f ca="1"/>
        <v>We generally encourage presentation of original results prior to publication at scientific meetings. Nevertheless, press coverage and presentation at scientific conferences can sometimes affect consideration of papers at Science Translational Medicine. For example, reporting the main findings of a paper in the mass media can compromise the novelty of the work and thus its appropriateness for Science Translational Medicine. Therefore, authors should feel free to present their data at scientific meetings but should not overtly seek media attention or give copies of the figures or data from their manuscript to any reporter. If a reporter attends an author's session at a meeting and writes a story based only on the presentation, such coverage will not affect Science Translational Medicine's consideration of the author's paper. (For more information, please see the embargo entry in the Science Contributors FAQ.)</v>
      </c>
      <c r="EW41" t="str">
        <f ca="1"/>
        <v>Researchers are welcome to respond to requests from the media in response to a preprint or conference presentation, by providing explanation or clarification of the work, or information about its context. In these circumstances, media coverage will not hinder editorial handling of the submission.
Researchers should be aware that such coverage may reduce or pre-empt coverage by other media at the time of publication. We also advise that researchers approached by reporters in response to a preprint make it clear that the paper has not yet undergone peer review, and that the content is provisional. Details of peer review should be kept confidential.</v>
      </c>
      <c r="EX41" t="str">
        <f ca="1"/>
        <v/>
      </c>
      <c r="EY41" t="str">
        <f ca="1"/>
        <v/>
      </c>
      <c r="EZ41" t="str">
        <f ca="1"/>
        <v/>
      </c>
      <c r="FA41" t="str">
        <f ca="1"/>
        <v/>
      </c>
      <c r="FB41" t="str">
        <f ca="1"/>
        <v/>
      </c>
      <c r="FC41" t="str">
        <f ca="1"/>
        <v/>
      </c>
      <c r="FD41" t="str">
        <f ca="1"/>
        <v/>
      </c>
      <c r="FE41" t="str">
        <f ca="1"/>
        <v/>
      </c>
      <c r="FF41" t="str">
        <f ca="1"/>
        <v/>
      </c>
      <c r="FG41" t="str">
        <f ca="1"/>
        <v/>
      </c>
      <c r="FH41" t="str">
        <f ca="1"/>
        <v>The JCI considers the following to be prior publication and therefore unacceptable:
 any printed or online material describing the findings, methods, or results of a submitted/in-press manuscript in excess of 400 words
 any published tables or illustrations that in any way duplicate the content of another manuscript
 videotapes of professional meetings distributed to the public or the press describing data included in a manuscript submitted for publication or in press
 any interview given to members of the scientific or lay press describing data included in a manuscript submitted for publication or in press
 The JCI does not consider doctoral theses or dissertations to be prior publications.</v>
      </c>
      <c r="FI41" t="str">
        <f ca="1"/>
        <v/>
      </c>
      <c r="FJ41" t="str">
        <f ca="1"/>
        <v/>
      </c>
      <c r="FK41" t="str">
        <f ca="1"/>
        <v xml:space="preserve">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 Please contact The Lancet press office (pressoffice@lancet.com) if you have any questions.                </v>
      </c>
      <c r="FL41" t="str">
        <f ca="1"/>
        <v xml:space="preserve">The Lancet journals operate an embargo system, whereby journalists are given access to papers and press releases ahead of publication, allowing them a protected window to develop their stories. We believe that this window  an help encourage balanced and accurate coverage of peer-reviewed scientific and medical research to inform public debate. As such, we ask that authors and their institutions refrain from actively seeking media attention for articles that have been submitted to The Lancet Neurology or that are available as a preprint. The important steps of thorough peer review and experienced editorial scrutiny and guidance, together with putting research findings into a wider context and highlighting implications for clinical practice, will make the final published paper in The Lancet Neurology very different to the submitted or preprint version. Coverage that results from pre-publication communication can impact media interest at the time of publication and our ability to support responsible journalism </v>
      </c>
      <c r="FM41" t="str">
        <f ca="1"/>
        <v xml:space="preserve">As such, we ask that authors and their institutions refrain from actively seeking media attention for articles that have been submitted to The Lancet Oncology or that are available as a preprint. </v>
      </c>
      <c r="FN41" t="str">
        <f ca="1"/>
        <v/>
      </c>
      <c r="FO41" t="str">
        <f ca="1"/>
        <v/>
      </c>
      <c r="FP41" t="str">
        <f ca="1"/>
        <v/>
      </c>
      <c r="FQ41" t="str">
        <f ca="1"/>
        <v/>
      </c>
      <c r="FR41" t="str">
        <f ca="1"/>
        <v/>
      </c>
      <c r="FS41" t="str">
        <f ca="1"/>
        <v/>
      </c>
      <c r="FT41" t="str">
        <f ca="1"/>
        <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c r="ALO41">
        <v>0</v>
      </c>
      <c r="ALP41">
        <v>0</v>
      </c>
      <c r="ALQ41">
        <v>0</v>
      </c>
    </row>
    <row r="42" spans="1:1005" ht="84">
      <c r="A42" s="365" t="s">
        <v>1145</v>
      </c>
      <c r="B42" s="366" t="s">
        <v>53</v>
      </c>
      <c r="C42" s="383" t="s">
        <v>1266</v>
      </c>
      <c r="D42" s="366" t="s">
        <v>97</v>
      </c>
      <c r="E42" s="378" t="s">
        <v>799</v>
      </c>
      <c r="F42" t="str">
        <f t="array" ref="F42:ALQ42" ca="1">TRANSPOSE(Filtered!AM2:AM1005)</f>
        <v>Not specified</v>
      </c>
      <c r="G42" t="str">
        <f ca="1"/>
        <v/>
      </c>
      <c r="H42" t="str">
        <f ca="1"/>
        <v/>
      </c>
      <c r="I42" t="str">
        <f ca="1"/>
        <v/>
      </c>
      <c r="J42" t="str">
        <f ca="1"/>
        <v/>
      </c>
      <c r="K42" t="str">
        <f ca="1"/>
        <v>Not specified</v>
      </c>
      <c r="L42" t="str">
        <f ca="1"/>
        <v/>
      </c>
      <c r="M42" t="str">
        <f ca="1"/>
        <v/>
      </c>
      <c r="N42" t="str">
        <f ca="1"/>
        <v>Not specified</v>
      </c>
      <c r="O42" t="str">
        <f ca="1"/>
        <v/>
      </c>
      <c r="P42" t="str">
        <f ca="1"/>
        <v/>
      </c>
      <c r="Q42" t="str">
        <f ca="1"/>
        <v/>
      </c>
      <c r="R42" t="str">
        <f ca="1"/>
        <v/>
      </c>
      <c r="S42" t="str">
        <f ca="1"/>
        <v/>
      </c>
      <c r="T42" t="str">
        <f ca="1"/>
        <v/>
      </c>
      <c r="U42" t="str">
        <f ca="1"/>
        <v/>
      </c>
      <c r="V42" t="str">
        <f ca="1"/>
        <v/>
      </c>
      <c r="W42" t="str">
        <f ca="1"/>
        <v>BMJ places no restrictions on the licence chosen when posting a preprint version of work</v>
      </c>
      <c r="X42" t="str">
        <f ca="1"/>
        <v/>
      </c>
      <c r="Y42" t="str">
        <f ca="1"/>
        <v/>
      </c>
      <c r="Z42" t="str">
        <f ca="1"/>
        <v/>
      </c>
      <c r="AA42" t="str">
        <f ca="1"/>
        <v/>
      </c>
      <c r="AB42" t="str">
        <f ca="1"/>
        <v/>
      </c>
      <c r="AC42" t="str">
        <f ca="1"/>
        <v/>
      </c>
      <c r="AD42" t="str">
        <f ca="1"/>
        <v/>
      </c>
      <c r="AE42" t="str">
        <f ca="1"/>
        <v>BMJ places no restrictions on the licence chosen when posting a preprint version of work (eg authors may choose CC BY or CC BY NC), but authors must retain copyright of their work when posting to a preprint server.</v>
      </c>
      <c r="AF42" t="str">
        <f ca="1"/>
        <v/>
      </c>
      <c r="AG42" t="str">
        <f ca="1"/>
        <v>Not specified</v>
      </c>
      <c r="AH42" t="str">
        <f ca="1"/>
        <v>Not specified</v>
      </c>
      <c r="AI42" t="str">
        <f ca="1"/>
        <v>Not specified</v>
      </c>
      <c r="AJ42" t="str">
        <f ca="1"/>
        <v>Not specified</v>
      </c>
      <c r="AK42" t="str">
        <f ca="1"/>
        <v>Not specified</v>
      </c>
      <c r="AL42" t="str">
        <f ca="1"/>
        <v>Not specified</v>
      </c>
      <c r="AM42" t="str">
        <f ca="1"/>
        <v/>
      </c>
      <c r="AN42" t="str">
        <f ca="1"/>
        <v/>
      </c>
      <c r="AO42" t="str">
        <f ca="1"/>
        <v/>
      </c>
      <c r="AP42" t="str">
        <f ca="1"/>
        <v/>
      </c>
      <c r="AQ42" t="str">
        <f ca="1"/>
        <v/>
      </c>
      <c r="AR42" t="str">
        <f ca="1"/>
        <v/>
      </c>
      <c r="AS42" t="str">
        <f ca="1"/>
        <v/>
      </c>
      <c r="AT42" t="str">
        <f ca="1"/>
        <v/>
      </c>
      <c r="AU42" t="str">
        <f ca="1"/>
        <v/>
      </c>
      <c r="AV42" t="str">
        <f ca="1"/>
        <v/>
      </c>
      <c r="AW42" t="str">
        <f ca="1"/>
        <v/>
      </c>
      <c r="AX42" t="str">
        <f ca="1"/>
        <v/>
      </c>
      <c r="AY42" t="str">
        <f ca="1"/>
        <v/>
      </c>
      <c r="AZ42" t="str">
        <f ca="1"/>
        <v/>
      </c>
      <c r="BA42" t="str">
        <f ca="1"/>
        <v/>
      </c>
      <c r="BB42" t="str">
        <f ca="1"/>
        <v/>
      </c>
      <c r="BC42" t="str">
        <f ca="1"/>
        <v/>
      </c>
      <c r="BD42" t="str">
        <f ca="1"/>
        <v/>
      </c>
      <c r="BE42" t="str">
        <f ca="1"/>
        <v>BMJ places no restrictions on the licence chosen when posting a preprint version of work (eg authors may choose CC BY or CC BY NC), but authors must retain copyright of their work when posting to a preprint server. Authors must include a link/DOI to the preprint version of your manuscript when submitting to a BMJ journal</v>
      </c>
      <c r="BF42" t="str">
        <f ca="1"/>
        <v/>
      </c>
      <c r="BG42" t="str">
        <f ca="1"/>
        <v/>
      </c>
      <c r="BH42" t="str">
        <f ca="1"/>
        <v/>
      </c>
      <c r="BI42" t="str">
        <f ca="1"/>
        <v/>
      </c>
      <c r="BJ42" t="str">
        <f ca="1"/>
        <v/>
      </c>
      <c r="BK42" t="str">
        <f ca="1"/>
        <v>Not specified</v>
      </c>
      <c r="BL42" t="str">
        <f ca="1"/>
        <v>Once an article is accepted, it must be removed from all commercial servers and IEEE must be listed as copyright holder.</v>
      </c>
      <c r="BM42" t="str">
        <f ca="1"/>
        <v>Once an article is accepted, it must be removed from all commercial servers and IEEE must be listed as copyright holder.</v>
      </c>
      <c r="BN42" t="str">
        <f ca="1"/>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BO42" t="str">
        <f ca="1"/>
        <v>If the preprint is posted after the article is submitted to IEEE for peer review, IEEE must be credited as the copyright holder with the following statement included on the initial screen displaying IEEE-copyrighted material:
“© 20XX IEEE.  Personal use of this material is permitted.  Permission from IEEE must be obtained for all other uses, in any current or future media, including reprinting/republishing this material for advertising or promotional purposes, creating new collective works, for resale or redistribution to servers or lists, or reuse of any copyrighted component of this work in other works.”</v>
      </c>
      <c r="BP42" t="str">
        <f ca="1"/>
        <v/>
      </c>
      <c r="BQ42" t="str">
        <f ca="1"/>
        <v/>
      </c>
      <c r="BR42" t="str">
        <f ca="1"/>
        <v/>
      </c>
      <c r="BS42" t="str">
        <f ca="1"/>
        <v/>
      </c>
      <c r="BT42" t="str">
        <f ca="1"/>
        <v/>
      </c>
      <c r="BU42" t="str">
        <f ca="1"/>
        <v/>
      </c>
      <c r="BV42" t="str">
        <f ca="1"/>
        <v/>
      </c>
      <c r="BW42" t="str">
        <f ca="1"/>
        <v/>
      </c>
      <c r="BX42" t="str">
        <f ca="1"/>
        <v/>
      </c>
      <c r="BY42" t="str">
        <f ca="1"/>
        <v/>
      </c>
      <c r="BZ42" t="str">
        <f ca="1"/>
        <v/>
      </c>
      <c r="CA42" t="str">
        <f ca="1"/>
        <v/>
      </c>
      <c r="CB42" t="str">
        <f ca="1"/>
        <v/>
      </c>
      <c r="CC42" t="str">
        <f ca="1"/>
        <v/>
      </c>
      <c r="CD42" t="str">
        <f ca="1"/>
        <v>CC0 and CC-BY are supported by PsyArXiv, so presumably these licenses are ok</v>
      </c>
      <c r="CE42" t="str">
        <f ca="1"/>
        <v/>
      </c>
      <c r="CF42" t="str">
        <f ca="1"/>
        <v/>
      </c>
      <c r="CG42" t="str">
        <f ca="1"/>
        <v/>
      </c>
      <c r="CH42" t="str">
        <f ca="1"/>
        <v/>
      </c>
      <c r="CI42" t="str">
        <f ca="1"/>
        <v/>
      </c>
      <c r="CJ42" t="str">
        <f ca="1"/>
        <v/>
      </c>
      <c r="CK42" t="str">
        <f ca="1"/>
        <v/>
      </c>
      <c r="CL42" t="str">
        <f ca="1"/>
        <v/>
      </c>
      <c r="CM42" t="str">
        <f ca="1"/>
        <v/>
      </c>
      <c r="CN42" t="str">
        <f ca="1"/>
        <v/>
      </c>
      <c r="CO42" t="str">
        <f ca="1"/>
        <v/>
      </c>
      <c r="CP42" t="str">
        <f ca="1"/>
        <v/>
      </c>
      <c r="CQ42" t="str">
        <f ca="1"/>
        <v/>
      </c>
      <c r="CR42" t="str">
        <f ca="1"/>
        <v/>
      </c>
      <c r="CS42" t="str">
        <f ca="1"/>
        <v/>
      </c>
      <c r="CT42" t="str">
        <f ca="1"/>
        <v/>
      </c>
      <c r="CU42" t="str">
        <f ca="1"/>
        <v/>
      </c>
      <c r="CV42" t="str">
        <f ca="1"/>
        <v/>
      </c>
      <c r="CW42" t="str">
        <f ca="1"/>
        <v/>
      </c>
      <c r="CX42" t="str">
        <f ca="1"/>
        <v/>
      </c>
      <c r="CY42" t="str">
        <f ca="1"/>
        <v/>
      </c>
      <c r="CZ42" t="str">
        <f ca="1"/>
        <v>Not specified</v>
      </c>
      <c r="DA42" t="str">
        <f ca="1"/>
        <v/>
      </c>
      <c r="DB42" t="str">
        <f ca="1"/>
        <v/>
      </c>
      <c r="DC42" t="str">
        <f ca="1"/>
        <v/>
      </c>
      <c r="DD42" t="str">
        <f ca="1"/>
        <v/>
      </c>
      <c r="DE42" t="str">
        <f ca="1"/>
        <v/>
      </c>
      <c r="DF42" t="str">
        <f ca="1"/>
        <v/>
      </c>
      <c r="DG42" t="str">
        <f ca="1"/>
        <v/>
      </c>
      <c r="DH42" t="str">
        <f ca="1"/>
        <v/>
      </c>
      <c r="DI42" t="str">
        <f ca="1"/>
        <v/>
      </c>
      <c r="DJ42" t="str">
        <f ca="1"/>
        <v/>
      </c>
      <c r="DK42" t="str">
        <f ca="1"/>
        <v/>
      </c>
      <c r="DL42" t="str">
        <f ca="1"/>
        <v/>
      </c>
      <c r="DM42" t="str">
        <f ca="1"/>
        <v/>
      </c>
      <c r="DN42" t="str">
        <f ca="1"/>
        <v/>
      </c>
      <c r="DO42" t="str">
        <f ca="1"/>
        <v/>
      </c>
      <c r="DP42" t="str">
        <f ca="1"/>
        <v/>
      </c>
      <c r="DQ42" t="str">
        <f ca="1"/>
        <v/>
      </c>
      <c r="DR42" t="str">
        <f ca="1"/>
        <v/>
      </c>
      <c r="DS42" t="str">
        <f ca="1"/>
        <v/>
      </c>
      <c r="DT42" t="str">
        <f ca="1"/>
        <v/>
      </c>
      <c r="DU42" t="str">
        <f ca="1"/>
        <v/>
      </c>
      <c r="DV42" t="str">
        <f ca="1"/>
        <v/>
      </c>
      <c r="DW42" t="str">
        <f ca="1"/>
        <v/>
      </c>
      <c r="DX42" t="str">
        <f ca="1"/>
        <v/>
      </c>
      <c r="DY42" t="str">
        <f ca="1"/>
        <v>Not specified</v>
      </c>
      <c r="DZ42" t="str">
        <f ca="1"/>
        <v/>
      </c>
      <c r="EA42" t="str">
        <f ca="1"/>
        <v/>
      </c>
      <c r="EB42" t="str">
        <f ca="1"/>
        <v/>
      </c>
      <c r="EC42" t="str">
        <f ca="1"/>
        <v/>
      </c>
      <c r="ED42" t="str">
        <f ca="1"/>
        <v/>
      </c>
      <c r="EE42" t="str">
        <f ca="1"/>
        <v/>
      </c>
      <c r="EF42" t="str">
        <f ca="1"/>
        <v/>
      </c>
      <c r="EG42" t="str">
        <f ca="1"/>
        <v/>
      </c>
      <c r="EH42" t="str">
        <f ca="1"/>
        <v/>
      </c>
      <c r="EI42" t="str">
        <f ca="1"/>
        <v/>
      </c>
      <c r="EJ42" t="str">
        <f ca="1"/>
        <v/>
      </c>
      <c r="EK42" t="str">
        <f ca="1"/>
        <v/>
      </c>
      <c r="EL42" t="str">
        <f ca="1"/>
        <v/>
      </c>
      <c r="EM42" t="str">
        <f ca="1"/>
        <v>[https://www.pnas.org/content/96/8/4215] We have never refused to consider a manuscript based on the license that an author has chosen for its preprint, options for which include Creative Commons (CC) licenses.</v>
      </c>
      <c r="EN42" t="str">
        <f ca="1"/>
        <v/>
      </c>
      <c r="EO42" t="str">
        <f ca="1"/>
        <v/>
      </c>
      <c r="EP42" t="str">
        <f ca="1"/>
        <v/>
      </c>
      <c r="EQ42" t="str">
        <f ca="1"/>
        <v/>
      </c>
      <c r="ER42" t="str">
        <f ca="1"/>
        <v/>
      </c>
      <c r="ES42" t="str">
        <f ca="1"/>
        <v/>
      </c>
      <c r="ET42" t="str">
        <f ca="1"/>
        <v/>
      </c>
      <c r="EU42" t="str">
        <f ca="1"/>
        <v/>
      </c>
      <c r="EV42" t="str">
        <f ca="1"/>
        <v/>
      </c>
      <c r="EW42" t="str">
        <f ca="1"/>
        <v/>
      </c>
      <c r="EX42" t="str">
        <f ca="1"/>
        <v/>
      </c>
      <c r="EY42" t="str">
        <f ca="1"/>
        <v/>
      </c>
      <c r="EZ42" t="str">
        <f ca="1"/>
        <v/>
      </c>
      <c r="FA42" t="str">
        <f ca="1"/>
        <v/>
      </c>
      <c r="FB42" t="str">
        <f ca="1"/>
        <v/>
      </c>
      <c r="FC42" t="str">
        <f ca="1"/>
        <v/>
      </c>
      <c r="FD42" t="str">
        <f ca="1"/>
        <v/>
      </c>
      <c r="FE42" t="str">
        <f ca="1"/>
        <v/>
      </c>
      <c r="FF42" t="str">
        <f ca="1"/>
        <v/>
      </c>
      <c r="FG42" t="str">
        <f ca="1"/>
        <v/>
      </c>
      <c r="FH42" t="str">
        <f ca="1"/>
        <v/>
      </c>
      <c r="FI42" t="str">
        <f ca="1"/>
        <v/>
      </c>
      <c r="FJ42" t="str">
        <f ca="1"/>
        <v/>
      </c>
      <c r="FK42" t="str">
        <f ca="1"/>
        <v/>
      </c>
      <c r="FL42" t="str">
        <f ca="1"/>
        <v/>
      </c>
      <c r="FM42" t="str">
        <f ca="1"/>
        <v/>
      </c>
      <c r="FN42" t="str">
        <f ca="1"/>
        <v/>
      </c>
      <c r="FO42" t="str">
        <f ca="1"/>
        <v/>
      </c>
      <c r="FP42" t="str">
        <f ca="1"/>
        <v/>
      </c>
      <c r="FQ42" t="str">
        <f ca="1"/>
        <v/>
      </c>
      <c r="FR42" t="str">
        <f ca="1"/>
        <v/>
      </c>
      <c r="FS42" t="str">
        <f ca="1"/>
        <v/>
      </c>
      <c r="FT42" t="str">
        <f ca="1"/>
        <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0</v>
      </c>
      <c r="LN42">
        <v>0</v>
      </c>
      <c r="LO42">
        <v>0</v>
      </c>
      <c r="LP42">
        <v>0</v>
      </c>
      <c r="LQ42">
        <v>0</v>
      </c>
      <c r="LR42">
        <v>0</v>
      </c>
      <c r="LS42">
        <v>0</v>
      </c>
      <c r="LT42">
        <v>0</v>
      </c>
      <c r="LU42">
        <v>0</v>
      </c>
      <c r="LV42">
        <v>0</v>
      </c>
      <c r="LW42">
        <v>0</v>
      </c>
      <c r="LX42">
        <v>0</v>
      </c>
      <c r="LY42">
        <v>0</v>
      </c>
      <c r="LZ42">
        <v>0</v>
      </c>
      <c r="MA42">
        <v>0</v>
      </c>
      <c r="MB42">
        <v>0</v>
      </c>
      <c r="MC42">
        <v>0</v>
      </c>
      <c r="MD42">
        <v>0</v>
      </c>
      <c r="ME42">
        <v>0</v>
      </c>
      <c r="MF42">
        <v>0</v>
      </c>
      <c r="MG42">
        <v>0</v>
      </c>
      <c r="MH42">
        <v>0</v>
      </c>
      <c r="MI42">
        <v>0</v>
      </c>
      <c r="MJ42">
        <v>0</v>
      </c>
      <c r="MK42">
        <v>0</v>
      </c>
      <c r="ML42">
        <v>0</v>
      </c>
      <c r="MM42">
        <v>0</v>
      </c>
      <c r="MN42">
        <v>0</v>
      </c>
      <c r="MO42">
        <v>0</v>
      </c>
      <c r="MP42">
        <v>0</v>
      </c>
      <c r="MQ42">
        <v>0</v>
      </c>
      <c r="MR42">
        <v>0</v>
      </c>
      <c r="MS42">
        <v>0</v>
      </c>
      <c r="MT42">
        <v>0</v>
      </c>
      <c r="MU42">
        <v>0</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0</v>
      </c>
      <c r="PG42">
        <v>0</v>
      </c>
      <c r="PH42">
        <v>0</v>
      </c>
      <c r="PI42">
        <v>0</v>
      </c>
      <c r="PJ42">
        <v>0</v>
      </c>
      <c r="PK42">
        <v>0</v>
      </c>
      <c r="PL42">
        <v>0</v>
      </c>
      <c r="PM42">
        <v>0</v>
      </c>
      <c r="PN42">
        <v>0</v>
      </c>
      <c r="PO42">
        <v>0</v>
      </c>
      <c r="PP42">
        <v>0</v>
      </c>
      <c r="PQ42">
        <v>0</v>
      </c>
      <c r="PR42">
        <v>0</v>
      </c>
      <c r="PS42">
        <v>0</v>
      </c>
      <c r="PT42">
        <v>0</v>
      </c>
      <c r="PU42">
        <v>0</v>
      </c>
      <c r="PV42">
        <v>0</v>
      </c>
      <c r="PW42">
        <v>0</v>
      </c>
      <c r="PX42">
        <v>0</v>
      </c>
      <c r="PY42">
        <v>0</v>
      </c>
      <c r="PZ42">
        <v>0</v>
      </c>
      <c r="QA42">
        <v>0</v>
      </c>
      <c r="QB42">
        <v>0</v>
      </c>
      <c r="QC42">
        <v>0</v>
      </c>
      <c r="QD42">
        <v>0</v>
      </c>
      <c r="QE42">
        <v>0</v>
      </c>
      <c r="QF42">
        <v>0</v>
      </c>
      <c r="QG42">
        <v>0</v>
      </c>
      <c r="QH42">
        <v>0</v>
      </c>
      <c r="QI42">
        <v>0</v>
      </c>
      <c r="QJ42">
        <v>0</v>
      </c>
      <c r="QK42">
        <v>0</v>
      </c>
      <c r="QL42">
        <v>0</v>
      </c>
      <c r="QM42">
        <v>0</v>
      </c>
      <c r="QN42">
        <v>0</v>
      </c>
      <c r="QO42">
        <v>0</v>
      </c>
      <c r="QP42">
        <v>0</v>
      </c>
      <c r="QQ42">
        <v>0</v>
      </c>
      <c r="QR42">
        <v>0</v>
      </c>
      <c r="QS42">
        <v>0</v>
      </c>
      <c r="QT42">
        <v>0</v>
      </c>
      <c r="QU42">
        <v>0</v>
      </c>
      <c r="QV42">
        <v>0</v>
      </c>
      <c r="QW42">
        <v>0</v>
      </c>
      <c r="QX42">
        <v>0</v>
      </c>
      <c r="QY42">
        <v>0</v>
      </c>
      <c r="QZ42">
        <v>0</v>
      </c>
      <c r="RA42">
        <v>0</v>
      </c>
      <c r="RB42">
        <v>0</v>
      </c>
      <c r="RC42">
        <v>0</v>
      </c>
      <c r="RD42">
        <v>0</v>
      </c>
      <c r="RE42">
        <v>0</v>
      </c>
      <c r="RF42">
        <v>0</v>
      </c>
      <c r="RG42">
        <v>0</v>
      </c>
      <c r="RH42">
        <v>0</v>
      </c>
      <c r="RI42">
        <v>0</v>
      </c>
      <c r="RJ42">
        <v>0</v>
      </c>
      <c r="RK42">
        <v>0</v>
      </c>
      <c r="RL42">
        <v>0</v>
      </c>
      <c r="RM42">
        <v>0</v>
      </c>
      <c r="RN42">
        <v>0</v>
      </c>
      <c r="RO42">
        <v>0</v>
      </c>
      <c r="RP42">
        <v>0</v>
      </c>
      <c r="RQ42">
        <v>0</v>
      </c>
      <c r="RR42">
        <v>0</v>
      </c>
      <c r="RS42">
        <v>0</v>
      </c>
      <c r="RT42">
        <v>0</v>
      </c>
      <c r="RU42">
        <v>0</v>
      </c>
      <c r="RV42">
        <v>0</v>
      </c>
      <c r="RW42">
        <v>0</v>
      </c>
      <c r="RX42">
        <v>0</v>
      </c>
      <c r="RY42">
        <v>0</v>
      </c>
      <c r="RZ42">
        <v>0</v>
      </c>
      <c r="SA42">
        <v>0</v>
      </c>
      <c r="SB42">
        <v>0</v>
      </c>
      <c r="SC42">
        <v>0</v>
      </c>
      <c r="SD42">
        <v>0</v>
      </c>
      <c r="SE42">
        <v>0</v>
      </c>
      <c r="SF42">
        <v>0</v>
      </c>
      <c r="SG42">
        <v>0</v>
      </c>
      <c r="SH42">
        <v>0</v>
      </c>
      <c r="SI42">
        <v>0</v>
      </c>
      <c r="SJ42">
        <v>0</v>
      </c>
      <c r="SK42">
        <v>0</v>
      </c>
      <c r="SL42">
        <v>0</v>
      </c>
      <c r="SM42">
        <v>0</v>
      </c>
      <c r="SN42">
        <v>0</v>
      </c>
      <c r="SO42">
        <v>0</v>
      </c>
      <c r="SP42">
        <v>0</v>
      </c>
      <c r="SQ42">
        <v>0</v>
      </c>
      <c r="SR42">
        <v>0</v>
      </c>
      <c r="SS42">
        <v>0</v>
      </c>
      <c r="ST42">
        <v>0</v>
      </c>
      <c r="SU42">
        <v>0</v>
      </c>
      <c r="SV42">
        <v>0</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0</v>
      </c>
      <c r="TV42">
        <v>0</v>
      </c>
      <c r="TW42">
        <v>0</v>
      </c>
      <c r="TX42">
        <v>0</v>
      </c>
      <c r="TY42">
        <v>0</v>
      </c>
      <c r="TZ42">
        <v>0</v>
      </c>
      <c r="UA42">
        <v>0</v>
      </c>
      <c r="UB42">
        <v>0</v>
      </c>
      <c r="UC42">
        <v>0</v>
      </c>
      <c r="UD42">
        <v>0</v>
      </c>
      <c r="UE42">
        <v>0</v>
      </c>
      <c r="UF42">
        <v>0</v>
      </c>
      <c r="UG42">
        <v>0</v>
      </c>
      <c r="UH42">
        <v>0</v>
      </c>
      <c r="UI42">
        <v>0</v>
      </c>
      <c r="UJ42">
        <v>0</v>
      </c>
      <c r="UK42">
        <v>0</v>
      </c>
      <c r="UL42">
        <v>0</v>
      </c>
      <c r="UM42">
        <v>0</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v>0</v>
      </c>
      <c r="VP42">
        <v>0</v>
      </c>
      <c r="VQ42">
        <v>0</v>
      </c>
      <c r="VR42">
        <v>0</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M42">
        <v>0</v>
      </c>
      <c r="WN42">
        <v>0</v>
      </c>
      <c r="WO42">
        <v>0</v>
      </c>
      <c r="WP42">
        <v>0</v>
      </c>
      <c r="WQ42">
        <v>0</v>
      </c>
      <c r="WR42">
        <v>0</v>
      </c>
      <c r="WS42">
        <v>0</v>
      </c>
      <c r="WT42">
        <v>0</v>
      </c>
      <c r="WU42">
        <v>0</v>
      </c>
      <c r="WV42">
        <v>0</v>
      </c>
      <c r="WW42">
        <v>0</v>
      </c>
      <c r="WX42">
        <v>0</v>
      </c>
      <c r="WY42">
        <v>0</v>
      </c>
      <c r="WZ42">
        <v>0</v>
      </c>
      <c r="XA42">
        <v>0</v>
      </c>
      <c r="XB42">
        <v>0</v>
      </c>
      <c r="XC42">
        <v>0</v>
      </c>
      <c r="XD42">
        <v>0</v>
      </c>
      <c r="XE42">
        <v>0</v>
      </c>
      <c r="XF42">
        <v>0</v>
      </c>
      <c r="XG42">
        <v>0</v>
      </c>
      <c r="XH42">
        <v>0</v>
      </c>
      <c r="XI42">
        <v>0</v>
      </c>
      <c r="XJ42">
        <v>0</v>
      </c>
      <c r="XK42">
        <v>0</v>
      </c>
      <c r="XL42">
        <v>0</v>
      </c>
      <c r="XM42">
        <v>0</v>
      </c>
      <c r="XN42">
        <v>0</v>
      </c>
      <c r="XO42">
        <v>0</v>
      </c>
      <c r="XP42">
        <v>0</v>
      </c>
      <c r="XQ42">
        <v>0</v>
      </c>
      <c r="XR42">
        <v>0</v>
      </c>
      <c r="XS42">
        <v>0</v>
      </c>
      <c r="XT42">
        <v>0</v>
      </c>
      <c r="XU42">
        <v>0</v>
      </c>
      <c r="XV42">
        <v>0</v>
      </c>
      <c r="XW42">
        <v>0</v>
      </c>
      <c r="XX42">
        <v>0</v>
      </c>
      <c r="XY42">
        <v>0</v>
      </c>
      <c r="XZ42">
        <v>0</v>
      </c>
      <c r="YA42">
        <v>0</v>
      </c>
      <c r="YB42">
        <v>0</v>
      </c>
      <c r="YC42">
        <v>0</v>
      </c>
      <c r="YD42">
        <v>0</v>
      </c>
      <c r="YE42">
        <v>0</v>
      </c>
      <c r="YF42">
        <v>0</v>
      </c>
      <c r="YG42">
        <v>0</v>
      </c>
      <c r="YH42">
        <v>0</v>
      </c>
      <c r="YI42">
        <v>0</v>
      </c>
      <c r="YJ42">
        <v>0</v>
      </c>
      <c r="YK42">
        <v>0</v>
      </c>
      <c r="YL42">
        <v>0</v>
      </c>
      <c r="YM42">
        <v>0</v>
      </c>
      <c r="YN42">
        <v>0</v>
      </c>
      <c r="YO42">
        <v>0</v>
      </c>
      <c r="YP42">
        <v>0</v>
      </c>
      <c r="YQ42">
        <v>0</v>
      </c>
      <c r="YR42">
        <v>0</v>
      </c>
      <c r="YS42">
        <v>0</v>
      </c>
      <c r="YT42">
        <v>0</v>
      </c>
      <c r="YU42">
        <v>0</v>
      </c>
      <c r="YV42">
        <v>0</v>
      </c>
      <c r="YW42">
        <v>0</v>
      </c>
      <c r="YX42">
        <v>0</v>
      </c>
      <c r="YY42">
        <v>0</v>
      </c>
      <c r="YZ42">
        <v>0</v>
      </c>
      <c r="ZA42">
        <v>0</v>
      </c>
      <c r="ZB42">
        <v>0</v>
      </c>
      <c r="ZC42">
        <v>0</v>
      </c>
      <c r="ZD42">
        <v>0</v>
      </c>
      <c r="ZE42">
        <v>0</v>
      </c>
      <c r="ZF42">
        <v>0</v>
      </c>
      <c r="ZG42">
        <v>0</v>
      </c>
      <c r="ZH42">
        <v>0</v>
      </c>
      <c r="ZI42">
        <v>0</v>
      </c>
      <c r="ZJ42">
        <v>0</v>
      </c>
      <c r="ZK42">
        <v>0</v>
      </c>
      <c r="ZL42">
        <v>0</v>
      </c>
      <c r="ZM42">
        <v>0</v>
      </c>
      <c r="ZN42">
        <v>0</v>
      </c>
      <c r="ZO42">
        <v>0</v>
      </c>
      <c r="ZP42">
        <v>0</v>
      </c>
      <c r="ZQ42">
        <v>0</v>
      </c>
      <c r="ZR42">
        <v>0</v>
      </c>
      <c r="ZS42">
        <v>0</v>
      </c>
      <c r="ZT42">
        <v>0</v>
      </c>
      <c r="ZU42">
        <v>0</v>
      </c>
      <c r="ZV42">
        <v>0</v>
      </c>
      <c r="ZW42">
        <v>0</v>
      </c>
      <c r="ZX42">
        <v>0</v>
      </c>
      <c r="ZY42">
        <v>0</v>
      </c>
      <c r="ZZ42">
        <v>0</v>
      </c>
      <c r="AAA42">
        <v>0</v>
      </c>
      <c r="AAB42">
        <v>0</v>
      </c>
      <c r="AAC42">
        <v>0</v>
      </c>
      <c r="AAD42">
        <v>0</v>
      </c>
      <c r="AAE42">
        <v>0</v>
      </c>
      <c r="AAF42">
        <v>0</v>
      </c>
      <c r="AAG42">
        <v>0</v>
      </c>
      <c r="AAH42">
        <v>0</v>
      </c>
      <c r="AAI42">
        <v>0</v>
      </c>
      <c r="AAJ42">
        <v>0</v>
      </c>
      <c r="AAK42">
        <v>0</v>
      </c>
      <c r="AAL42">
        <v>0</v>
      </c>
      <c r="AAM42">
        <v>0</v>
      </c>
      <c r="AAN42">
        <v>0</v>
      </c>
      <c r="AAO42">
        <v>0</v>
      </c>
      <c r="AAP42">
        <v>0</v>
      </c>
      <c r="AAQ42">
        <v>0</v>
      </c>
      <c r="AAR42">
        <v>0</v>
      </c>
      <c r="AAS42">
        <v>0</v>
      </c>
      <c r="AAT42">
        <v>0</v>
      </c>
      <c r="AAU42">
        <v>0</v>
      </c>
      <c r="AAV42">
        <v>0</v>
      </c>
      <c r="AAW42">
        <v>0</v>
      </c>
      <c r="AAX42">
        <v>0</v>
      </c>
      <c r="AAY42">
        <v>0</v>
      </c>
      <c r="AAZ42">
        <v>0</v>
      </c>
      <c r="ABA42">
        <v>0</v>
      </c>
      <c r="ABB42">
        <v>0</v>
      </c>
      <c r="ABC42">
        <v>0</v>
      </c>
      <c r="ABD42">
        <v>0</v>
      </c>
      <c r="ABE42">
        <v>0</v>
      </c>
      <c r="ABF42">
        <v>0</v>
      </c>
      <c r="ABG42">
        <v>0</v>
      </c>
      <c r="ABH42">
        <v>0</v>
      </c>
      <c r="ABI42">
        <v>0</v>
      </c>
      <c r="ABJ42">
        <v>0</v>
      </c>
      <c r="ABK42">
        <v>0</v>
      </c>
      <c r="ABL42">
        <v>0</v>
      </c>
      <c r="ABM42">
        <v>0</v>
      </c>
      <c r="ABN42">
        <v>0</v>
      </c>
      <c r="ABO42">
        <v>0</v>
      </c>
      <c r="ABP42">
        <v>0</v>
      </c>
      <c r="ABQ42">
        <v>0</v>
      </c>
      <c r="ABR42">
        <v>0</v>
      </c>
      <c r="ABS42">
        <v>0</v>
      </c>
      <c r="ABT42">
        <v>0</v>
      </c>
      <c r="ABU42">
        <v>0</v>
      </c>
      <c r="ABV42">
        <v>0</v>
      </c>
      <c r="ABW42">
        <v>0</v>
      </c>
      <c r="ABX42">
        <v>0</v>
      </c>
      <c r="ABY42">
        <v>0</v>
      </c>
      <c r="ABZ42">
        <v>0</v>
      </c>
      <c r="ACA42">
        <v>0</v>
      </c>
      <c r="ACB42">
        <v>0</v>
      </c>
      <c r="ACC42">
        <v>0</v>
      </c>
      <c r="ACD42">
        <v>0</v>
      </c>
      <c r="ACE42">
        <v>0</v>
      </c>
      <c r="ACF42">
        <v>0</v>
      </c>
      <c r="ACG42">
        <v>0</v>
      </c>
      <c r="ACH42">
        <v>0</v>
      </c>
      <c r="ACI42">
        <v>0</v>
      </c>
      <c r="ACJ42">
        <v>0</v>
      </c>
      <c r="ACK42">
        <v>0</v>
      </c>
      <c r="ACL42">
        <v>0</v>
      </c>
      <c r="ACM42">
        <v>0</v>
      </c>
      <c r="ACN42">
        <v>0</v>
      </c>
      <c r="ACO42">
        <v>0</v>
      </c>
      <c r="ACP42">
        <v>0</v>
      </c>
      <c r="ACQ42">
        <v>0</v>
      </c>
      <c r="ACR42">
        <v>0</v>
      </c>
      <c r="ACS42">
        <v>0</v>
      </c>
      <c r="ACT42">
        <v>0</v>
      </c>
      <c r="ACU42">
        <v>0</v>
      </c>
      <c r="ACV42">
        <v>0</v>
      </c>
      <c r="ACW42">
        <v>0</v>
      </c>
      <c r="ACX42">
        <v>0</v>
      </c>
      <c r="ACY42">
        <v>0</v>
      </c>
      <c r="ACZ42">
        <v>0</v>
      </c>
      <c r="ADA42">
        <v>0</v>
      </c>
      <c r="ADB42">
        <v>0</v>
      </c>
      <c r="ADC42">
        <v>0</v>
      </c>
      <c r="ADD42">
        <v>0</v>
      </c>
      <c r="ADE42">
        <v>0</v>
      </c>
      <c r="ADF42">
        <v>0</v>
      </c>
      <c r="ADG42">
        <v>0</v>
      </c>
      <c r="ADH42">
        <v>0</v>
      </c>
      <c r="ADI42">
        <v>0</v>
      </c>
      <c r="ADJ42">
        <v>0</v>
      </c>
      <c r="ADK42">
        <v>0</v>
      </c>
      <c r="ADL42">
        <v>0</v>
      </c>
      <c r="ADM42">
        <v>0</v>
      </c>
      <c r="ADN42">
        <v>0</v>
      </c>
      <c r="ADO42">
        <v>0</v>
      </c>
      <c r="ADP42">
        <v>0</v>
      </c>
      <c r="ADQ42">
        <v>0</v>
      </c>
      <c r="ADR42">
        <v>0</v>
      </c>
      <c r="ADS42">
        <v>0</v>
      </c>
      <c r="ADT42">
        <v>0</v>
      </c>
      <c r="ADU42">
        <v>0</v>
      </c>
      <c r="ADV42">
        <v>0</v>
      </c>
      <c r="ADW42">
        <v>0</v>
      </c>
      <c r="ADX42">
        <v>0</v>
      </c>
      <c r="ADY42">
        <v>0</v>
      </c>
      <c r="ADZ42">
        <v>0</v>
      </c>
      <c r="AEA42">
        <v>0</v>
      </c>
      <c r="AEB42">
        <v>0</v>
      </c>
      <c r="AEC42">
        <v>0</v>
      </c>
      <c r="AED42">
        <v>0</v>
      </c>
      <c r="AEE42">
        <v>0</v>
      </c>
      <c r="AEF42">
        <v>0</v>
      </c>
      <c r="AEG42">
        <v>0</v>
      </c>
      <c r="AEH42">
        <v>0</v>
      </c>
      <c r="AEI42">
        <v>0</v>
      </c>
      <c r="AEJ42">
        <v>0</v>
      </c>
      <c r="AEK42">
        <v>0</v>
      </c>
      <c r="AEL42">
        <v>0</v>
      </c>
      <c r="AEM42">
        <v>0</v>
      </c>
      <c r="AEN42">
        <v>0</v>
      </c>
      <c r="AEO42">
        <v>0</v>
      </c>
      <c r="AEP42">
        <v>0</v>
      </c>
      <c r="AEQ42">
        <v>0</v>
      </c>
      <c r="AER42">
        <v>0</v>
      </c>
      <c r="AES42">
        <v>0</v>
      </c>
      <c r="AET42">
        <v>0</v>
      </c>
      <c r="AEU42">
        <v>0</v>
      </c>
      <c r="AEV42">
        <v>0</v>
      </c>
      <c r="AEW42">
        <v>0</v>
      </c>
      <c r="AEX42">
        <v>0</v>
      </c>
      <c r="AEY42">
        <v>0</v>
      </c>
      <c r="AEZ42">
        <v>0</v>
      </c>
      <c r="AFA42">
        <v>0</v>
      </c>
      <c r="AFB42">
        <v>0</v>
      </c>
      <c r="AFC42">
        <v>0</v>
      </c>
      <c r="AFD42">
        <v>0</v>
      </c>
      <c r="AFE42">
        <v>0</v>
      </c>
      <c r="AFF42">
        <v>0</v>
      </c>
      <c r="AFG42">
        <v>0</v>
      </c>
      <c r="AFH42">
        <v>0</v>
      </c>
      <c r="AFI42">
        <v>0</v>
      </c>
      <c r="AFJ42">
        <v>0</v>
      </c>
      <c r="AFK42">
        <v>0</v>
      </c>
      <c r="AFL42">
        <v>0</v>
      </c>
      <c r="AFM42">
        <v>0</v>
      </c>
      <c r="AFN42">
        <v>0</v>
      </c>
      <c r="AFO42">
        <v>0</v>
      </c>
      <c r="AFP42">
        <v>0</v>
      </c>
      <c r="AFQ42">
        <v>0</v>
      </c>
      <c r="AFR42">
        <v>0</v>
      </c>
      <c r="AFS42">
        <v>0</v>
      </c>
      <c r="AFT42">
        <v>0</v>
      </c>
      <c r="AFU42">
        <v>0</v>
      </c>
      <c r="AFV42">
        <v>0</v>
      </c>
      <c r="AFW42">
        <v>0</v>
      </c>
      <c r="AFX42">
        <v>0</v>
      </c>
      <c r="AFY42">
        <v>0</v>
      </c>
      <c r="AFZ42">
        <v>0</v>
      </c>
      <c r="AGA42">
        <v>0</v>
      </c>
      <c r="AGB42">
        <v>0</v>
      </c>
      <c r="AGC42">
        <v>0</v>
      </c>
      <c r="AGD42">
        <v>0</v>
      </c>
      <c r="AGE42">
        <v>0</v>
      </c>
      <c r="AGF42">
        <v>0</v>
      </c>
      <c r="AGG42">
        <v>0</v>
      </c>
      <c r="AGH42">
        <v>0</v>
      </c>
      <c r="AGI42">
        <v>0</v>
      </c>
      <c r="AGJ42">
        <v>0</v>
      </c>
      <c r="AGK42">
        <v>0</v>
      </c>
      <c r="AGL42">
        <v>0</v>
      </c>
      <c r="AGM42">
        <v>0</v>
      </c>
      <c r="AGN42">
        <v>0</v>
      </c>
      <c r="AGO42">
        <v>0</v>
      </c>
      <c r="AGP42">
        <v>0</v>
      </c>
      <c r="AGQ42">
        <v>0</v>
      </c>
      <c r="AGR42">
        <v>0</v>
      </c>
      <c r="AGS42">
        <v>0</v>
      </c>
      <c r="AGT42">
        <v>0</v>
      </c>
      <c r="AGU42">
        <v>0</v>
      </c>
      <c r="AGV42">
        <v>0</v>
      </c>
      <c r="AGW42">
        <v>0</v>
      </c>
      <c r="AGX42">
        <v>0</v>
      </c>
      <c r="AGY42">
        <v>0</v>
      </c>
      <c r="AGZ42">
        <v>0</v>
      </c>
      <c r="AHA42">
        <v>0</v>
      </c>
      <c r="AHB42">
        <v>0</v>
      </c>
      <c r="AHC42">
        <v>0</v>
      </c>
      <c r="AHD42">
        <v>0</v>
      </c>
      <c r="AHE42">
        <v>0</v>
      </c>
      <c r="AHF42">
        <v>0</v>
      </c>
      <c r="AHG42">
        <v>0</v>
      </c>
      <c r="AHH42">
        <v>0</v>
      </c>
      <c r="AHI42">
        <v>0</v>
      </c>
      <c r="AHJ42">
        <v>0</v>
      </c>
      <c r="AHK42">
        <v>0</v>
      </c>
      <c r="AHL42">
        <v>0</v>
      </c>
      <c r="AHM42">
        <v>0</v>
      </c>
      <c r="AHN42">
        <v>0</v>
      </c>
      <c r="AHO42">
        <v>0</v>
      </c>
      <c r="AHP42">
        <v>0</v>
      </c>
      <c r="AHQ42">
        <v>0</v>
      </c>
      <c r="AHR42">
        <v>0</v>
      </c>
      <c r="AHS42">
        <v>0</v>
      </c>
      <c r="AHT42">
        <v>0</v>
      </c>
      <c r="AHU42">
        <v>0</v>
      </c>
      <c r="AHV42">
        <v>0</v>
      </c>
      <c r="AHW42">
        <v>0</v>
      </c>
      <c r="AHX42">
        <v>0</v>
      </c>
      <c r="AHY42">
        <v>0</v>
      </c>
      <c r="AHZ42">
        <v>0</v>
      </c>
      <c r="AIA42">
        <v>0</v>
      </c>
      <c r="AIB42">
        <v>0</v>
      </c>
      <c r="AIC42">
        <v>0</v>
      </c>
      <c r="AID42">
        <v>0</v>
      </c>
      <c r="AIE42">
        <v>0</v>
      </c>
      <c r="AIF42">
        <v>0</v>
      </c>
      <c r="AIG42">
        <v>0</v>
      </c>
      <c r="AIH42">
        <v>0</v>
      </c>
      <c r="AII42">
        <v>0</v>
      </c>
      <c r="AIJ42">
        <v>0</v>
      </c>
      <c r="AIK42">
        <v>0</v>
      </c>
      <c r="AIL42">
        <v>0</v>
      </c>
      <c r="AIM42">
        <v>0</v>
      </c>
      <c r="AIN42">
        <v>0</v>
      </c>
      <c r="AIO42">
        <v>0</v>
      </c>
      <c r="AIP42">
        <v>0</v>
      </c>
      <c r="AIQ42">
        <v>0</v>
      </c>
      <c r="AIR42">
        <v>0</v>
      </c>
      <c r="AIS42">
        <v>0</v>
      </c>
      <c r="AIT42">
        <v>0</v>
      </c>
      <c r="AIU42">
        <v>0</v>
      </c>
      <c r="AIV42">
        <v>0</v>
      </c>
      <c r="AIW42">
        <v>0</v>
      </c>
      <c r="AIX42">
        <v>0</v>
      </c>
      <c r="AIY42">
        <v>0</v>
      </c>
      <c r="AIZ42">
        <v>0</v>
      </c>
      <c r="AJA42">
        <v>0</v>
      </c>
      <c r="AJB42">
        <v>0</v>
      </c>
      <c r="AJC42">
        <v>0</v>
      </c>
      <c r="AJD42">
        <v>0</v>
      </c>
      <c r="AJE42">
        <v>0</v>
      </c>
      <c r="AJF42">
        <v>0</v>
      </c>
      <c r="AJG42">
        <v>0</v>
      </c>
      <c r="AJH42">
        <v>0</v>
      </c>
      <c r="AJI42">
        <v>0</v>
      </c>
      <c r="AJJ42">
        <v>0</v>
      </c>
      <c r="AJK42">
        <v>0</v>
      </c>
      <c r="AJL42">
        <v>0</v>
      </c>
      <c r="AJM42">
        <v>0</v>
      </c>
      <c r="AJN42">
        <v>0</v>
      </c>
      <c r="AJO42">
        <v>0</v>
      </c>
      <c r="AJP42">
        <v>0</v>
      </c>
      <c r="AJQ42">
        <v>0</v>
      </c>
      <c r="AJR42">
        <v>0</v>
      </c>
      <c r="AJS42">
        <v>0</v>
      </c>
      <c r="AJT42">
        <v>0</v>
      </c>
      <c r="AJU42">
        <v>0</v>
      </c>
      <c r="AJV42">
        <v>0</v>
      </c>
      <c r="AJW42">
        <v>0</v>
      </c>
      <c r="AJX42">
        <v>0</v>
      </c>
      <c r="AJY42">
        <v>0</v>
      </c>
      <c r="AJZ42">
        <v>0</v>
      </c>
      <c r="AKA42">
        <v>0</v>
      </c>
      <c r="AKB42">
        <v>0</v>
      </c>
      <c r="AKC42">
        <v>0</v>
      </c>
      <c r="AKD42">
        <v>0</v>
      </c>
      <c r="AKE42">
        <v>0</v>
      </c>
      <c r="AKF42">
        <v>0</v>
      </c>
      <c r="AKG42">
        <v>0</v>
      </c>
      <c r="AKH42">
        <v>0</v>
      </c>
      <c r="AKI42">
        <v>0</v>
      </c>
      <c r="AKJ42">
        <v>0</v>
      </c>
      <c r="AKK42">
        <v>0</v>
      </c>
      <c r="AKL42">
        <v>0</v>
      </c>
      <c r="AKM42">
        <v>0</v>
      </c>
      <c r="AKN42">
        <v>0</v>
      </c>
      <c r="AKO42">
        <v>0</v>
      </c>
      <c r="AKP42">
        <v>0</v>
      </c>
      <c r="AKQ42">
        <v>0</v>
      </c>
      <c r="AKR42">
        <v>0</v>
      </c>
      <c r="AKS42">
        <v>0</v>
      </c>
      <c r="AKT42">
        <v>0</v>
      </c>
      <c r="AKU42">
        <v>0</v>
      </c>
      <c r="AKV42">
        <v>0</v>
      </c>
      <c r="AKW42">
        <v>0</v>
      </c>
      <c r="AKX42">
        <v>0</v>
      </c>
      <c r="AKY42">
        <v>0</v>
      </c>
      <c r="AKZ42">
        <v>0</v>
      </c>
      <c r="ALA42">
        <v>0</v>
      </c>
      <c r="ALB42">
        <v>0</v>
      </c>
      <c r="ALC42">
        <v>0</v>
      </c>
      <c r="ALD42">
        <v>0</v>
      </c>
      <c r="ALE42">
        <v>0</v>
      </c>
      <c r="ALF42">
        <v>0</v>
      </c>
      <c r="ALG42">
        <v>0</v>
      </c>
      <c r="ALH42">
        <v>0</v>
      </c>
      <c r="ALI42">
        <v>0</v>
      </c>
      <c r="ALJ42">
        <v>0</v>
      </c>
      <c r="ALK42">
        <v>0</v>
      </c>
      <c r="ALL42">
        <v>0</v>
      </c>
      <c r="ALM42">
        <v>0</v>
      </c>
      <c r="ALN42">
        <v>0</v>
      </c>
      <c r="ALO42">
        <v>0</v>
      </c>
      <c r="ALP42">
        <v>0</v>
      </c>
      <c r="ALQ42">
        <v>0</v>
      </c>
    </row>
    <row r="43" spans="1:1005" ht="238">
      <c r="A43" s="365" t="s">
        <v>1145</v>
      </c>
      <c r="B43" s="366" t="s">
        <v>54</v>
      </c>
      <c r="C43" s="383" t="s">
        <v>1272</v>
      </c>
      <c r="D43" s="366" t="s">
        <v>97</v>
      </c>
      <c r="E43" s="378" t="s">
        <v>799</v>
      </c>
      <c r="F43" t="str">
        <f t="array" ref="F43:ALQ43" ca="1">TRANSPOSE(Filtered!AN2:AN1005)</f>
        <v>In general, all findings from a single study should be reported in a single manuscript rather than dividing a project into a series of “minimum publishable units.” We do recognize, however, that in some cases, it is appropriate to develop multiple submissions based on a single project, and we would encourage authors, in such cases, to submit all manuscripts to the same journal so they can be evaluated together. Occasions when it might be appropriate to submit multiple manuscripts from a single project include but are not limited to distinctly different research questions being posed about the same data set, reanalysis (new questions) of a data set suggested by subsequent experience, and large segments of complex analyses that do not easily fit within normal length limitations and can be seen as freestanding components.
 Always clearly disclose at the time of submission any previous or planned submissions from the same study, project, or data set by noting this in the submission form. Also, related publications should be referenced in the manuscript.
 Circumstances that suggest inappropriate prior or duplicate publication include but are not limited to (1) cases where the results of the same study are divided into different manuscripts (e.g., findings for faculty are reported in one and findings for residents are reported in another), one of which is submitted to Academic Medicine and another of which is submitted either to Academic Medicine or elsewhere, and/or (2) cases in which data from the same study are analyzed in different ways to produce apparently different manuscripts.</v>
      </c>
      <c r="G43" t="str">
        <f ca="1"/>
        <v/>
      </c>
      <c r="H43" t="str">
        <f ca="1"/>
        <v/>
      </c>
      <c r="I43" t="str">
        <f ca="1"/>
        <v/>
      </c>
      <c r="J43" t="str">
        <f ca="1"/>
        <v/>
      </c>
      <c r="K43" t="str">
        <f ca="1"/>
        <v>Not specified</v>
      </c>
      <c r="L43" t="str">
        <f ca="1"/>
        <v/>
      </c>
      <c r="M43" t="str">
        <f ca="1"/>
        <v/>
      </c>
      <c r="N43" t="str">
        <f ca="1"/>
        <v>Not specified</v>
      </c>
      <c r="O43" t="str">
        <f ca="1"/>
        <v/>
      </c>
      <c r="P43" t="str">
        <f ca="1"/>
        <v/>
      </c>
      <c r="Q43" t="str">
        <f ca="1"/>
        <v/>
      </c>
      <c r="R43" t="str">
        <f ca="1"/>
        <v/>
      </c>
      <c r="S43" t="str">
        <f ca="1"/>
        <v/>
      </c>
      <c r="T43" t="str">
        <f ca="1"/>
        <v/>
      </c>
      <c r="U43" t="str">
        <f ca="1"/>
        <v/>
      </c>
      <c r="V43" t="str">
        <f ca="1"/>
        <v/>
      </c>
      <c r="W43" t="str">
        <f ca="1"/>
        <v/>
      </c>
      <c r="X43" t="str">
        <f ca="1"/>
        <v/>
      </c>
      <c r="Y43" t="str">
        <f ca="1"/>
        <v/>
      </c>
      <c r="Z43" t="str">
        <f ca="1"/>
        <v/>
      </c>
      <c r="AA43" t="str">
        <f ca="1"/>
        <v/>
      </c>
      <c r="AB43" t="str">
        <f ca="1"/>
        <v/>
      </c>
      <c r="AC43" t="str">
        <f ca="1"/>
        <v/>
      </c>
      <c r="AD43" t="str">
        <f ca="1"/>
        <v/>
      </c>
      <c r="AE43" t="str">
        <f ca="1"/>
        <v/>
      </c>
      <c r="AF43" t="str">
        <f ca="1"/>
        <v/>
      </c>
      <c r="AG43" t="str">
        <f ca="1"/>
        <v>Not specified</v>
      </c>
      <c r="AH43" t="str">
        <f ca="1"/>
        <v>Not specified</v>
      </c>
      <c r="AI43" t="str">
        <f ca="1"/>
        <v>Not specified</v>
      </c>
      <c r="AJ43" t="str">
        <f ca="1"/>
        <v>Not specified</v>
      </c>
      <c r="AK43" t="str">
        <f ca="1"/>
        <v>Not specified</v>
      </c>
      <c r="AL43" t="str">
        <f ca="1"/>
        <v>Not specified</v>
      </c>
      <c r="AM43" t="str">
        <f ca="1"/>
        <v/>
      </c>
      <c r="AN43" t="str">
        <f ca="1"/>
        <v/>
      </c>
      <c r="AO43" t="str">
        <f ca="1"/>
        <v/>
      </c>
      <c r="AP43" t="str">
        <f ca="1"/>
        <v/>
      </c>
      <c r="AQ43" t="str">
        <f ca="1"/>
        <v/>
      </c>
      <c r="AR43" t="str">
        <f ca="1"/>
        <v/>
      </c>
      <c r="AS43" t="str">
        <f ca="1"/>
        <v/>
      </c>
      <c r="AT43" t="str">
        <f ca="1"/>
        <v/>
      </c>
      <c r="AU43" t="str">
        <f ca="1"/>
        <v/>
      </c>
      <c r="AV43" t="str">
        <f ca="1"/>
        <v/>
      </c>
      <c r="AW43" t="str">
        <f ca="1"/>
        <v/>
      </c>
      <c r="AX43" t="str">
        <f ca="1"/>
        <v/>
      </c>
      <c r="AY43" t="str">
        <f ca="1"/>
        <v/>
      </c>
      <c r="AZ43" t="str">
        <f ca="1"/>
        <v/>
      </c>
      <c r="BA43" t="str">
        <f ca="1"/>
        <v/>
      </c>
      <c r="BB43" t="str">
        <f ca="1"/>
        <v/>
      </c>
      <c r="BC43" t="str">
        <f ca="1"/>
        <v/>
      </c>
      <c r="BD43" t="str">
        <f ca="1"/>
        <v/>
      </c>
      <c r="BE43" t="str">
        <f ca="1"/>
        <v/>
      </c>
      <c r="BF43" t="str">
        <f ca="1"/>
        <v/>
      </c>
      <c r="BG43" t="str">
        <f ca="1"/>
        <v/>
      </c>
      <c r="BH43" t="str">
        <f ca="1"/>
        <v/>
      </c>
      <c r="BI43" t="str">
        <f ca="1"/>
        <v/>
      </c>
      <c r="BJ43" t="str">
        <f ca="1"/>
        <v/>
      </c>
      <c r="BK43" t="str">
        <f ca="1"/>
        <v>Not specified</v>
      </c>
      <c r="BL43" t="str">
        <f ca="1"/>
        <v/>
      </c>
      <c r="BM43" t="str">
        <f ca="1"/>
        <v/>
      </c>
      <c r="BN43" t="str">
        <f ca="1"/>
        <v/>
      </c>
      <c r="BO43" t="str">
        <f ca="1"/>
        <v/>
      </c>
      <c r="BP43" t="str">
        <f ca="1"/>
        <v/>
      </c>
      <c r="BQ43" t="str">
        <f ca="1"/>
        <v/>
      </c>
      <c r="BR43" t="str">
        <f ca="1"/>
        <v/>
      </c>
      <c r="BS43" t="str">
        <f ca="1"/>
        <v/>
      </c>
      <c r="BT43" t="str">
        <f ca="1"/>
        <v/>
      </c>
      <c r="BU43" t="str">
        <f ca="1"/>
        <v/>
      </c>
      <c r="BV43" t="str">
        <f ca="1"/>
        <v/>
      </c>
      <c r="BW43" t="str">
        <f ca="1"/>
        <v/>
      </c>
      <c r="BX43" t="str">
        <f ca="1"/>
        <v/>
      </c>
      <c r="BY43" t="str">
        <f ca="1"/>
        <v/>
      </c>
      <c r="BZ43" t="str">
        <f ca="1"/>
        <v/>
      </c>
      <c r="CA43" t="str">
        <f ca="1"/>
        <v/>
      </c>
      <c r="CB43" t="str">
        <f ca="1"/>
        <v/>
      </c>
      <c r="CC43" t="str">
        <f ca="1"/>
        <v/>
      </c>
      <c r="CD43" t="str">
        <f ca="1"/>
        <v/>
      </c>
      <c r="CE43" t="str">
        <f ca="1"/>
        <v/>
      </c>
      <c r="CF43" t="str">
        <f ca="1"/>
        <v/>
      </c>
      <c r="CG43" t="str">
        <f ca="1"/>
        <v/>
      </c>
      <c r="CH43" t="str">
        <f ca="1"/>
        <v/>
      </c>
      <c r="CI43" t="str">
        <f ca="1"/>
        <v/>
      </c>
      <c r="CJ43" t="str">
        <f ca="1"/>
        <v/>
      </c>
      <c r="CK43" t="str">
        <f ca="1"/>
        <v/>
      </c>
      <c r="CL43" t="str">
        <f ca="1"/>
        <v/>
      </c>
      <c r="CM43" t="str">
        <f ca="1"/>
        <v/>
      </c>
      <c r="CN43" t="str">
        <f ca="1"/>
        <v/>
      </c>
      <c r="CO43" t="str">
        <f ca="1"/>
        <v/>
      </c>
      <c r="CP43" t="str">
        <f ca="1"/>
        <v/>
      </c>
      <c r="CQ43" t="str">
        <f ca="1"/>
        <v/>
      </c>
      <c r="CR43" t="str">
        <f ca="1"/>
        <v/>
      </c>
      <c r="CS43" t="str">
        <f ca="1"/>
        <v/>
      </c>
      <c r="CT43" t="str">
        <f ca="1"/>
        <v/>
      </c>
      <c r="CU43" t="str">
        <f ca="1"/>
        <v/>
      </c>
      <c r="CV43" t="str">
        <f ca="1"/>
        <v/>
      </c>
      <c r="CW43" t="str">
        <f ca="1"/>
        <v/>
      </c>
      <c r="CX43" t="str">
        <f ca="1"/>
        <v/>
      </c>
      <c r="CY43" t="str">
        <f ca="1"/>
        <v/>
      </c>
      <c r="CZ43" t="str">
        <f ca="1"/>
        <v/>
      </c>
      <c r="DA43" t="str">
        <f ca="1"/>
        <v/>
      </c>
      <c r="DB43" t="str">
        <f ca="1"/>
        <v/>
      </c>
      <c r="DC43" t="str">
        <f ca="1"/>
        <v/>
      </c>
      <c r="DD43" t="str">
        <f ca="1"/>
        <v/>
      </c>
      <c r="DE43" t="str">
        <f ca="1"/>
        <v/>
      </c>
      <c r="DF43" t="str">
        <f ca="1"/>
        <v/>
      </c>
      <c r="DG43" t="str">
        <f ca="1"/>
        <v/>
      </c>
      <c r="DH43" t="str">
        <f ca="1"/>
        <v/>
      </c>
      <c r="DI43" t="str">
        <f ca="1"/>
        <v/>
      </c>
      <c r="DJ43" t="str">
        <f ca="1"/>
        <v/>
      </c>
      <c r="DK43" t="str">
        <f ca="1"/>
        <v/>
      </c>
      <c r="DL43" t="str">
        <f ca="1"/>
        <v/>
      </c>
      <c r="DM43" t="str">
        <f ca="1"/>
        <v/>
      </c>
      <c r="DN43" t="str">
        <f ca="1"/>
        <v/>
      </c>
      <c r="DO43" t="str">
        <f ca="1"/>
        <v/>
      </c>
      <c r="DP43" t="str">
        <f ca="1"/>
        <v/>
      </c>
      <c r="DQ43" t="str">
        <f ca="1"/>
        <v/>
      </c>
      <c r="DR43" t="str">
        <f ca="1"/>
        <v/>
      </c>
      <c r="DS43" t="str">
        <f ca="1"/>
        <v/>
      </c>
      <c r="DT43" t="str">
        <f ca="1"/>
        <v/>
      </c>
      <c r="DU43" t="str">
        <f ca="1"/>
        <v/>
      </c>
      <c r="DV43" t="str">
        <f ca="1"/>
        <v/>
      </c>
      <c r="DW43" t="str">
        <f ca="1"/>
        <v/>
      </c>
      <c r="DX43" t="str">
        <f ca="1"/>
        <v/>
      </c>
      <c r="DY43" t="str">
        <f ca="1"/>
        <v/>
      </c>
      <c r="DZ43" t="str">
        <f ca="1"/>
        <v/>
      </c>
      <c r="EA43" t="str">
        <f ca="1"/>
        <v/>
      </c>
      <c r="EB43" t="str">
        <f ca="1"/>
        <v/>
      </c>
      <c r="EC43" t="str">
        <f ca="1"/>
        <v/>
      </c>
      <c r="ED43" t="str">
        <f ca="1"/>
        <v/>
      </c>
      <c r="EE43" t="str">
        <f ca="1"/>
        <v/>
      </c>
      <c r="EF43" t="str">
        <f ca="1"/>
        <v/>
      </c>
      <c r="EG43" t="str">
        <f ca="1"/>
        <v/>
      </c>
      <c r="EH43" t="str">
        <f ca="1"/>
        <v/>
      </c>
      <c r="EI43" t="str">
        <f ca="1"/>
        <v/>
      </c>
      <c r="EJ43" t="str">
        <f ca="1"/>
        <v/>
      </c>
      <c r="EK43" t="str">
        <f ca="1"/>
        <v/>
      </c>
      <c r="EL43" t="str">
        <f ca="1"/>
        <v/>
      </c>
      <c r="EM43" t="str">
        <f ca="1"/>
        <v>[https://www.pnas.org/content/96/8/4215] Precisely because a preprint is not a publication, it does not guarantee priority. Dissemination of your results in any form before publication carries with it the risk that others will publish them first, or supersede them. Either will definitely prejudice subsequent publication. Free exchange of unpublished work should be followed by timely publication.</v>
      </c>
      <c r="EN43" t="str">
        <f ca="1"/>
        <v/>
      </c>
      <c r="EO43" t="str">
        <f ca="1"/>
        <v/>
      </c>
      <c r="EP43" t="str">
        <f ca="1"/>
        <v/>
      </c>
      <c r="EQ43" t="str">
        <f ca="1"/>
        <v/>
      </c>
      <c r="ER43" t="str">
        <f ca="1"/>
        <v/>
      </c>
      <c r="ES43" t="str">
        <f ca="1"/>
        <v/>
      </c>
      <c r="ET43" t="str">
        <f ca="1"/>
        <v/>
      </c>
      <c r="EU43" t="str">
        <f ca="1"/>
        <v/>
      </c>
      <c r="EV43" t="str">
        <f ca="1"/>
        <v/>
      </c>
      <c r="EW43" t="str">
        <f ca="1"/>
        <v/>
      </c>
      <c r="EX43" t="str">
        <f ca="1"/>
        <v/>
      </c>
      <c r="EY43" t="str">
        <f ca="1"/>
        <v/>
      </c>
      <c r="EZ43" t="str">
        <f ca="1"/>
        <v/>
      </c>
      <c r="FA43" t="str">
        <f ca="1"/>
        <v/>
      </c>
      <c r="FB43" t="str">
        <f ca="1"/>
        <v/>
      </c>
      <c r="FC43" t="str">
        <f ca="1"/>
        <v/>
      </c>
      <c r="FD43" t="str">
        <f ca="1"/>
        <v/>
      </c>
      <c r="FE43" t="str">
        <f ca="1"/>
        <v/>
      </c>
      <c r="FF43" t="str">
        <f ca="1"/>
        <v/>
      </c>
      <c r="FG43" t="str">
        <f ca="1"/>
        <v/>
      </c>
      <c r="FH43" t="str">
        <f ca="1"/>
        <v/>
      </c>
      <c r="FI43" t="str">
        <f ca="1"/>
        <v/>
      </c>
      <c r="FJ43" t="str">
        <f ca="1"/>
        <v/>
      </c>
      <c r="FK43" t="str">
        <f ca="1"/>
        <v/>
      </c>
      <c r="FL43" t="str">
        <f ca="1"/>
        <v/>
      </c>
      <c r="FM43" t="str">
        <f ca="1"/>
        <v>The Lancet journals operate an embargo system, whereby journalists are given access to papers and press releases ahead of publication, allowing them a protected window to develop their stories. We believe that this window can help encourage balanced and accurate coverage of peer-reviewed scientific and medical research to inform public debate. Coverage that results from pre-publication communication can impact media interest at the time of publication and our ability to support responsible journalism.</v>
      </c>
      <c r="FN43" t="str">
        <f ca="1"/>
        <v/>
      </c>
      <c r="FO43" t="str">
        <f ca="1"/>
        <v/>
      </c>
      <c r="FP43" t="str">
        <f ca="1"/>
        <v/>
      </c>
      <c r="FQ43" t="str">
        <f ca="1"/>
        <v/>
      </c>
      <c r="FR43" t="str">
        <f ca="1"/>
        <v/>
      </c>
      <c r="FS43" t="str">
        <f ca="1"/>
        <v/>
      </c>
      <c r="FT43" t="str">
        <f ca="1"/>
        <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0</v>
      </c>
      <c r="ACD43">
        <v>0</v>
      </c>
      <c r="ACE43">
        <v>0</v>
      </c>
      <c r="ACF43">
        <v>0</v>
      </c>
      <c r="ACG43">
        <v>0</v>
      </c>
      <c r="ACH43">
        <v>0</v>
      </c>
      <c r="ACI43">
        <v>0</v>
      </c>
      <c r="ACJ43">
        <v>0</v>
      </c>
      <c r="ACK43">
        <v>0</v>
      </c>
      <c r="ACL43">
        <v>0</v>
      </c>
      <c r="ACM43">
        <v>0</v>
      </c>
      <c r="ACN43">
        <v>0</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0</v>
      </c>
      <c r="AEV43">
        <v>0</v>
      </c>
      <c r="AEW43">
        <v>0</v>
      </c>
      <c r="AEX43">
        <v>0</v>
      </c>
      <c r="AEY43">
        <v>0</v>
      </c>
      <c r="AEZ43">
        <v>0</v>
      </c>
      <c r="AFA43">
        <v>0</v>
      </c>
      <c r="AFB43">
        <v>0</v>
      </c>
      <c r="AFC43">
        <v>0</v>
      </c>
      <c r="AFD43">
        <v>0</v>
      </c>
      <c r="AFE43">
        <v>0</v>
      </c>
      <c r="AFF43">
        <v>0</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0</v>
      </c>
      <c r="AGE43">
        <v>0</v>
      </c>
      <c r="AGF43">
        <v>0</v>
      </c>
      <c r="AGG43">
        <v>0</v>
      </c>
      <c r="AGH43">
        <v>0</v>
      </c>
      <c r="AGI43">
        <v>0</v>
      </c>
      <c r="AGJ43">
        <v>0</v>
      </c>
      <c r="AGK43">
        <v>0</v>
      </c>
      <c r="AGL43">
        <v>0</v>
      </c>
      <c r="AGM43">
        <v>0</v>
      </c>
      <c r="AGN43">
        <v>0</v>
      </c>
      <c r="AGO43">
        <v>0</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0</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0</v>
      </c>
      <c r="AII43">
        <v>0</v>
      </c>
      <c r="AIJ43">
        <v>0</v>
      </c>
      <c r="AIK43">
        <v>0</v>
      </c>
      <c r="AIL43">
        <v>0</v>
      </c>
      <c r="AIM43">
        <v>0</v>
      </c>
      <c r="AIN43">
        <v>0</v>
      </c>
      <c r="AIO43">
        <v>0</v>
      </c>
      <c r="AIP43">
        <v>0</v>
      </c>
      <c r="AIQ43">
        <v>0</v>
      </c>
      <c r="AIR43">
        <v>0</v>
      </c>
      <c r="AIS43">
        <v>0</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0</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0</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c r="ALO43">
        <v>0</v>
      </c>
      <c r="ALP43">
        <v>0</v>
      </c>
      <c r="ALQ43">
        <v>0</v>
      </c>
    </row>
    <row r="44" spans="1:1005" ht="42">
      <c r="A44" s="365" t="s">
        <v>1145</v>
      </c>
      <c r="B44" s="366" t="s">
        <v>55</v>
      </c>
      <c r="C44" s="367" t="s">
        <v>95</v>
      </c>
      <c r="D44" s="366" t="s">
        <v>97</v>
      </c>
      <c r="E44" s="378" t="s">
        <v>799</v>
      </c>
      <c r="F44" t="str">
        <f t="array" ref="F44:ALQ44" ca="1">TRANSPOSE(Filtered!AO2:AO1005)</f>
        <v/>
      </c>
      <c r="G44" t="str">
        <f ca="1"/>
        <v/>
      </c>
      <c r="H44" t="str">
        <f ca="1"/>
        <v/>
      </c>
      <c r="I44" t="str">
        <f ca="1"/>
        <v/>
      </c>
      <c r="J44" t="str">
        <f ca="1"/>
        <v/>
      </c>
      <c r="K44" t="str">
        <f ca="1"/>
        <v>Not specified</v>
      </c>
      <c r="L44" t="str">
        <f ca="1"/>
        <v/>
      </c>
      <c r="M44" t="str">
        <f ca="1"/>
        <v/>
      </c>
      <c r="N44" t="str">
        <f ca="1"/>
        <v/>
      </c>
      <c r="O44" t="str">
        <f ca="1"/>
        <v/>
      </c>
      <c r="P44" t="str">
        <f ca="1"/>
        <v/>
      </c>
      <c r="Q44" t="str">
        <f ca="1"/>
        <v/>
      </c>
      <c r="R44" t="str">
        <f ca="1"/>
        <v/>
      </c>
      <c r="S44" t="str">
        <f ca="1"/>
        <v/>
      </c>
      <c r="T44" t="str">
        <f ca="1"/>
        <v/>
      </c>
      <c r="U44" t="str">
        <f ca="1"/>
        <v/>
      </c>
      <c r="V44" t="str">
        <f ca="1"/>
        <v/>
      </c>
      <c r="W44" t="str">
        <f ca="1"/>
        <v/>
      </c>
      <c r="X44" t="str">
        <f ca="1"/>
        <v>Not specified</v>
      </c>
      <c r="Y44" t="str">
        <f ca="1"/>
        <v/>
      </c>
      <c r="Z44" t="str">
        <f ca="1"/>
        <v/>
      </c>
      <c r="AA44" t="str">
        <f ca="1"/>
        <v/>
      </c>
      <c r="AB44" t="str">
        <f ca="1"/>
        <v/>
      </c>
      <c r="AC44" t="str">
        <f ca="1"/>
        <v/>
      </c>
      <c r="AD44" t="str">
        <f ca="1"/>
        <v>The publication of the manuscript as a preprint, as well as public comments or coverage about that preprint, will be considered in the evaluation of the manuscript's impact.</v>
      </c>
      <c r="AE44" t="str">
        <f ca="1"/>
        <v/>
      </c>
      <c r="AF44" t="str">
        <f ca="1"/>
        <v/>
      </c>
      <c r="AG44" t="str">
        <f ca="1"/>
        <v>Not specified</v>
      </c>
      <c r="AH44" t="str">
        <f ca="1"/>
        <v>Not specified</v>
      </c>
      <c r="AI44" t="str">
        <f ca="1"/>
        <v>Not specified</v>
      </c>
      <c r="AJ44" t="str">
        <f ca="1"/>
        <v>Not specified</v>
      </c>
      <c r="AK44" t="str">
        <f ca="1"/>
        <v>Not specified</v>
      </c>
      <c r="AL44" t="str">
        <f ca="1"/>
        <v>Not specified</v>
      </c>
      <c r="AM44" t="str">
        <f ca="1"/>
        <v/>
      </c>
      <c r="AN44" t="str">
        <f ca="1"/>
        <v/>
      </c>
      <c r="AO44" t="str">
        <f ca="1"/>
        <v/>
      </c>
      <c r="AP44" t="str">
        <f ca="1"/>
        <v/>
      </c>
      <c r="AQ44" t="str">
        <f ca="1"/>
        <v/>
      </c>
      <c r="AR44" t="str">
        <f ca="1"/>
        <v/>
      </c>
      <c r="AS44" t="str">
        <f ca="1"/>
        <v/>
      </c>
      <c r="AT44" t="str">
        <f ca="1"/>
        <v/>
      </c>
      <c r="AU44" t="str">
        <f ca="1"/>
        <v/>
      </c>
      <c r="AV44" t="str">
        <f ca="1"/>
        <v/>
      </c>
      <c r="AW44" t="str">
        <f ca="1"/>
        <v/>
      </c>
      <c r="AX44" t="str">
        <f ca="1"/>
        <v/>
      </c>
      <c r="AY44" t="str">
        <f ca="1"/>
        <v/>
      </c>
      <c r="AZ44" t="str">
        <f ca="1"/>
        <v/>
      </c>
      <c r="BA44" t="str">
        <f ca="1"/>
        <v/>
      </c>
      <c r="BB44" t="str">
        <f ca="1"/>
        <v/>
      </c>
      <c r="BC44" t="str">
        <f ca="1"/>
        <v/>
      </c>
      <c r="BD44" t="str">
        <f ca="1"/>
        <v/>
      </c>
      <c r="BE44" t="str">
        <f ca="1"/>
        <v/>
      </c>
      <c r="BF44" t="str">
        <f ca="1"/>
        <v/>
      </c>
      <c r="BG44" t="str">
        <f ca="1"/>
        <v/>
      </c>
      <c r="BH44" t="str">
        <f ca="1"/>
        <v/>
      </c>
      <c r="BI44" t="str">
        <f ca="1"/>
        <v/>
      </c>
      <c r="BJ44" t="str">
        <f ca="1"/>
        <v/>
      </c>
      <c r="BK44" t="str">
        <f ca="1"/>
        <v>Not specified</v>
      </c>
      <c r="BL44" t="str">
        <f ca="1"/>
        <v/>
      </c>
      <c r="BM44" t="str">
        <f ca="1"/>
        <v/>
      </c>
      <c r="BN44" t="str">
        <f ca="1"/>
        <v/>
      </c>
      <c r="BO44" t="str">
        <f ca="1"/>
        <v/>
      </c>
      <c r="BP44" t="str">
        <f ca="1"/>
        <v/>
      </c>
      <c r="BQ44" t="str">
        <f ca="1"/>
        <v/>
      </c>
      <c r="BR44" t="str">
        <f ca="1"/>
        <v/>
      </c>
      <c r="BS44" t="str">
        <f ca="1"/>
        <v/>
      </c>
      <c r="BT44" t="str">
        <f ca="1"/>
        <v/>
      </c>
      <c r="BU44" t="str">
        <f ca="1"/>
        <v/>
      </c>
      <c r="BV44" t="str">
        <f ca="1"/>
        <v/>
      </c>
      <c r="BW44" t="str">
        <f ca="1"/>
        <v/>
      </c>
      <c r="BX44" t="str">
        <f ca="1"/>
        <v/>
      </c>
      <c r="BY44" t="str">
        <f ca="1"/>
        <v/>
      </c>
      <c r="BZ44" t="str">
        <f ca="1"/>
        <v/>
      </c>
      <c r="CA44" t="str">
        <f ca="1"/>
        <v/>
      </c>
      <c r="CB44" t="str">
        <f ca="1"/>
        <v/>
      </c>
      <c r="CC44" t="str">
        <f ca="1"/>
        <v/>
      </c>
      <c r="CD44" t="str">
        <f ca="1"/>
        <v/>
      </c>
      <c r="CE44" t="str">
        <f ca="1"/>
        <v/>
      </c>
      <c r="CF44" t="str">
        <f ca="1"/>
        <v/>
      </c>
      <c r="CG44" t="str">
        <f ca="1"/>
        <v/>
      </c>
      <c r="CH44" t="str">
        <f ca="1"/>
        <v/>
      </c>
      <c r="CI44" t="str">
        <f ca="1"/>
        <v/>
      </c>
      <c r="CJ44" t="str">
        <f ca="1"/>
        <v/>
      </c>
      <c r="CK44" t="str">
        <f ca="1"/>
        <v/>
      </c>
      <c r="CL44" t="str">
        <f ca="1"/>
        <v/>
      </c>
      <c r="CM44" t="str">
        <f ca="1"/>
        <v/>
      </c>
      <c r="CN44" t="str">
        <f ca="1"/>
        <v/>
      </c>
      <c r="CO44" t="str">
        <f ca="1"/>
        <v/>
      </c>
      <c r="CP44" t="str">
        <f ca="1"/>
        <v/>
      </c>
      <c r="CQ44" t="str">
        <f ca="1"/>
        <v/>
      </c>
      <c r="CR44" t="str">
        <f ca="1"/>
        <v/>
      </c>
      <c r="CS44" t="str">
        <f ca="1"/>
        <v/>
      </c>
      <c r="CT44" t="str">
        <f ca="1"/>
        <v/>
      </c>
      <c r="CU44" t="str">
        <f ca="1"/>
        <v/>
      </c>
      <c r="CV44" t="str">
        <f ca="1"/>
        <v/>
      </c>
      <c r="CW44" t="str">
        <f ca="1"/>
        <v/>
      </c>
      <c r="CX44" t="str">
        <f ca="1"/>
        <v/>
      </c>
      <c r="CY44" t="str">
        <f ca="1"/>
        <v/>
      </c>
      <c r="CZ44" t="str">
        <f ca="1"/>
        <v/>
      </c>
      <c r="DA44" t="str">
        <f ca="1"/>
        <v/>
      </c>
      <c r="DB44" t="str">
        <f ca="1"/>
        <v/>
      </c>
      <c r="DC44" t="str">
        <f ca="1"/>
        <v/>
      </c>
      <c r="DD44" t="str">
        <f ca="1"/>
        <v/>
      </c>
      <c r="DE44" t="str">
        <f ca="1"/>
        <v/>
      </c>
      <c r="DF44" t="str">
        <f ca="1"/>
        <v/>
      </c>
      <c r="DG44" t="str">
        <f ca="1"/>
        <v>Not specified</v>
      </c>
      <c r="DH44" t="str">
        <f ca="1"/>
        <v/>
      </c>
      <c r="DI44" t="str">
        <f ca="1"/>
        <v/>
      </c>
      <c r="DJ44" t="str">
        <f ca="1"/>
        <v/>
      </c>
      <c r="DK44" t="str">
        <f ca="1"/>
        <v/>
      </c>
      <c r="DL44" t="str">
        <f ca="1"/>
        <v/>
      </c>
      <c r="DM44" t="str">
        <f ca="1"/>
        <v/>
      </c>
      <c r="DN44" t="str">
        <f ca="1"/>
        <v/>
      </c>
      <c r="DO44" t="str">
        <f ca="1"/>
        <v/>
      </c>
      <c r="DP44" t="str">
        <f ca="1"/>
        <v/>
      </c>
      <c r="DQ44" t="str">
        <f ca="1"/>
        <v/>
      </c>
      <c r="DR44" t="str">
        <f ca="1"/>
        <v/>
      </c>
      <c r="DS44" t="str">
        <f ca="1"/>
        <v/>
      </c>
      <c r="DT44" t="str">
        <f ca="1"/>
        <v/>
      </c>
      <c r="DU44" t="str">
        <f ca="1"/>
        <v/>
      </c>
      <c r="DV44" t="str">
        <f ca="1"/>
        <v/>
      </c>
      <c r="DW44" t="str">
        <f ca="1"/>
        <v>Assuming citation policy from :  Authors may submit work to NeurIPS that is already available as a preprint (e.g., on arXiv) without citing it; however, previously published papers by the authors on related topics must be cited (with adequate anonymization to preserve double-blind reviewing).</v>
      </c>
      <c r="DX44" t="str">
        <f ca="1"/>
        <v/>
      </c>
      <c r="DY44" t="str">
        <f ca="1"/>
        <v/>
      </c>
      <c r="DZ44" t="str">
        <f ca="1"/>
        <v/>
      </c>
      <c r="EA44" t="str">
        <f ca="1"/>
        <v/>
      </c>
      <c r="EB44" t="str">
        <f ca="1"/>
        <v/>
      </c>
      <c r="EC44" t="str">
        <f ca="1"/>
        <v/>
      </c>
      <c r="ED44" t="str">
        <f ca="1"/>
        <v/>
      </c>
      <c r="EE44" t="str">
        <f ca="1"/>
        <v/>
      </c>
      <c r="EF44" t="str">
        <f ca="1"/>
        <v/>
      </c>
      <c r="EG44" t="str">
        <f ca="1"/>
        <v/>
      </c>
      <c r="EH44" t="str">
        <f ca="1"/>
        <v/>
      </c>
      <c r="EI44" t="str">
        <f ca="1"/>
        <v/>
      </c>
      <c r="EJ44" t="str">
        <f ca="1"/>
        <v/>
      </c>
      <c r="EK44" t="str">
        <f ca="1"/>
        <v/>
      </c>
      <c r="EL44" t="str">
        <f ca="1"/>
        <v>"PLOS encourages editors to consider comments and feedback available on the preprint record to inform their editorial decision, and where relevant, editors may incorporate those comments in their editorial feedback to authors."</v>
      </c>
      <c r="EM44" t="str">
        <f ca="1"/>
        <v/>
      </c>
      <c r="EN44" t="str">
        <f ca="1"/>
        <v/>
      </c>
      <c r="EO44" t="str">
        <f ca="1"/>
        <v/>
      </c>
      <c r="EP44" t="str">
        <f ca="1"/>
        <v/>
      </c>
      <c r="EQ44" t="str">
        <f ca="1"/>
        <v/>
      </c>
      <c r="ER44" t="str">
        <f ca="1"/>
        <v/>
      </c>
      <c r="ES44" t="str">
        <f ca="1"/>
        <v/>
      </c>
      <c r="ET44" t="str">
        <f ca="1"/>
        <v/>
      </c>
      <c r="EU44" t="str">
        <f ca="1"/>
        <v/>
      </c>
      <c r="EV44" t="str">
        <f ca="1"/>
        <v/>
      </c>
      <c r="EW44" t="str">
        <f ca="1"/>
        <v/>
      </c>
      <c r="EX44" t="str">
        <f ca="1"/>
        <v/>
      </c>
      <c r="EY44" t="str">
        <f ca="1"/>
        <v/>
      </c>
      <c r="EZ44" t="str">
        <f ca="1"/>
        <v/>
      </c>
      <c r="FA44" t="str">
        <f ca="1"/>
        <v/>
      </c>
      <c r="FB44" t="str">
        <f ca="1"/>
        <v/>
      </c>
      <c r="FC44" t="str">
        <f ca="1"/>
        <v/>
      </c>
      <c r="FD44" t="str">
        <f ca="1"/>
        <v/>
      </c>
      <c r="FE44" t="str">
        <f ca="1"/>
        <v/>
      </c>
      <c r="FF44" t="str">
        <f ca="1"/>
        <v/>
      </c>
      <c r="FG44" t="str">
        <f ca="1"/>
        <v/>
      </c>
      <c r="FH44" t="str">
        <f ca="1"/>
        <v/>
      </c>
      <c r="FI44" t="str">
        <f ca="1"/>
        <v/>
      </c>
      <c r="FJ44" t="str">
        <f ca="1"/>
        <v/>
      </c>
      <c r="FK44" t="str">
        <f ca="1"/>
        <v/>
      </c>
      <c r="FL44" t="str">
        <f ca="1"/>
        <v/>
      </c>
      <c r="FM44" t="str">
        <f ca="1"/>
        <v/>
      </c>
      <c r="FN44" t="str">
        <f ca="1"/>
        <v/>
      </c>
      <c r="FO44" t="str">
        <f ca="1"/>
        <v/>
      </c>
      <c r="FP44" t="str">
        <f ca="1"/>
        <v/>
      </c>
      <c r="FQ44" t="str">
        <f ca="1"/>
        <v/>
      </c>
      <c r="FR44" t="str">
        <f ca="1"/>
        <v/>
      </c>
      <c r="FS44" t="str">
        <f ca="1"/>
        <v/>
      </c>
      <c r="FT44" t="str">
        <f ca="1"/>
        <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0</v>
      </c>
      <c r="MV44">
        <v>0</v>
      </c>
      <c r="MW44">
        <v>0</v>
      </c>
      <c r="MX44">
        <v>0</v>
      </c>
      <c r="MY44">
        <v>0</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0</v>
      </c>
      <c r="OV44">
        <v>0</v>
      </c>
      <c r="OW44">
        <v>0</v>
      </c>
      <c r="OX44">
        <v>0</v>
      </c>
      <c r="OY44">
        <v>0</v>
      </c>
      <c r="OZ44">
        <v>0</v>
      </c>
      <c r="PA44">
        <v>0</v>
      </c>
      <c r="PB44">
        <v>0</v>
      </c>
      <c r="PC44">
        <v>0</v>
      </c>
      <c r="PD44">
        <v>0</v>
      </c>
      <c r="PE44">
        <v>0</v>
      </c>
      <c r="PF44">
        <v>0</v>
      </c>
      <c r="PG44">
        <v>0</v>
      </c>
      <c r="PH44">
        <v>0</v>
      </c>
      <c r="PI44">
        <v>0</v>
      </c>
      <c r="PJ44">
        <v>0</v>
      </c>
      <c r="PK44">
        <v>0</v>
      </c>
      <c r="PL44">
        <v>0</v>
      </c>
      <c r="PM44">
        <v>0</v>
      </c>
      <c r="PN44">
        <v>0</v>
      </c>
      <c r="PO44">
        <v>0</v>
      </c>
      <c r="PP44">
        <v>0</v>
      </c>
      <c r="PQ44">
        <v>0</v>
      </c>
      <c r="PR44">
        <v>0</v>
      </c>
      <c r="PS44">
        <v>0</v>
      </c>
      <c r="PT44">
        <v>0</v>
      </c>
      <c r="PU44">
        <v>0</v>
      </c>
      <c r="PV44">
        <v>0</v>
      </c>
      <c r="PW44">
        <v>0</v>
      </c>
      <c r="PX44">
        <v>0</v>
      </c>
      <c r="PY44">
        <v>0</v>
      </c>
      <c r="PZ44">
        <v>0</v>
      </c>
      <c r="QA44">
        <v>0</v>
      </c>
      <c r="QB44">
        <v>0</v>
      </c>
      <c r="QC44">
        <v>0</v>
      </c>
      <c r="QD44">
        <v>0</v>
      </c>
      <c r="QE44">
        <v>0</v>
      </c>
      <c r="QF44">
        <v>0</v>
      </c>
      <c r="QG44">
        <v>0</v>
      </c>
      <c r="QH44">
        <v>0</v>
      </c>
      <c r="QI44">
        <v>0</v>
      </c>
      <c r="QJ44">
        <v>0</v>
      </c>
      <c r="QK44">
        <v>0</v>
      </c>
      <c r="QL44">
        <v>0</v>
      </c>
      <c r="QM44">
        <v>0</v>
      </c>
      <c r="QN44">
        <v>0</v>
      </c>
      <c r="QO44">
        <v>0</v>
      </c>
      <c r="QP44">
        <v>0</v>
      </c>
      <c r="QQ44">
        <v>0</v>
      </c>
      <c r="QR44">
        <v>0</v>
      </c>
      <c r="QS44">
        <v>0</v>
      </c>
      <c r="QT44">
        <v>0</v>
      </c>
      <c r="QU44">
        <v>0</v>
      </c>
      <c r="QV44">
        <v>0</v>
      </c>
      <c r="QW44">
        <v>0</v>
      </c>
      <c r="QX44">
        <v>0</v>
      </c>
      <c r="QY44">
        <v>0</v>
      </c>
      <c r="QZ44">
        <v>0</v>
      </c>
      <c r="RA44">
        <v>0</v>
      </c>
      <c r="RB44">
        <v>0</v>
      </c>
      <c r="RC44">
        <v>0</v>
      </c>
      <c r="RD44">
        <v>0</v>
      </c>
      <c r="RE44">
        <v>0</v>
      </c>
      <c r="RF44">
        <v>0</v>
      </c>
      <c r="RG44">
        <v>0</v>
      </c>
      <c r="RH44">
        <v>0</v>
      </c>
      <c r="RI44">
        <v>0</v>
      </c>
      <c r="RJ44">
        <v>0</v>
      </c>
      <c r="RK44">
        <v>0</v>
      </c>
      <c r="RL44">
        <v>0</v>
      </c>
      <c r="RM44">
        <v>0</v>
      </c>
      <c r="RN44">
        <v>0</v>
      </c>
      <c r="RO44">
        <v>0</v>
      </c>
      <c r="RP44">
        <v>0</v>
      </c>
      <c r="RQ44">
        <v>0</v>
      </c>
      <c r="RR44">
        <v>0</v>
      </c>
      <c r="RS44">
        <v>0</v>
      </c>
      <c r="RT44">
        <v>0</v>
      </c>
      <c r="RU44">
        <v>0</v>
      </c>
      <c r="RV44">
        <v>0</v>
      </c>
      <c r="RW44">
        <v>0</v>
      </c>
      <c r="RX44">
        <v>0</v>
      </c>
      <c r="RY44">
        <v>0</v>
      </c>
      <c r="RZ44">
        <v>0</v>
      </c>
      <c r="SA44">
        <v>0</v>
      </c>
      <c r="SB44">
        <v>0</v>
      </c>
      <c r="SC44">
        <v>0</v>
      </c>
      <c r="SD44">
        <v>0</v>
      </c>
      <c r="SE44">
        <v>0</v>
      </c>
      <c r="SF44">
        <v>0</v>
      </c>
      <c r="SG44">
        <v>0</v>
      </c>
      <c r="SH44">
        <v>0</v>
      </c>
      <c r="SI44">
        <v>0</v>
      </c>
      <c r="SJ44">
        <v>0</v>
      </c>
      <c r="SK44">
        <v>0</v>
      </c>
      <c r="SL44">
        <v>0</v>
      </c>
      <c r="SM44">
        <v>0</v>
      </c>
      <c r="SN44">
        <v>0</v>
      </c>
      <c r="SO44">
        <v>0</v>
      </c>
      <c r="SP44">
        <v>0</v>
      </c>
      <c r="SQ44">
        <v>0</v>
      </c>
      <c r="SR44">
        <v>0</v>
      </c>
      <c r="SS44">
        <v>0</v>
      </c>
      <c r="ST44">
        <v>0</v>
      </c>
      <c r="SU44">
        <v>0</v>
      </c>
      <c r="SV44">
        <v>0</v>
      </c>
      <c r="SW44">
        <v>0</v>
      </c>
      <c r="SX44">
        <v>0</v>
      </c>
      <c r="SY44">
        <v>0</v>
      </c>
      <c r="SZ44">
        <v>0</v>
      </c>
      <c r="TA44">
        <v>0</v>
      </c>
      <c r="TB44">
        <v>0</v>
      </c>
      <c r="TC44">
        <v>0</v>
      </c>
      <c r="TD44">
        <v>0</v>
      </c>
      <c r="TE44">
        <v>0</v>
      </c>
      <c r="TF44">
        <v>0</v>
      </c>
      <c r="TG44">
        <v>0</v>
      </c>
      <c r="TH44">
        <v>0</v>
      </c>
      <c r="TI44">
        <v>0</v>
      </c>
      <c r="TJ44">
        <v>0</v>
      </c>
      <c r="TK44">
        <v>0</v>
      </c>
      <c r="TL44">
        <v>0</v>
      </c>
      <c r="TM44">
        <v>0</v>
      </c>
      <c r="TN44">
        <v>0</v>
      </c>
      <c r="TO44">
        <v>0</v>
      </c>
      <c r="TP44">
        <v>0</v>
      </c>
      <c r="TQ44">
        <v>0</v>
      </c>
      <c r="TR44">
        <v>0</v>
      </c>
      <c r="TS44">
        <v>0</v>
      </c>
      <c r="TT44">
        <v>0</v>
      </c>
      <c r="TU44">
        <v>0</v>
      </c>
      <c r="TV44">
        <v>0</v>
      </c>
      <c r="TW44">
        <v>0</v>
      </c>
      <c r="TX44">
        <v>0</v>
      </c>
      <c r="TY44">
        <v>0</v>
      </c>
      <c r="TZ44">
        <v>0</v>
      </c>
      <c r="UA44">
        <v>0</v>
      </c>
      <c r="UB44">
        <v>0</v>
      </c>
      <c r="UC44">
        <v>0</v>
      </c>
      <c r="UD44">
        <v>0</v>
      </c>
      <c r="UE44">
        <v>0</v>
      </c>
      <c r="UF44">
        <v>0</v>
      </c>
      <c r="UG44">
        <v>0</v>
      </c>
      <c r="UH44">
        <v>0</v>
      </c>
      <c r="UI44">
        <v>0</v>
      </c>
      <c r="UJ44">
        <v>0</v>
      </c>
      <c r="UK44">
        <v>0</v>
      </c>
      <c r="UL44">
        <v>0</v>
      </c>
      <c r="UM44">
        <v>0</v>
      </c>
      <c r="UN44">
        <v>0</v>
      </c>
      <c r="UO44">
        <v>0</v>
      </c>
      <c r="UP44">
        <v>0</v>
      </c>
      <c r="UQ44">
        <v>0</v>
      </c>
      <c r="UR44">
        <v>0</v>
      </c>
      <c r="US44">
        <v>0</v>
      </c>
      <c r="UT44">
        <v>0</v>
      </c>
      <c r="UU44">
        <v>0</v>
      </c>
      <c r="UV44">
        <v>0</v>
      </c>
      <c r="UW44">
        <v>0</v>
      </c>
      <c r="UX44">
        <v>0</v>
      </c>
      <c r="UY44">
        <v>0</v>
      </c>
      <c r="UZ44">
        <v>0</v>
      </c>
      <c r="VA44">
        <v>0</v>
      </c>
      <c r="VB44">
        <v>0</v>
      </c>
      <c r="VC44">
        <v>0</v>
      </c>
      <c r="VD44">
        <v>0</v>
      </c>
      <c r="VE44">
        <v>0</v>
      </c>
      <c r="VF44">
        <v>0</v>
      </c>
      <c r="VG44">
        <v>0</v>
      </c>
      <c r="VH44">
        <v>0</v>
      </c>
      <c r="VI44">
        <v>0</v>
      </c>
      <c r="VJ44">
        <v>0</v>
      </c>
      <c r="VK44">
        <v>0</v>
      </c>
      <c r="VL44">
        <v>0</v>
      </c>
      <c r="VM44">
        <v>0</v>
      </c>
      <c r="VN44">
        <v>0</v>
      </c>
      <c r="VO44">
        <v>0</v>
      </c>
      <c r="VP44">
        <v>0</v>
      </c>
      <c r="VQ44">
        <v>0</v>
      </c>
      <c r="VR44">
        <v>0</v>
      </c>
      <c r="VS44">
        <v>0</v>
      </c>
      <c r="VT44">
        <v>0</v>
      </c>
      <c r="VU44">
        <v>0</v>
      </c>
      <c r="VV44">
        <v>0</v>
      </c>
      <c r="VW44">
        <v>0</v>
      </c>
      <c r="VX44">
        <v>0</v>
      </c>
      <c r="VY44">
        <v>0</v>
      </c>
      <c r="VZ44">
        <v>0</v>
      </c>
      <c r="WA44">
        <v>0</v>
      </c>
      <c r="WB44">
        <v>0</v>
      </c>
      <c r="WC44">
        <v>0</v>
      </c>
      <c r="WD44">
        <v>0</v>
      </c>
      <c r="WE44">
        <v>0</v>
      </c>
      <c r="WF44">
        <v>0</v>
      </c>
      <c r="WG44">
        <v>0</v>
      </c>
      <c r="WH44">
        <v>0</v>
      </c>
      <c r="WI44">
        <v>0</v>
      </c>
      <c r="WJ44">
        <v>0</v>
      </c>
      <c r="WK44">
        <v>0</v>
      </c>
      <c r="WL44">
        <v>0</v>
      </c>
      <c r="WM44">
        <v>0</v>
      </c>
      <c r="WN44">
        <v>0</v>
      </c>
      <c r="WO44">
        <v>0</v>
      </c>
      <c r="WP44">
        <v>0</v>
      </c>
      <c r="WQ44">
        <v>0</v>
      </c>
      <c r="WR44">
        <v>0</v>
      </c>
      <c r="WS44">
        <v>0</v>
      </c>
      <c r="WT44">
        <v>0</v>
      </c>
      <c r="WU44">
        <v>0</v>
      </c>
      <c r="WV44">
        <v>0</v>
      </c>
      <c r="WW44">
        <v>0</v>
      </c>
      <c r="WX44">
        <v>0</v>
      </c>
      <c r="WY44">
        <v>0</v>
      </c>
      <c r="WZ44">
        <v>0</v>
      </c>
      <c r="XA44">
        <v>0</v>
      </c>
      <c r="XB44">
        <v>0</v>
      </c>
      <c r="XC44">
        <v>0</v>
      </c>
      <c r="XD44">
        <v>0</v>
      </c>
      <c r="XE44">
        <v>0</v>
      </c>
      <c r="XF44">
        <v>0</v>
      </c>
      <c r="XG44">
        <v>0</v>
      </c>
      <c r="XH44">
        <v>0</v>
      </c>
      <c r="XI44">
        <v>0</v>
      </c>
      <c r="XJ44">
        <v>0</v>
      </c>
      <c r="XK44">
        <v>0</v>
      </c>
      <c r="XL44">
        <v>0</v>
      </c>
      <c r="XM44">
        <v>0</v>
      </c>
      <c r="XN44">
        <v>0</v>
      </c>
      <c r="XO44">
        <v>0</v>
      </c>
      <c r="XP44">
        <v>0</v>
      </c>
      <c r="XQ44">
        <v>0</v>
      </c>
      <c r="XR44">
        <v>0</v>
      </c>
      <c r="XS44">
        <v>0</v>
      </c>
      <c r="XT44">
        <v>0</v>
      </c>
      <c r="XU44">
        <v>0</v>
      </c>
      <c r="XV44">
        <v>0</v>
      </c>
      <c r="XW44">
        <v>0</v>
      </c>
      <c r="XX44">
        <v>0</v>
      </c>
      <c r="XY44">
        <v>0</v>
      </c>
      <c r="XZ44">
        <v>0</v>
      </c>
      <c r="YA44">
        <v>0</v>
      </c>
      <c r="YB44">
        <v>0</v>
      </c>
      <c r="YC44">
        <v>0</v>
      </c>
      <c r="YD44">
        <v>0</v>
      </c>
      <c r="YE44">
        <v>0</v>
      </c>
      <c r="YF44">
        <v>0</v>
      </c>
      <c r="YG44">
        <v>0</v>
      </c>
      <c r="YH44">
        <v>0</v>
      </c>
      <c r="YI44">
        <v>0</v>
      </c>
      <c r="YJ44">
        <v>0</v>
      </c>
      <c r="YK44">
        <v>0</v>
      </c>
      <c r="YL44">
        <v>0</v>
      </c>
      <c r="YM44">
        <v>0</v>
      </c>
      <c r="YN44">
        <v>0</v>
      </c>
      <c r="YO44">
        <v>0</v>
      </c>
      <c r="YP44">
        <v>0</v>
      </c>
      <c r="YQ44">
        <v>0</v>
      </c>
      <c r="YR44">
        <v>0</v>
      </c>
      <c r="YS44">
        <v>0</v>
      </c>
      <c r="YT44">
        <v>0</v>
      </c>
      <c r="YU44">
        <v>0</v>
      </c>
      <c r="YV44">
        <v>0</v>
      </c>
      <c r="YW44">
        <v>0</v>
      </c>
      <c r="YX44">
        <v>0</v>
      </c>
      <c r="YY44">
        <v>0</v>
      </c>
      <c r="YZ44">
        <v>0</v>
      </c>
      <c r="ZA44">
        <v>0</v>
      </c>
      <c r="ZB44">
        <v>0</v>
      </c>
      <c r="ZC44">
        <v>0</v>
      </c>
      <c r="ZD44">
        <v>0</v>
      </c>
      <c r="ZE44">
        <v>0</v>
      </c>
      <c r="ZF44">
        <v>0</v>
      </c>
      <c r="ZG44">
        <v>0</v>
      </c>
      <c r="ZH44">
        <v>0</v>
      </c>
      <c r="ZI44">
        <v>0</v>
      </c>
      <c r="ZJ44">
        <v>0</v>
      </c>
      <c r="ZK44">
        <v>0</v>
      </c>
      <c r="ZL44">
        <v>0</v>
      </c>
      <c r="ZM44">
        <v>0</v>
      </c>
      <c r="ZN44">
        <v>0</v>
      </c>
      <c r="ZO44">
        <v>0</v>
      </c>
      <c r="ZP44">
        <v>0</v>
      </c>
      <c r="ZQ44">
        <v>0</v>
      </c>
      <c r="ZR44">
        <v>0</v>
      </c>
      <c r="ZS44">
        <v>0</v>
      </c>
      <c r="ZT44">
        <v>0</v>
      </c>
      <c r="ZU44">
        <v>0</v>
      </c>
      <c r="ZV44">
        <v>0</v>
      </c>
      <c r="ZW44">
        <v>0</v>
      </c>
      <c r="ZX44">
        <v>0</v>
      </c>
      <c r="ZY44">
        <v>0</v>
      </c>
      <c r="ZZ44">
        <v>0</v>
      </c>
      <c r="AAA44">
        <v>0</v>
      </c>
      <c r="AAB44">
        <v>0</v>
      </c>
      <c r="AAC44">
        <v>0</v>
      </c>
      <c r="AAD44">
        <v>0</v>
      </c>
      <c r="AAE44">
        <v>0</v>
      </c>
      <c r="AAF44">
        <v>0</v>
      </c>
      <c r="AAG44">
        <v>0</v>
      </c>
      <c r="AAH44">
        <v>0</v>
      </c>
      <c r="AAI44">
        <v>0</v>
      </c>
      <c r="AAJ44">
        <v>0</v>
      </c>
      <c r="AAK44">
        <v>0</v>
      </c>
      <c r="AAL44">
        <v>0</v>
      </c>
      <c r="AAM44">
        <v>0</v>
      </c>
      <c r="AAN44">
        <v>0</v>
      </c>
      <c r="AAO44">
        <v>0</v>
      </c>
      <c r="AAP44">
        <v>0</v>
      </c>
      <c r="AAQ44">
        <v>0</v>
      </c>
      <c r="AAR44">
        <v>0</v>
      </c>
      <c r="AAS44">
        <v>0</v>
      </c>
      <c r="AAT44">
        <v>0</v>
      </c>
      <c r="AAU44">
        <v>0</v>
      </c>
      <c r="AAV44">
        <v>0</v>
      </c>
      <c r="AAW44">
        <v>0</v>
      </c>
      <c r="AAX44">
        <v>0</v>
      </c>
      <c r="AAY44">
        <v>0</v>
      </c>
      <c r="AAZ44">
        <v>0</v>
      </c>
      <c r="ABA44">
        <v>0</v>
      </c>
      <c r="ABB44">
        <v>0</v>
      </c>
      <c r="ABC44">
        <v>0</v>
      </c>
      <c r="ABD44">
        <v>0</v>
      </c>
      <c r="ABE44">
        <v>0</v>
      </c>
      <c r="ABF44">
        <v>0</v>
      </c>
      <c r="ABG44">
        <v>0</v>
      </c>
      <c r="ABH44">
        <v>0</v>
      </c>
      <c r="ABI44">
        <v>0</v>
      </c>
      <c r="ABJ44">
        <v>0</v>
      </c>
      <c r="ABK44">
        <v>0</v>
      </c>
      <c r="ABL44">
        <v>0</v>
      </c>
      <c r="ABM44">
        <v>0</v>
      </c>
      <c r="ABN44">
        <v>0</v>
      </c>
      <c r="ABO44">
        <v>0</v>
      </c>
      <c r="ABP44">
        <v>0</v>
      </c>
      <c r="ABQ44">
        <v>0</v>
      </c>
      <c r="ABR44">
        <v>0</v>
      </c>
      <c r="ABS44">
        <v>0</v>
      </c>
      <c r="ABT44">
        <v>0</v>
      </c>
      <c r="ABU44">
        <v>0</v>
      </c>
      <c r="ABV44">
        <v>0</v>
      </c>
      <c r="ABW44">
        <v>0</v>
      </c>
      <c r="ABX44">
        <v>0</v>
      </c>
      <c r="ABY44">
        <v>0</v>
      </c>
      <c r="ABZ44">
        <v>0</v>
      </c>
      <c r="ACA44">
        <v>0</v>
      </c>
      <c r="ACB44">
        <v>0</v>
      </c>
      <c r="ACC44">
        <v>0</v>
      </c>
      <c r="ACD44">
        <v>0</v>
      </c>
      <c r="ACE44">
        <v>0</v>
      </c>
      <c r="ACF44">
        <v>0</v>
      </c>
      <c r="ACG44">
        <v>0</v>
      </c>
      <c r="ACH44">
        <v>0</v>
      </c>
      <c r="ACI44">
        <v>0</v>
      </c>
      <c r="ACJ44">
        <v>0</v>
      </c>
      <c r="ACK44">
        <v>0</v>
      </c>
      <c r="ACL44">
        <v>0</v>
      </c>
      <c r="ACM44">
        <v>0</v>
      </c>
      <c r="ACN44">
        <v>0</v>
      </c>
      <c r="ACO44">
        <v>0</v>
      </c>
      <c r="ACP44">
        <v>0</v>
      </c>
      <c r="ACQ44">
        <v>0</v>
      </c>
      <c r="ACR44">
        <v>0</v>
      </c>
      <c r="ACS44">
        <v>0</v>
      </c>
      <c r="ACT44">
        <v>0</v>
      </c>
      <c r="ACU44">
        <v>0</v>
      </c>
      <c r="ACV44">
        <v>0</v>
      </c>
      <c r="ACW44">
        <v>0</v>
      </c>
      <c r="ACX44">
        <v>0</v>
      </c>
      <c r="ACY44">
        <v>0</v>
      </c>
      <c r="ACZ44">
        <v>0</v>
      </c>
      <c r="ADA44">
        <v>0</v>
      </c>
      <c r="ADB44">
        <v>0</v>
      </c>
      <c r="ADC44">
        <v>0</v>
      </c>
      <c r="ADD44">
        <v>0</v>
      </c>
      <c r="ADE44">
        <v>0</v>
      </c>
      <c r="ADF44">
        <v>0</v>
      </c>
      <c r="ADG44">
        <v>0</v>
      </c>
      <c r="ADH44">
        <v>0</v>
      </c>
      <c r="ADI44">
        <v>0</v>
      </c>
      <c r="ADJ44">
        <v>0</v>
      </c>
      <c r="ADK44">
        <v>0</v>
      </c>
      <c r="ADL44">
        <v>0</v>
      </c>
      <c r="ADM44">
        <v>0</v>
      </c>
      <c r="ADN44">
        <v>0</v>
      </c>
      <c r="ADO44">
        <v>0</v>
      </c>
      <c r="ADP44">
        <v>0</v>
      </c>
      <c r="ADQ44">
        <v>0</v>
      </c>
      <c r="ADR44">
        <v>0</v>
      </c>
      <c r="ADS44">
        <v>0</v>
      </c>
      <c r="ADT44">
        <v>0</v>
      </c>
      <c r="ADU44">
        <v>0</v>
      </c>
      <c r="ADV44">
        <v>0</v>
      </c>
      <c r="ADW44">
        <v>0</v>
      </c>
      <c r="ADX44">
        <v>0</v>
      </c>
      <c r="ADY44">
        <v>0</v>
      </c>
      <c r="ADZ44">
        <v>0</v>
      </c>
      <c r="AEA44">
        <v>0</v>
      </c>
      <c r="AEB44">
        <v>0</v>
      </c>
      <c r="AEC44">
        <v>0</v>
      </c>
      <c r="AED44">
        <v>0</v>
      </c>
      <c r="AEE44">
        <v>0</v>
      </c>
      <c r="AEF44">
        <v>0</v>
      </c>
      <c r="AEG44">
        <v>0</v>
      </c>
      <c r="AEH44">
        <v>0</v>
      </c>
      <c r="AEI44">
        <v>0</v>
      </c>
      <c r="AEJ44">
        <v>0</v>
      </c>
      <c r="AEK44">
        <v>0</v>
      </c>
      <c r="AEL44">
        <v>0</v>
      </c>
      <c r="AEM44">
        <v>0</v>
      </c>
      <c r="AEN44">
        <v>0</v>
      </c>
      <c r="AEO44">
        <v>0</v>
      </c>
      <c r="AEP44">
        <v>0</v>
      </c>
      <c r="AEQ44">
        <v>0</v>
      </c>
      <c r="AER44">
        <v>0</v>
      </c>
      <c r="AES44">
        <v>0</v>
      </c>
      <c r="AET44">
        <v>0</v>
      </c>
      <c r="AEU44">
        <v>0</v>
      </c>
      <c r="AEV44">
        <v>0</v>
      </c>
      <c r="AEW44">
        <v>0</v>
      </c>
      <c r="AEX44">
        <v>0</v>
      </c>
      <c r="AEY44">
        <v>0</v>
      </c>
      <c r="AEZ44">
        <v>0</v>
      </c>
      <c r="AFA44">
        <v>0</v>
      </c>
      <c r="AFB44">
        <v>0</v>
      </c>
      <c r="AFC44">
        <v>0</v>
      </c>
      <c r="AFD44">
        <v>0</v>
      </c>
      <c r="AFE44">
        <v>0</v>
      </c>
      <c r="AFF44">
        <v>0</v>
      </c>
      <c r="AFG44">
        <v>0</v>
      </c>
      <c r="AFH44">
        <v>0</v>
      </c>
      <c r="AFI44">
        <v>0</v>
      </c>
      <c r="AFJ44">
        <v>0</v>
      </c>
      <c r="AFK44">
        <v>0</v>
      </c>
      <c r="AFL44">
        <v>0</v>
      </c>
      <c r="AFM44">
        <v>0</v>
      </c>
      <c r="AFN44">
        <v>0</v>
      </c>
      <c r="AFO44">
        <v>0</v>
      </c>
      <c r="AFP44">
        <v>0</v>
      </c>
      <c r="AFQ44">
        <v>0</v>
      </c>
      <c r="AFR44">
        <v>0</v>
      </c>
      <c r="AFS44">
        <v>0</v>
      </c>
      <c r="AFT44">
        <v>0</v>
      </c>
      <c r="AFU44">
        <v>0</v>
      </c>
      <c r="AFV44">
        <v>0</v>
      </c>
      <c r="AFW44">
        <v>0</v>
      </c>
      <c r="AFX44">
        <v>0</v>
      </c>
      <c r="AFY44">
        <v>0</v>
      </c>
      <c r="AFZ44">
        <v>0</v>
      </c>
      <c r="AGA44">
        <v>0</v>
      </c>
      <c r="AGB44">
        <v>0</v>
      </c>
      <c r="AGC44">
        <v>0</v>
      </c>
      <c r="AGD44">
        <v>0</v>
      </c>
      <c r="AGE44">
        <v>0</v>
      </c>
      <c r="AGF44">
        <v>0</v>
      </c>
      <c r="AGG44">
        <v>0</v>
      </c>
      <c r="AGH44">
        <v>0</v>
      </c>
      <c r="AGI44">
        <v>0</v>
      </c>
      <c r="AGJ44">
        <v>0</v>
      </c>
      <c r="AGK44">
        <v>0</v>
      </c>
      <c r="AGL44">
        <v>0</v>
      </c>
      <c r="AGM44">
        <v>0</v>
      </c>
      <c r="AGN44">
        <v>0</v>
      </c>
      <c r="AGO44">
        <v>0</v>
      </c>
      <c r="AGP44">
        <v>0</v>
      </c>
      <c r="AGQ44">
        <v>0</v>
      </c>
      <c r="AGR44">
        <v>0</v>
      </c>
      <c r="AGS44">
        <v>0</v>
      </c>
      <c r="AGT44">
        <v>0</v>
      </c>
      <c r="AGU44">
        <v>0</v>
      </c>
      <c r="AGV44">
        <v>0</v>
      </c>
      <c r="AGW44">
        <v>0</v>
      </c>
      <c r="AGX44">
        <v>0</v>
      </c>
      <c r="AGY44">
        <v>0</v>
      </c>
      <c r="AGZ44">
        <v>0</v>
      </c>
      <c r="AHA44">
        <v>0</v>
      </c>
      <c r="AHB44">
        <v>0</v>
      </c>
      <c r="AHC44">
        <v>0</v>
      </c>
      <c r="AHD44">
        <v>0</v>
      </c>
      <c r="AHE44">
        <v>0</v>
      </c>
      <c r="AHF44">
        <v>0</v>
      </c>
      <c r="AHG44">
        <v>0</v>
      </c>
      <c r="AHH44">
        <v>0</v>
      </c>
      <c r="AHI44">
        <v>0</v>
      </c>
      <c r="AHJ44">
        <v>0</v>
      </c>
      <c r="AHK44">
        <v>0</v>
      </c>
      <c r="AHL44">
        <v>0</v>
      </c>
      <c r="AHM44">
        <v>0</v>
      </c>
      <c r="AHN44">
        <v>0</v>
      </c>
      <c r="AHO44">
        <v>0</v>
      </c>
      <c r="AHP44">
        <v>0</v>
      </c>
      <c r="AHQ44">
        <v>0</v>
      </c>
      <c r="AHR44">
        <v>0</v>
      </c>
      <c r="AHS44">
        <v>0</v>
      </c>
      <c r="AHT44">
        <v>0</v>
      </c>
      <c r="AHU44">
        <v>0</v>
      </c>
      <c r="AHV44">
        <v>0</v>
      </c>
      <c r="AHW44">
        <v>0</v>
      </c>
      <c r="AHX44">
        <v>0</v>
      </c>
      <c r="AHY44">
        <v>0</v>
      </c>
      <c r="AHZ44">
        <v>0</v>
      </c>
      <c r="AIA44">
        <v>0</v>
      </c>
      <c r="AIB44">
        <v>0</v>
      </c>
      <c r="AIC44">
        <v>0</v>
      </c>
      <c r="AID44">
        <v>0</v>
      </c>
      <c r="AIE44">
        <v>0</v>
      </c>
      <c r="AIF44">
        <v>0</v>
      </c>
      <c r="AIG44">
        <v>0</v>
      </c>
      <c r="AIH44">
        <v>0</v>
      </c>
      <c r="AII44">
        <v>0</v>
      </c>
      <c r="AIJ44">
        <v>0</v>
      </c>
      <c r="AIK44">
        <v>0</v>
      </c>
      <c r="AIL44">
        <v>0</v>
      </c>
      <c r="AIM44">
        <v>0</v>
      </c>
      <c r="AIN44">
        <v>0</v>
      </c>
      <c r="AIO44">
        <v>0</v>
      </c>
      <c r="AIP44">
        <v>0</v>
      </c>
      <c r="AIQ44">
        <v>0</v>
      </c>
      <c r="AIR44">
        <v>0</v>
      </c>
      <c r="AIS44">
        <v>0</v>
      </c>
      <c r="AIT44">
        <v>0</v>
      </c>
      <c r="AIU44">
        <v>0</v>
      </c>
      <c r="AIV44">
        <v>0</v>
      </c>
      <c r="AIW44">
        <v>0</v>
      </c>
      <c r="AIX44">
        <v>0</v>
      </c>
      <c r="AIY44">
        <v>0</v>
      </c>
      <c r="AIZ44">
        <v>0</v>
      </c>
      <c r="AJA44">
        <v>0</v>
      </c>
      <c r="AJB44">
        <v>0</v>
      </c>
      <c r="AJC44">
        <v>0</v>
      </c>
      <c r="AJD44">
        <v>0</v>
      </c>
      <c r="AJE44">
        <v>0</v>
      </c>
      <c r="AJF44">
        <v>0</v>
      </c>
      <c r="AJG44">
        <v>0</v>
      </c>
      <c r="AJH44">
        <v>0</v>
      </c>
      <c r="AJI44">
        <v>0</v>
      </c>
      <c r="AJJ44">
        <v>0</v>
      </c>
      <c r="AJK44">
        <v>0</v>
      </c>
      <c r="AJL44">
        <v>0</v>
      </c>
      <c r="AJM44">
        <v>0</v>
      </c>
      <c r="AJN44">
        <v>0</v>
      </c>
      <c r="AJO44">
        <v>0</v>
      </c>
      <c r="AJP44">
        <v>0</v>
      </c>
      <c r="AJQ44">
        <v>0</v>
      </c>
      <c r="AJR44">
        <v>0</v>
      </c>
      <c r="AJS44">
        <v>0</v>
      </c>
      <c r="AJT44">
        <v>0</v>
      </c>
      <c r="AJU44">
        <v>0</v>
      </c>
      <c r="AJV44">
        <v>0</v>
      </c>
      <c r="AJW44">
        <v>0</v>
      </c>
      <c r="AJX44">
        <v>0</v>
      </c>
      <c r="AJY44">
        <v>0</v>
      </c>
      <c r="AJZ44">
        <v>0</v>
      </c>
      <c r="AKA44">
        <v>0</v>
      </c>
      <c r="AKB44">
        <v>0</v>
      </c>
      <c r="AKC44">
        <v>0</v>
      </c>
      <c r="AKD44">
        <v>0</v>
      </c>
      <c r="AKE44">
        <v>0</v>
      </c>
      <c r="AKF44">
        <v>0</v>
      </c>
      <c r="AKG44">
        <v>0</v>
      </c>
      <c r="AKH44">
        <v>0</v>
      </c>
      <c r="AKI44">
        <v>0</v>
      </c>
      <c r="AKJ44">
        <v>0</v>
      </c>
      <c r="AKK44">
        <v>0</v>
      </c>
      <c r="AKL44">
        <v>0</v>
      </c>
      <c r="AKM44">
        <v>0</v>
      </c>
      <c r="AKN44">
        <v>0</v>
      </c>
      <c r="AKO44">
        <v>0</v>
      </c>
      <c r="AKP44">
        <v>0</v>
      </c>
      <c r="AKQ44">
        <v>0</v>
      </c>
      <c r="AKR44">
        <v>0</v>
      </c>
      <c r="AKS44">
        <v>0</v>
      </c>
      <c r="AKT44">
        <v>0</v>
      </c>
      <c r="AKU44">
        <v>0</v>
      </c>
      <c r="AKV44">
        <v>0</v>
      </c>
      <c r="AKW44">
        <v>0</v>
      </c>
      <c r="AKX44">
        <v>0</v>
      </c>
      <c r="AKY44">
        <v>0</v>
      </c>
      <c r="AKZ44">
        <v>0</v>
      </c>
      <c r="ALA44">
        <v>0</v>
      </c>
      <c r="ALB44">
        <v>0</v>
      </c>
      <c r="ALC44">
        <v>0</v>
      </c>
      <c r="ALD44">
        <v>0</v>
      </c>
      <c r="ALE44">
        <v>0</v>
      </c>
      <c r="ALF44">
        <v>0</v>
      </c>
      <c r="ALG44">
        <v>0</v>
      </c>
      <c r="ALH44">
        <v>0</v>
      </c>
      <c r="ALI44">
        <v>0</v>
      </c>
      <c r="ALJ44">
        <v>0</v>
      </c>
      <c r="ALK44">
        <v>0</v>
      </c>
      <c r="ALL44">
        <v>0</v>
      </c>
      <c r="ALM44">
        <v>0</v>
      </c>
      <c r="ALN44">
        <v>0</v>
      </c>
      <c r="ALO44">
        <v>0</v>
      </c>
      <c r="ALP44">
        <v>0</v>
      </c>
      <c r="ALQ44">
        <v>0</v>
      </c>
    </row>
    <row r="45" spans="1:1005" ht="13">
      <c r="A45" s="222"/>
      <c r="B45" s="222"/>
      <c r="C45" s="222"/>
      <c r="D45" s="222"/>
      <c r="E45" s="222"/>
    </row>
    <row r="46" spans="1:1005" ht="13">
      <c r="A46" s="222"/>
      <c r="B46" s="222"/>
      <c r="C46" s="222"/>
      <c r="D46" s="222"/>
      <c r="E46" s="222"/>
    </row>
    <row r="47" spans="1:1005" ht="13">
      <c r="A47" s="222"/>
      <c r="B47" s="222"/>
      <c r="C47" s="222"/>
      <c r="D47" s="222"/>
      <c r="E47" s="222"/>
    </row>
    <row r="48" spans="1:1005" ht="28">
      <c r="A48" s="222" t="s">
        <v>1278</v>
      </c>
      <c r="B48" s="387" t="s">
        <v>1279</v>
      </c>
      <c r="C48" s="387" t="s">
        <v>1281</v>
      </c>
      <c r="D48" s="387" t="s">
        <v>1282</v>
      </c>
      <c r="E48" s="222"/>
    </row>
    <row r="49" spans="1:5" ht="14">
      <c r="A49" s="222"/>
      <c r="B49" s="222" t="s">
        <v>374</v>
      </c>
      <c r="C49" s="222" t="s">
        <v>354</v>
      </c>
      <c r="D49" s="389" t="s">
        <v>892</v>
      </c>
      <c r="E49" s="222"/>
    </row>
    <row r="50" spans="1:5" ht="14">
      <c r="A50" s="222"/>
      <c r="B50" s="392" t="s">
        <v>382</v>
      </c>
      <c r="C50" s="389" t="s">
        <v>355</v>
      </c>
      <c r="D50" s="389" t="s">
        <v>404</v>
      </c>
      <c r="E50" s="222"/>
    </row>
    <row r="51" spans="1:5" ht="14">
      <c r="A51" s="222"/>
      <c r="B51" s="389" t="s">
        <v>386</v>
      </c>
      <c r="C51" s="389" t="s">
        <v>385</v>
      </c>
      <c r="D51" s="389" t="s">
        <v>403</v>
      </c>
      <c r="E51" s="222"/>
    </row>
    <row r="52" spans="1:5" ht="14">
      <c r="A52" s="222"/>
      <c r="B52" s="389" t="s">
        <v>529</v>
      </c>
      <c r="C52" s="222"/>
      <c r="D52" s="389" t="s">
        <v>355</v>
      </c>
      <c r="E52" s="222"/>
    </row>
    <row r="53" spans="1:5" ht="14">
      <c r="A53" s="222"/>
      <c r="B53" s="389" t="s">
        <v>385</v>
      </c>
      <c r="C53" s="222"/>
      <c r="D53" s="389" t="s">
        <v>402</v>
      </c>
      <c r="E53" s="222"/>
    </row>
    <row r="54" spans="1:5" ht="14">
      <c r="A54" s="222"/>
      <c r="B54" s="389" t="s">
        <v>1036</v>
      </c>
      <c r="C54" s="222"/>
      <c r="D54" s="222"/>
      <c r="E54" s="222"/>
    </row>
    <row r="55" spans="1:5" ht="13">
      <c r="A55" s="222"/>
      <c r="B55" s="222"/>
      <c r="C55" s="222"/>
      <c r="D55" s="222"/>
      <c r="E55" s="222"/>
    </row>
    <row r="56" spans="1:5" ht="28">
      <c r="A56" s="222"/>
      <c r="B56" s="387" t="s">
        <v>1283</v>
      </c>
      <c r="C56" s="387" t="s">
        <v>1284</v>
      </c>
      <c r="D56" s="387" t="s">
        <v>1285</v>
      </c>
      <c r="E56" s="222"/>
    </row>
    <row r="57" spans="1:5" ht="14">
      <c r="A57" s="222"/>
      <c r="B57" s="392" t="s">
        <v>412</v>
      </c>
      <c r="C57" s="392" t="s">
        <v>530</v>
      </c>
      <c r="D57" s="389" t="s">
        <v>1286</v>
      </c>
      <c r="E57" s="222"/>
    </row>
    <row r="58" spans="1:5" ht="14">
      <c r="A58" s="222"/>
      <c r="B58" s="392" t="s">
        <v>727</v>
      </c>
      <c r="C58" s="392" t="s">
        <v>477</v>
      </c>
      <c r="D58" s="389" t="s">
        <v>1287</v>
      </c>
      <c r="E58" s="222"/>
    </row>
    <row r="59" spans="1:5" ht="28">
      <c r="A59" s="222"/>
      <c r="B59" s="392" t="s">
        <v>355</v>
      </c>
      <c r="C59" s="392" t="s">
        <v>460</v>
      </c>
      <c r="D59" s="389" t="s">
        <v>1288</v>
      </c>
      <c r="E59" s="222"/>
    </row>
    <row r="60" spans="1:5" ht="42">
      <c r="A60" s="222"/>
      <c r="B60" s="392" t="s">
        <v>402</v>
      </c>
      <c r="C60" s="392" t="s">
        <v>642</v>
      </c>
      <c r="D60" s="389" t="s">
        <v>1289</v>
      </c>
      <c r="E60" s="222"/>
    </row>
    <row r="61" spans="1:5" ht="28">
      <c r="A61" s="222"/>
      <c r="B61" s="392" t="s">
        <v>385</v>
      </c>
      <c r="C61" s="392" t="s">
        <v>652</v>
      </c>
      <c r="D61" s="389" t="s">
        <v>1290</v>
      </c>
      <c r="E61" s="222"/>
    </row>
    <row r="62" spans="1:5" ht="13">
      <c r="A62" s="222"/>
      <c r="B62" s="392" t="s">
        <v>1036</v>
      </c>
      <c r="C62" s="393" t="s">
        <v>630</v>
      </c>
      <c r="D62" s="222"/>
      <c r="E62" s="222"/>
    </row>
    <row r="63" spans="1:5" ht="13">
      <c r="A63" s="222"/>
      <c r="B63" s="222"/>
      <c r="C63" s="392" t="s">
        <v>1036</v>
      </c>
      <c r="D63" s="222"/>
      <c r="E63" s="222"/>
    </row>
    <row r="64" spans="1:5" ht="13">
      <c r="A64" s="222"/>
      <c r="B64" s="222"/>
      <c r="C64" s="222"/>
      <c r="D64" s="222"/>
      <c r="E64" s="222"/>
    </row>
    <row r="65" spans="1:5" ht="13">
      <c r="A65" s="222"/>
      <c r="B65" s="222"/>
      <c r="C65" s="222"/>
      <c r="D65" s="222"/>
      <c r="E65" s="222"/>
    </row>
    <row r="66" spans="1:5" ht="13">
      <c r="A66" s="222"/>
      <c r="B66" s="222"/>
      <c r="C66" s="222"/>
      <c r="D66" s="222"/>
      <c r="E66" s="222"/>
    </row>
    <row r="67" spans="1:5" ht="13">
      <c r="A67" s="222"/>
      <c r="B67" s="222"/>
      <c r="C67" s="222"/>
      <c r="D67" s="222"/>
      <c r="E67" s="222"/>
    </row>
    <row r="68" spans="1:5" ht="13">
      <c r="A68" s="222"/>
      <c r="B68" s="222"/>
      <c r="C68" s="222"/>
      <c r="D68" s="222"/>
      <c r="E68" s="222"/>
    </row>
    <row r="69" spans="1:5" ht="13">
      <c r="A69" s="222"/>
      <c r="B69" s="222"/>
      <c r="C69" s="222"/>
      <c r="D69" s="222"/>
      <c r="E69" s="222"/>
    </row>
    <row r="70" spans="1:5" ht="13">
      <c r="A70" s="222"/>
      <c r="B70" s="222"/>
      <c r="C70" s="222"/>
      <c r="D70" s="222"/>
      <c r="E70" s="222"/>
    </row>
    <row r="71" spans="1:5" ht="13">
      <c r="A71" s="222"/>
      <c r="B71" s="222"/>
      <c r="C71" s="222"/>
      <c r="D71" s="222"/>
      <c r="E71" s="222"/>
    </row>
    <row r="72" spans="1:5" ht="13">
      <c r="A72" s="222"/>
      <c r="B72" s="222"/>
      <c r="C72" s="222"/>
      <c r="D72" s="222"/>
      <c r="E72" s="222"/>
    </row>
    <row r="73" spans="1:5" ht="13">
      <c r="A73" s="222"/>
      <c r="B73" s="222"/>
      <c r="C73" s="222"/>
      <c r="D73" s="222"/>
      <c r="E73" s="222"/>
    </row>
    <row r="74" spans="1:5" ht="13">
      <c r="A74" s="222"/>
      <c r="B74" s="222"/>
      <c r="C74" s="222"/>
      <c r="D74" s="222"/>
      <c r="E74" s="222"/>
    </row>
    <row r="75" spans="1:5" ht="13">
      <c r="A75" s="222"/>
      <c r="B75" s="222"/>
      <c r="C75" s="222"/>
      <c r="D75" s="222"/>
      <c r="E75" s="222"/>
    </row>
    <row r="76" spans="1:5" ht="13">
      <c r="A76" s="222"/>
      <c r="B76" s="222"/>
      <c r="C76" s="222"/>
      <c r="D76" s="222"/>
      <c r="E76" s="222"/>
    </row>
    <row r="77" spans="1:5" ht="13">
      <c r="A77" s="222"/>
      <c r="B77" s="222"/>
      <c r="C77" s="222"/>
      <c r="D77" s="222"/>
      <c r="E77" s="222"/>
    </row>
    <row r="78" spans="1:5" ht="13">
      <c r="A78" s="222"/>
      <c r="B78" s="222"/>
      <c r="C78" s="222"/>
      <c r="D78" s="222"/>
      <c r="E78" s="222"/>
    </row>
    <row r="79" spans="1:5" ht="13">
      <c r="A79" s="222"/>
      <c r="B79" s="222"/>
      <c r="C79" s="222"/>
      <c r="D79" s="222"/>
      <c r="E79" s="222"/>
    </row>
    <row r="80" spans="1:5" ht="13">
      <c r="A80" s="222"/>
      <c r="B80" s="222"/>
      <c r="C80" s="222"/>
      <c r="D80" s="222"/>
      <c r="E80" s="222"/>
    </row>
    <row r="81" spans="1:5" ht="13">
      <c r="A81" s="222"/>
      <c r="B81" s="222"/>
      <c r="C81" s="222"/>
      <c r="D81" s="222"/>
      <c r="E81" s="222"/>
    </row>
    <row r="82" spans="1:5" ht="13">
      <c r="A82" s="222"/>
      <c r="B82" s="222"/>
      <c r="C82" s="222"/>
      <c r="D82" s="222"/>
      <c r="E82" s="222"/>
    </row>
    <row r="83" spans="1:5" ht="13">
      <c r="A83" s="222"/>
      <c r="B83" s="222"/>
      <c r="C83" s="222"/>
      <c r="D83" s="222"/>
      <c r="E83" s="222"/>
    </row>
    <row r="84" spans="1:5" ht="13">
      <c r="A84" s="222"/>
      <c r="B84" s="222"/>
      <c r="C84" s="222"/>
      <c r="D84" s="222"/>
      <c r="E84" s="222"/>
    </row>
    <row r="85" spans="1:5" ht="13">
      <c r="A85" s="222"/>
      <c r="B85" s="222"/>
      <c r="C85" s="222"/>
      <c r="D85" s="222"/>
      <c r="E85" s="222"/>
    </row>
    <row r="86" spans="1:5" ht="13">
      <c r="A86" s="222"/>
      <c r="B86" s="222"/>
      <c r="C86" s="222"/>
      <c r="D86" s="222"/>
      <c r="E86" s="222"/>
    </row>
    <row r="87" spans="1:5" ht="13">
      <c r="A87" s="222"/>
      <c r="B87" s="222"/>
      <c r="C87" s="222"/>
      <c r="D87" s="222"/>
      <c r="E87" s="222"/>
    </row>
    <row r="88" spans="1:5" ht="13">
      <c r="A88" s="222"/>
      <c r="B88" s="222"/>
      <c r="C88" s="222"/>
      <c r="D88" s="222"/>
      <c r="E88" s="222"/>
    </row>
    <row r="89" spans="1:5" ht="13">
      <c r="A89" s="222"/>
      <c r="B89" s="222"/>
      <c r="C89" s="222"/>
      <c r="D89" s="222"/>
      <c r="E89" s="222"/>
    </row>
    <row r="90" spans="1:5" ht="13">
      <c r="A90" s="222"/>
      <c r="B90" s="222"/>
      <c r="C90" s="222"/>
      <c r="D90" s="222"/>
      <c r="E90" s="222"/>
    </row>
    <row r="91" spans="1:5" ht="13">
      <c r="A91" s="222"/>
      <c r="B91" s="222"/>
      <c r="C91" s="222"/>
      <c r="D91" s="222"/>
      <c r="E91" s="222"/>
    </row>
    <row r="92" spans="1:5" ht="13">
      <c r="A92" s="222"/>
      <c r="B92" s="222"/>
      <c r="C92" s="222"/>
      <c r="D92" s="222"/>
      <c r="E92" s="222"/>
    </row>
    <row r="93" spans="1:5" ht="13">
      <c r="A93" s="222"/>
      <c r="B93" s="222"/>
      <c r="C93" s="222"/>
      <c r="D93" s="222"/>
      <c r="E93" s="222"/>
    </row>
    <row r="94" spans="1:5" ht="13">
      <c r="A94" s="222"/>
      <c r="B94" s="222"/>
      <c r="C94" s="222"/>
      <c r="D94" s="222"/>
      <c r="E94" s="222"/>
    </row>
    <row r="95" spans="1:5" ht="13">
      <c r="A95" s="222"/>
      <c r="B95" s="222"/>
      <c r="C95" s="222"/>
      <c r="D95" s="222"/>
      <c r="E95" s="222"/>
    </row>
    <row r="96" spans="1:5" ht="13">
      <c r="A96" s="222"/>
      <c r="B96" s="222"/>
      <c r="C96" s="222"/>
      <c r="D96" s="222"/>
      <c r="E96" s="222"/>
    </row>
    <row r="97" spans="1:5" ht="13">
      <c r="A97" s="222"/>
      <c r="B97" s="222"/>
      <c r="C97" s="222"/>
      <c r="D97" s="222"/>
      <c r="E97" s="222"/>
    </row>
    <row r="98" spans="1:5" ht="13">
      <c r="A98" s="222"/>
      <c r="B98" s="222"/>
      <c r="C98" s="222"/>
      <c r="D98" s="222"/>
      <c r="E98" s="222"/>
    </row>
    <row r="99" spans="1:5" ht="13">
      <c r="A99" s="222"/>
      <c r="B99" s="222"/>
      <c r="C99" s="222"/>
      <c r="D99" s="222"/>
      <c r="E99" s="222"/>
    </row>
    <row r="100" spans="1:5" ht="13">
      <c r="A100" s="222"/>
      <c r="B100" s="222"/>
      <c r="C100" s="222"/>
      <c r="D100" s="222"/>
      <c r="E100" s="222"/>
    </row>
    <row r="101" spans="1:5" ht="13">
      <c r="A101" s="222"/>
      <c r="B101" s="222"/>
      <c r="C101" s="222"/>
      <c r="D101" s="222"/>
      <c r="E101" s="222"/>
    </row>
    <row r="102" spans="1:5" ht="13">
      <c r="A102" s="222"/>
      <c r="B102" s="222"/>
      <c r="C102" s="222"/>
      <c r="D102" s="222"/>
      <c r="E102" s="222"/>
    </row>
    <row r="103" spans="1:5" ht="13">
      <c r="A103" s="222"/>
      <c r="B103" s="222"/>
      <c r="C103" s="222"/>
      <c r="D103" s="222"/>
      <c r="E103" s="222"/>
    </row>
    <row r="104" spans="1:5" ht="13">
      <c r="A104" s="222"/>
      <c r="B104" s="222"/>
      <c r="C104" s="222"/>
      <c r="D104" s="222"/>
      <c r="E104" s="222"/>
    </row>
    <row r="105" spans="1:5" ht="13">
      <c r="A105" s="222"/>
      <c r="B105" s="222"/>
      <c r="C105" s="222"/>
      <c r="D105" s="222"/>
      <c r="E105" s="222"/>
    </row>
    <row r="106" spans="1:5" ht="13">
      <c r="A106" s="222"/>
      <c r="B106" s="222"/>
      <c r="C106" s="222"/>
      <c r="D106" s="222"/>
      <c r="E106" s="222"/>
    </row>
    <row r="107" spans="1:5" ht="13">
      <c r="A107" s="222"/>
      <c r="B107" s="222"/>
      <c r="C107" s="222"/>
      <c r="D107" s="222"/>
      <c r="E107" s="222"/>
    </row>
    <row r="108" spans="1:5" ht="13">
      <c r="A108" s="222"/>
      <c r="B108" s="222"/>
      <c r="C108" s="222"/>
      <c r="D108" s="222"/>
      <c r="E108" s="222"/>
    </row>
    <row r="109" spans="1:5" ht="13">
      <c r="A109" s="222"/>
      <c r="B109" s="222"/>
      <c r="C109" s="222"/>
      <c r="D109" s="222"/>
      <c r="E109" s="222"/>
    </row>
    <row r="110" spans="1:5" ht="13">
      <c r="A110" s="222"/>
      <c r="B110" s="222"/>
      <c r="C110" s="222"/>
      <c r="D110" s="222"/>
      <c r="E110" s="222"/>
    </row>
    <row r="111" spans="1:5" ht="13">
      <c r="A111" s="222"/>
      <c r="B111" s="222"/>
      <c r="C111" s="222"/>
      <c r="D111" s="222"/>
      <c r="E111" s="222"/>
    </row>
    <row r="112" spans="1:5" ht="13">
      <c r="A112" s="222"/>
      <c r="B112" s="222"/>
      <c r="C112" s="222"/>
      <c r="D112" s="222"/>
      <c r="E112" s="222"/>
    </row>
    <row r="113" spans="1:5" ht="13">
      <c r="A113" s="222"/>
      <c r="B113" s="222"/>
      <c r="C113" s="222"/>
      <c r="D113" s="222"/>
      <c r="E113" s="222"/>
    </row>
    <row r="114" spans="1:5" ht="13">
      <c r="A114" s="222"/>
      <c r="B114" s="222"/>
      <c r="C114" s="222"/>
      <c r="D114" s="222"/>
      <c r="E114" s="222"/>
    </row>
    <row r="115" spans="1:5" ht="13">
      <c r="A115" s="222"/>
      <c r="B115" s="222"/>
      <c r="C115" s="222"/>
      <c r="D115" s="222"/>
      <c r="E115" s="222"/>
    </row>
    <row r="116" spans="1:5" ht="13">
      <c r="A116" s="222"/>
      <c r="B116" s="222"/>
      <c r="C116" s="222"/>
      <c r="D116" s="222"/>
      <c r="E116" s="222"/>
    </row>
    <row r="117" spans="1:5" ht="13">
      <c r="A117" s="222"/>
      <c r="B117" s="222"/>
      <c r="C117" s="222"/>
      <c r="D117" s="222"/>
      <c r="E117" s="222"/>
    </row>
    <row r="118" spans="1:5" ht="13">
      <c r="A118" s="222"/>
      <c r="B118" s="222"/>
      <c r="C118" s="222"/>
      <c r="D118" s="222"/>
      <c r="E118" s="222"/>
    </row>
    <row r="119" spans="1:5" ht="13">
      <c r="A119" s="222"/>
      <c r="B119" s="222"/>
      <c r="C119" s="222"/>
      <c r="D119" s="222"/>
      <c r="E119" s="222"/>
    </row>
    <row r="120" spans="1:5" ht="13">
      <c r="A120" s="222"/>
      <c r="B120" s="222"/>
      <c r="C120" s="222"/>
      <c r="D120" s="222"/>
      <c r="E120" s="222"/>
    </row>
    <row r="121" spans="1:5" ht="13">
      <c r="A121" s="222"/>
      <c r="B121" s="222"/>
      <c r="C121" s="222"/>
      <c r="D121" s="222"/>
      <c r="E121" s="222"/>
    </row>
    <row r="122" spans="1:5" ht="13">
      <c r="A122" s="222"/>
      <c r="B122" s="222"/>
      <c r="C122" s="222"/>
      <c r="D122" s="222"/>
      <c r="E122" s="222"/>
    </row>
    <row r="123" spans="1:5" ht="13">
      <c r="A123" s="222"/>
      <c r="B123" s="222"/>
      <c r="C123" s="222"/>
      <c r="D123" s="222"/>
      <c r="E123" s="222"/>
    </row>
    <row r="124" spans="1:5" ht="13">
      <c r="A124" s="222"/>
      <c r="B124" s="222"/>
      <c r="C124" s="222"/>
      <c r="D124" s="222"/>
      <c r="E124" s="222"/>
    </row>
    <row r="125" spans="1:5" ht="13">
      <c r="A125" s="222"/>
      <c r="B125" s="222"/>
      <c r="C125" s="222"/>
      <c r="D125" s="222"/>
      <c r="E125" s="222"/>
    </row>
    <row r="126" spans="1:5" ht="13">
      <c r="A126" s="222"/>
      <c r="B126" s="222"/>
      <c r="C126" s="222"/>
      <c r="D126" s="222"/>
      <c r="E126" s="222"/>
    </row>
    <row r="127" spans="1:5" ht="13">
      <c r="A127" s="222"/>
      <c r="B127" s="222"/>
      <c r="C127" s="222"/>
      <c r="D127" s="222"/>
      <c r="E127" s="222"/>
    </row>
    <row r="128" spans="1:5" ht="13">
      <c r="A128" s="222"/>
      <c r="B128" s="222"/>
      <c r="C128" s="222"/>
      <c r="D128" s="222"/>
      <c r="E128" s="222"/>
    </row>
    <row r="129" spans="1:5" ht="13">
      <c r="A129" s="222"/>
      <c r="B129" s="222"/>
      <c r="C129" s="222"/>
      <c r="D129" s="222"/>
      <c r="E129" s="222"/>
    </row>
    <row r="130" spans="1:5" ht="13">
      <c r="A130" s="222"/>
      <c r="B130" s="222"/>
      <c r="C130" s="222"/>
      <c r="D130" s="222"/>
      <c r="E130" s="222"/>
    </row>
    <row r="131" spans="1:5" ht="13">
      <c r="A131" s="222"/>
      <c r="B131" s="222"/>
      <c r="C131" s="222"/>
      <c r="D131" s="222"/>
      <c r="E131" s="222"/>
    </row>
    <row r="132" spans="1:5" ht="13">
      <c r="A132" s="222"/>
      <c r="B132" s="222"/>
      <c r="C132" s="222"/>
      <c r="D132" s="222"/>
      <c r="E132" s="222"/>
    </row>
    <row r="133" spans="1:5" ht="13">
      <c r="A133" s="222"/>
      <c r="B133" s="222"/>
      <c r="C133" s="222"/>
      <c r="D133" s="222"/>
      <c r="E133" s="222"/>
    </row>
    <row r="134" spans="1:5" ht="13">
      <c r="A134" s="222"/>
      <c r="B134" s="222"/>
      <c r="C134" s="222"/>
      <c r="D134" s="222"/>
      <c r="E134" s="222"/>
    </row>
    <row r="135" spans="1:5" ht="13">
      <c r="A135" s="222"/>
      <c r="B135" s="222"/>
      <c r="C135" s="222"/>
      <c r="D135" s="222"/>
      <c r="E135" s="222"/>
    </row>
    <row r="136" spans="1:5" ht="13">
      <c r="A136" s="222"/>
      <c r="B136" s="222"/>
      <c r="C136" s="222"/>
      <c r="D136" s="222"/>
      <c r="E136" s="222"/>
    </row>
    <row r="137" spans="1:5" ht="13">
      <c r="A137" s="222"/>
      <c r="B137" s="222"/>
      <c r="C137" s="222"/>
      <c r="D137" s="222"/>
      <c r="E137" s="222"/>
    </row>
    <row r="138" spans="1:5" ht="13">
      <c r="A138" s="222"/>
      <c r="B138" s="222"/>
      <c r="C138" s="222"/>
      <c r="D138" s="222"/>
      <c r="E138" s="222"/>
    </row>
    <row r="139" spans="1:5" ht="13">
      <c r="A139" s="222"/>
      <c r="B139" s="222"/>
      <c r="C139" s="222"/>
      <c r="D139" s="222"/>
      <c r="E139" s="222"/>
    </row>
    <row r="140" spans="1:5" ht="13">
      <c r="A140" s="222"/>
      <c r="B140" s="222"/>
      <c r="C140" s="222"/>
      <c r="D140" s="222"/>
      <c r="E140" s="222"/>
    </row>
    <row r="141" spans="1:5" ht="13">
      <c r="A141" s="222"/>
      <c r="B141" s="222"/>
      <c r="C141" s="222"/>
      <c r="D141" s="222"/>
      <c r="E141" s="222"/>
    </row>
    <row r="142" spans="1:5" ht="13">
      <c r="A142" s="222"/>
      <c r="B142" s="222"/>
      <c r="C142" s="222"/>
      <c r="D142" s="222"/>
      <c r="E142" s="222"/>
    </row>
    <row r="143" spans="1:5" ht="13">
      <c r="A143" s="222"/>
      <c r="B143" s="222"/>
      <c r="C143" s="222"/>
      <c r="D143" s="222"/>
      <c r="E143" s="222"/>
    </row>
    <row r="144" spans="1:5" ht="13">
      <c r="A144" s="222"/>
      <c r="B144" s="222"/>
      <c r="C144" s="222"/>
      <c r="D144" s="222"/>
      <c r="E144" s="222"/>
    </row>
    <row r="145" spans="1:5" ht="13">
      <c r="A145" s="222"/>
      <c r="B145" s="222"/>
      <c r="C145" s="222"/>
      <c r="D145" s="222"/>
      <c r="E145" s="222"/>
    </row>
    <row r="146" spans="1:5" ht="13">
      <c r="A146" s="222"/>
      <c r="B146" s="222"/>
      <c r="C146" s="222"/>
      <c r="D146" s="222"/>
      <c r="E146" s="222"/>
    </row>
    <row r="147" spans="1:5" ht="13">
      <c r="A147" s="222"/>
      <c r="B147" s="222"/>
      <c r="C147" s="222"/>
      <c r="D147" s="222"/>
      <c r="E147" s="222"/>
    </row>
    <row r="148" spans="1:5" ht="13">
      <c r="A148" s="222"/>
      <c r="B148" s="222"/>
      <c r="C148" s="222"/>
      <c r="D148" s="222"/>
      <c r="E148" s="222"/>
    </row>
    <row r="149" spans="1:5" ht="13">
      <c r="A149" s="222"/>
      <c r="B149" s="222"/>
      <c r="C149" s="222"/>
      <c r="D149" s="222"/>
      <c r="E149" s="222"/>
    </row>
    <row r="150" spans="1:5" ht="13">
      <c r="A150" s="222"/>
      <c r="B150" s="222"/>
      <c r="C150" s="222"/>
      <c r="D150" s="222"/>
      <c r="E150" s="222"/>
    </row>
    <row r="151" spans="1:5" ht="13">
      <c r="A151" s="222"/>
      <c r="B151" s="222"/>
      <c r="C151" s="222"/>
      <c r="D151" s="222"/>
      <c r="E151" s="222"/>
    </row>
    <row r="152" spans="1:5" ht="13">
      <c r="A152" s="222"/>
      <c r="B152" s="222"/>
      <c r="C152" s="222"/>
      <c r="D152" s="222"/>
      <c r="E152" s="222"/>
    </row>
    <row r="153" spans="1:5" ht="13">
      <c r="A153" s="222"/>
      <c r="B153" s="222"/>
      <c r="C153" s="222"/>
      <c r="D153" s="222"/>
      <c r="E153" s="222"/>
    </row>
    <row r="154" spans="1:5" ht="13">
      <c r="A154" s="222"/>
      <c r="B154" s="222"/>
      <c r="C154" s="222"/>
      <c r="D154" s="222"/>
      <c r="E154" s="222"/>
    </row>
    <row r="155" spans="1:5" ht="13">
      <c r="A155" s="222"/>
      <c r="B155" s="222"/>
      <c r="C155" s="222"/>
      <c r="D155" s="222"/>
      <c r="E155" s="222"/>
    </row>
    <row r="156" spans="1:5" ht="13">
      <c r="A156" s="222"/>
      <c r="B156" s="222"/>
      <c r="C156" s="222"/>
      <c r="D156" s="222"/>
      <c r="E156" s="222"/>
    </row>
    <row r="157" spans="1:5" ht="13">
      <c r="A157" s="222"/>
      <c r="B157" s="222"/>
      <c r="C157" s="222"/>
      <c r="D157" s="222"/>
      <c r="E157" s="222"/>
    </row>
    <row r="158" spans="1:5" ht="13">
      <c r="A158" s="222"/>
      <c r="B158" s="222"/>
      <c r="C158" s="222"/>
      <c r="D158" s="222"/>
      <c r="E158" s="222"/>
    </row>
    <row r="159" spans="1:5" ht="13">
      <c r="A159" s="222"/>
      <c r="B159" s="222"/>
      <c r="C159" s="222"/>
      <c r="D159" s="222"/>
      <c r="E159" s="222"/>
    </row>
    <row r="160" spans="1:5" ht="13">
      <c r="A160" s="222"/>
      <c r="B160" s="222"/>
      <c r="C160" s="222"/>
      <c r="D160" s="222"/>
      <c r="E160" s="222"/>
    </row>
    <row r="161" spans="1:5" ht="13">
      <c r="A161" s="222"/>
      <c r="B161" s="222"/>
      <c r="C161" s="222"/>
      <c r="D161" s="222"/>
      <c r="E161" s="222"/>
    </row>
    <row r="162" spans="1:5" ht="13">
      <c r="A162" s="222"/>
      <c r="B162" s="222"/>
      <c r="C162" s="222"/>
      <c r="D162" s="222"/>
      <c r="E162" s="222"/>
    </row>
    <row r="163" spans="1:5" ht="13">
      <c r="A163" s="222"/>
      <c r="B163" s="222"/>
      <c r="C163" s="222"/>
      <c r="D163" s="222"/>
      <c r="E163" s="222"/>
    </row>
    <row r="164" spans="1:5" ht="13">
      <c r="A164" s="222"/>
      <c r="B164" s="222"/>
      <c r="C164" s="222"/>
      <c r="D164" s="222"/>
      <c r="E164" s="222"/>
    </row>
    <row r="165" spans="1:5" ht="13">
      <c r="A165" s="222"/>
      <c r="B165" s="222"/>
      <c r="C165" s="222"/>
      <c r="D165" s="222"/>
      <c r="E165" s="222"/>
    </row>
    <row r="166" spans="1:5" ht="13">
      <c r="A166" s="222"/>
      <c r="B166" s="222"/>
      <c r="C166" s="222"/>
      <c r="D166" s="222"/>
      <c r="E166" s="222"/>
    </row>
    <row r="167" spans="1:5" ht="13">
      <c r="A167" s="222"/>
      <c r="B167" s="222"/>
      <c r="C167" s="222"/>
      <c r="D167" s="222"/>
      <c r="E167" s="222"/>
    </row>
    <row r="168" spans="1:5" ht="13">
      <c r="A168" s="222"/>
      <c r="B168" s="222"/>
      <c r="C168" s="222"/>
      <c r="D168" s="222"/>
      <c r="E168" s="222"/>
    </row>
    <row r="169" spans="1:5" ht="13">
      <c r="A169" s="222"/>
      <c r="B169" s="222"/>
      <c r="C169" s="222"/>
      <c r="D169" s="222"/>
      <c r="E169" s="222"/>
    </row>
    <row r="170" spans="1:5" ht="13">
      <c r="A170" s="222"/>
      <c r="B170" s="222"/>
      <c r="C170" s="222"/>
      <c r="D170" s="222"/>
      <c r="E170" s="222"/>
    </row>
    <row r="171" spans="1:5" ht="13">
      <c r="A171" s="222"/>
      <c r="B171" s="222"/>
      <c r="C171" s="222"/>
      <c r="D171" s="222"/>
      <c r="E171" s="222"/>
    </row>
    <row r="172" spans="1:5" ht="13">
      <c r="A172" s="222"/>
      <c r="B172" s="222"/>
      <c r="C172" s="222"/>
      <c r="D172" s="222"/>
      <c r="E172" s="222"/>
    </row>
    <row r="173" spans="1:5" ht="13">
      <c r="A173" s="222"/>
      <c r="B173" s="222"/>
      <c r="C173" s="222"/>
      <c r="D173" s="222"/>
      <c r="E173" s="222"/>
    </row>
    <row r="174" spans="1:5" ht="13">
      <c r="A174" s="222"/>
      <c r="B174" s="222"/>
      <c r="C174" s="222"/>
      <c r="D174" s="222"/>
      <c r="E174" s="222"/>
    </row>
    <row r="175" spans="1:5" ht="13">
      <c r="A175" s="222"/>
      <c r="B175" s="222"/>
      <c r="C175" s="222"/>
      <c r="D175" s="222"/>
      <c r="E175" s="222"/>
    </row>
    <row r="176" spans="1:5" ht="13">
      <c r="A176" s="222"/>
      <c r="B176" s="222"/>
      <c r="C176" s="222"/>
      <c r="D176" s="222"/>
      <c r="E176" s="222"/>
    </row>
    <row r="177" spans="1:5" ht="13">
      <c r="A177" s="222"/>
      <c r="B177" s="222"/>
      <c r="C177" s="222"/>
      <c r="D177" s="222"/>
      <c r="E177" s="222"/>
    </row>
    <row r="178" spans="1:5" ht="13">
      <c r="A178" s="222"/>
      <c r="B178" s="222"/>
      <c r="C178" s="222"/>
      <c r="D178" s="222"/>
      <c r="E178" s="222"/>
    </row>
    <row r="179" spans="1:5" ht="13">
      <c r="A179" s="222"/>
      <c r="B179" s="222"/>
      <c r="C179" s="222"/>
      <c r="D179" s="222"/>
      <c r="E179" s="222"/>
    </row>
    <row r="180" spans="1:5" ht="13">
      <c r="A180" s="222"/>
      <c r="B180" s="222"/>
      <c r="C180" s="222"/>
      <c r="D180" s="222"/>
      <c r="E180" s="222"/>
    </row>
    <row r="181" spans="1:5" ht="13">
      <c r="A181" s="222"/>
      <c r="B181" s="222"/>
      <c r="C181" s="222"/>
      <c r="D181" s="222"/>
      <c r="E181" s="222"/>
    </row>
    <row r="182" spans="1:5" ht="13">
      <c r="A182" s="222"/>
      <c r="B182" s="222"/>
      <c r="C182" s="222"/>
      <c r="D182" s="222"/>
      <c r="E182" s="222"/>
    </row>
    <row r="183" spans="1:5" ht="13">
      <c r="A183" s="222"/>
      <c r="B183" s="222"/>
      <c r="C183" s="222"/>
      <c r="D183" s="222"/>
      <c r="E183" s="222"/>
    </row>
    <row r="184" spans="1:5" ht="13">
      <c r="A184" s="222"/>
      <c r="B184" s="222"/>
      <c r="C184" s="222"/>
      <c r="D184" s="222"/>
      <c r="E184" s="222"/>
    </row>
    <row r="185" spans="1:5" ht="13">
      <c r="A185" s="222"/>
      <c r="B185" s="222"/>
      <c r="C185" s="222"/>
      <c r="D185" s="222"/>
      <c r="E185" s="222"/>
    </row>
    <row r="186" spans="1:5" ht="13">
      <c r="A186" s="222"/>
      <c r="B186" s="222"/>
      <c r="C186" s="222"/>
      <c r="D186" s="222"/>
      <c r="E186" s="222"/>
    </row>
    <row r="187" spans="1:5" ht="13">
      <c r="A187" s="222"/>
      <c r="B187" s="222"/>
      <c r="C187" s="222"/>
      <c r="D187" s="222"/>
      <c r="E187" s="222"/>
    </row>
    <row r="188" spans="1:5" ht="13">
      <c r="A188" s="222"/>
      <c r="B188" s="222"/>
      <c r="C188" s="222"/>
      <c r="D188" s="222"/>
      <c r="E188" s="222"/>
    </row>
    <row r="189" spans="1:5" ht="13">
      <c r="A189" s="222"/>
      <c r="B189" s="222"/>
      <c r="C189" s="222"/>
      <c r="D189" s="222"/>
      <c r="E189" s="222"/>
    </row>
    <row r="190" spans="1:5" ht="13">
      <c r="A190" s="222"/>
      <c r="B190" s="222"/>
      <c r="C190" s="222"/>
      <c r="D190" s="222"/>
      <c r="E190" s="222"/>
    </row>
    <row r="191" spans="1:5" ht="13">
      <c r="A191" s="222"/>
      <c r="B191" s="222"/>
      <c r="C191" s="222"/>
      <c r="D191" s="222"/>
      <c r="E191" s="222"/>
    </row>
    <row r="192" spans="1:5" ht="13">
      <c r="A192" s="222"/>
      <c r="B192" s="222"/>
      <c r="C192" s="222"/>
      <c r="D192" s="222"/>
      <c r="E192" s="222"/>
    </row>
    <row r="193" spans="1:5" ht="13">
      <c r="A193" s="222"/>
      <c r="B193" s="222"/>
      <c r="C193" s="222"/>
      <c r="D193" s="222"/>
      <c r="E193" s="222"/>
    </row>
    <row r="194" spans="1:5" ht="13">
      <c r="A194" s="222"/>
      <c r="B194" s="222"/>
      <c r="C194" s="222"/>
      <c r="D194" s="222"/>
      <c r="E194" s="222"/>
    </row>
    <row r="195" spans="1:5" ht="13">
      <c r="A195" s="222"/>
      <c r="B195" s="222"/>
      <c r="C195" s="222"/>
      <c r="D195" s="222"/>
      <c r="E195" s="222"/>
    </row>
    <row r="196" spans="1:5" ht="13">
      <c r="A196" s="222"/>
      <c r="B196" s="222"/>
      <c r="C196" s="222"/>
      <c r="D196" s="222"/>
      <c r="E196" s="222"/>
    </row>
    <row r="197" spans="1:5" ht="13">
      <c r="A197" s="222"/>
      <c r="B197" s="222"/>
      <c r="C197" s="222"/>
      <c r="D197" s="222"/>
      <c r="E197" s="222"/>
    </row>
    <row r="198" spans="1:5" ht="13">
      <c r="A198" s="222"/>
      <c r="B198" s="222"/>
      <c r="C198" s="222"/>
      <c r="D198" s="222"/>
      <c r="E198" s="222"/>
    </row>
    <row r="199" spans="1:5" ht="13">
      <c r="A199" s="222"/>
      <c r="B199" s="222"/>
      <c r="C199" s="222"/>
      <c r="D199" s="222"/>
      <c r="E199" s="222"/>
    </row>
    <row r="200" spans="1:5" ht="13">
      <c r="A200" s="222"/>
      <c r="B200" s="222"/>
      <c r="C200" s="222"/>
      <c r="D200" s="222"/>
      <c r="E200" s="222"/>
    </row>
    <row r="201" spans="1:5" ht="13">
      <c r="A201" s="222"/>
      <c r="B201" s="222"/>
      <c r="C201" s="222"/>
      <c r="D201" s="222"/>
      <c r="E201" s="222"/>
    </row>
    <row r="202" spans="1:5" ht="13">
      <c r="A202" s="222"/>
      <c r="B202" s="222"/>
      <c r="C202" s="222"/>
      <c r="D202" s="222"/>
      <c r="E202" s="222"/>
    </row>
    <row r="203" spans="1:5" ht="13">
      <c r="A203" s="222"/>
      <c r="B203" s="222"/>
      <c r="C203" s="222"/>
      <c r="D203" s="222"/>
      <c r="E203" s="222"/>
    </row>
    <row r="204" spans="1:5" ht="13">
      <c r="A204" s="222"/>
      <c r="B204" s="222"/>
      <c r="C204" s="222"/>
      <c r="D204" s="222"/>
      <c r="E204" s="222"/>
    </row>
    <row r="205" spans="1:5" ht="13">
      <c r="A205" s="222"/>
      <c r="B205" s="222"/>
      <c r="C205" s="222"/>
      <c r="D205" s="222"/>
      <c r="E205" s="222"/>
    </row>
    <row r="206" spans="1:5" ht="13">
      <c r="A206" s="222"/>
      <c r="B206" s="222"/>
      <c r="C206" s="222"/>
      <c r="D206" s="222"/>
      <c r="E206" s="222"/>
    </row>
    <row r="207" spans="1:5" ht="13">
      <c r="A207" s="222"/>
      <c r="B207" s="222"/>
      <c r="C207" s="222"/>
      <c r="D207" s="222"/>
      <c r="E207" s="222"/>
    </row>
    <row r="208" spans="1:5" ht="13">
      <c r="A208" s="222"/>
      <c r="B208" s="222"/>
      <c r="C208" s="222"/>
      <c r="D208" s="222"/>
      <c r="E208" s="222"/>
    </row>
    <row r="209" spans="1:5" ht="13">
      <c r="A209" s="222"/>
      <c r="B209" s="222"/>
      <c r="C209" s="222"/>
      <c r="D209" s="222"/>
      <c r="E209" s="222"/>
    </row>
    <row r="210" spans="1:5" ht="13">
      <c r="A210" s="222"/>
      <c r="B210" s="222"/>
      <c r="C210" s="222"/>
      <c r="D210" s="222"/>
      <c r="E210" s="222"/>
    </row>
    <row r="211" spans="1:5" ht="13">
      <c r="A211" s="222"/>
      <c r="B211" s="222"/>
      <c r="C211" s="222"/>
      <c r="D211" s="222"/>
      <c r="E211" s="222"/>
    </row>
    <row r="212" spans="1:5" ht="13">
      <c r="A212" s="222"/>
      <c r="B212" s="222"/>
      <c r="C212" s="222"/>
      <c r="D212" s="222"/>
      <c r="E212" s="222"/>
    </row>
    <row r="213" spans="1:5" ht="13">
      <c r="A213" s="222"/>
      <c r="B213" s="222"/>
      <c r="C213" s="222"/>
      <c r="D213" s="222"/>
      <c r="E213" s="222"/>
    </row>
    <row r="214" spans="1:5" ht="13">
      <c r="A214" s="222"/>
      <c r="B214" s="222"/>
      <c r="C214" s="222"/>
      <c r="D214" s="222"/>
      <c r="E214" s="222"/>
    </row>
    <row r="215" spans="1:5" ht="13">
      <c r="A215" s="222"/>
      <c r="B215" s="222"/>
      <c r="C215" s="222"/>
      <c r="D215" s="222"/>
      <c r="E215" s="222"/>
    </row>
    <row r="216" spans="1:5" ht="13">
      <c r="A216" s="222"/>
      <c r="B216" s="222"/>
      <c r="C216" s="222"/>
      <c r="D216" s="222"/>
      <c r="E216" s="222"/>
    </row>
    <row r="217" spans="1:5" ht="13">
      <c r="A217" s="222"/>
      <c r="B217" s="222"/>
      <c r="C217" s="222"/>
      <c r="D217" s="222"/>
      <c r="E217" s="222"/>
    </row>
    <row r="218" spans="1:5" ht="13">
      <c r="A218" s="222"/>
      <c r="B218" s="222"/>
      <c r="C218" s="222"/>
      <c r="D218" s="222"/>
      <c r="E218" s="222"/>
    </row>
    <row r="219" spans="1:5" ht="13">
      <c r="A219" s="222"/>
      <c r="B219" s="222"/>
      <c r="C219" s="222"/>
      <c r="D219" s="222"/>
      <c r="E219" s="222"/>
    </row>
    <row r="220" spans="1:5" ht="13">
      <c r="A220" s="222"/>
      <c r="B220" s="222"/>
      <c r="C220" s="222"/>
      <c r="D220" s="222"/>
      <c r="E220" s="222"/>
    </row>
    <row r="221" spans="1:5" ht="13">
      <c r="A221" s="222"/>
      <c r="B221" s="222"/>
      <c r="C221" s="222"/>
      <c r="D221" s="222"/>
      <c r="E221" s="222"/>
    </row>
    <row r="222" spans="1:5" ht="13">
      <c r="A222" s="222"/>
      <c r="B222" s="222"/>
      <c r="C222" s="222"/>
      <c r="D222" s="222"/>
      <c r="E222" s="222"/>
    </row>
    <row r="223" spans="1:5" ht="13">
      <c r="A223" s="222"/>
      <c r="B223" s="222"/>
      <c r="C223" s="222"/>
      <c r="D223" s="222"/>
      <c r="E223" s="222"/>
    </row>
    <row r="224" spans="1:5" ht="13">
      <c r="A224" s="222"/>
      <c r="B224" s="222"/>
      <c r="C224" s="222"/>
      <c r="D224" s="222"/>
      <c r="E224" s="222"/>
    </row>
    <row r="225" spans="1:5" ht="13">
      <c r="A225" s="222"/>
      <c r="B225" s="222"/>
      <c r="C225" s="222"/>
      <c r="D225" s="222"/>
      <c r="E225" s="222"/>
    </row>
    <row r="226" spans="1:5" ht="13">
      <c r="A226" s="222"/>
      <c r="B226" s="222"/>
      <c r="C226" s="222"/>
      <c r="D226" s="222"/>
      <c r="E226" s="222"/>
    </row>
    <row r="227" spans="1:5" ht="13">
      <c r="A227" s="222"/>
      <c r="B227" s="222"/>
      <c r="C227" s="222"/>
      <c r="D227" s="222"/>
      <c r="E227" s="222"/>
    </row>
    <row r="228" spans="1:5" ht="13">
      <c r="A228" s="222"/>
      <c r="B228" s="222"/>
      <c r="C228" s="222"/>
      <c r="D228" s="222"/>
      <c r="E228" s="222"/>
    </row>
    <row r="229" spans="1:5" ht="13">
      <c r="A229" s="222"/>
      <c r="B229" s="222"/>
      <c r="C229" s="222"/>
      <c r="D229" s="222"/>
      <c r="E229" s="222"/>
    </row>
    <row r="230" spans="1:5" ht="13">
      <c r="A230" s="222"/>
      <c r="B230" s="222"/>
      <c r="C230" s="222"/>
      <c r="D230" s="222"/>
      <c r="E230" s="222"/>
    </row>
    <row r="231" spans="1:5" ht="13">
      <c r="A231" s="222"/>
      <c r="B231" s="222"/>
      <c r="C231" s="222"/>
      <c r="D231" s="222"/>
      <c r="E231" s="222"/>
    </row>
    <row r="232" spans="1:5" ht="13">
      <c r="A232" s="222"/>
      <c r="B232" s="222"/>
      <c r="C232" s="222"/>
      <c r="D232" s="222"/>
      <c r="E232" s="222"/>
    </row>
    <row r="233" spans="1:5" ht="13">
      <c r="A233" s="222"/>
      <c r="B233" s="222"/>
      <c r="C233" s="222"/>
      <c r="D233" s="222"/>
      <c r="E233" s="222"/>
    </row>
    <row r="234" spans="1:5" ht="13">
      <c r="A234" s="222"/>
      <c r="B234" s="222"/>
      <c r="C234" s="222"/>
      <c r="D234" s="222"/>
      <c r="E234" s="222"/>
    </row>
    <row r="235" spans="1:5" ht="13">
      <c r="A235" s="222"/>
      <c r="B235" s="222"/>
      <c r="C235" s="222"/>
      <c r="D235" s="222"/>
      <c r="E235" s="222"/>
    </row>
    <row r="236" spans="1:5" ht="13">
      <c r="A236" s="222"/>
      <c r="B236" s="222"/>
      <c r="C236" s="222"/>
      <c r="D236" s="222"/>
      <c r="E236" s="222"/>
    </row>
    <row r="237" spans="1:5" ht="13">
      <c r="A237" s="222"/>
      <c r="B237" s="222"/>
      <c r="C237" s="222"/>
      <c r="D237" s="222"/>
      <c r="E237" s="222"/>
    </row>
    <row r="238" spans="1:5" ht="13">
      <c r="A238" s="222"/>
      <c r="B238" s="222"/>
      <c r="C238" s="222"/>
      <c r="D238" s="222"/>
      <c r="E238" s="222"/>
    </row>
    <row r="239" spans="1:5" ht="13">
      <c r="A239" s="222"/>
      <c r="B239" s="222"/>
      <c r="C239" s="222"/>
      <c r="D239" s="222"/>
      <c r="E239" s="222"/>
    </row>
    <row r="240" spans="1:5" ht="13">
      <c r="A240" s="222"/>
      <c r="B240" s="222"/>
      <c r="C240" s="222"/>
      <c r="D240" s="222"/>
      <c r="E240" s="222"/>
    </row>
    <row r="241" spans="1:5" ht="13">
      <c r="A241" s="222"/>
      <c r="B241" s="222"/>
      <c r="C241" s="222"/>
      <c r="D241" s="222"/>
      <c r="E241" s="222"/>
    </row>
    <row r="242" spans="1:5" ht="13">
      <c r="A242" s="222"/>
      <c r="B242" s="222"/>
      <c r="C242" s="222"/>
      <c r="D242" s="222"/>
      <c r="E242" s="222"/>
    </row>
    <row r="243" spans="1:5" ht="13">
      <c r="A243" s="222"/>
      <c r="B243" s="222"/>
      <c r="C243" s="222"/>
      <c r="D243" s="222"/>
      <c r="E243" s="222"/>
    </row>
    <row r="244" spans="1:5" ht="13">
      <c r="A244" s="222"/>
      <c r="B244" s="222"/>
      <c r="C244" s="222"/>
      <c r="D244" s="222"/>
      <c r="E244" s="222"/>
    </row>
    <row r="245" spans="1:5" ht="13">
      <c r="A245" s="222"/>
      <c r="B245" s="222"/>
      <c r="C245" s="222"/>
      <c r="D245" s="222"/>
      <c r="E245" s="222"/>
    </row>
    <row r="246" spans="1:5" ht="13">
      <c r="A246" s="222"/>
      <c r="B246" s="222"/>
      <c r="C246" s="222"/>
      <c r="D246" s="222"/>
      <c r="E246" s="222"/>
    </row>
    <row r="247" spans="1:5" ht="13">
      <c r="A247" s="222"/>
      <c r="B247" s="222"/>
      <c r="C247" s="222"/>
      <c r="D247" s="222"/>
      <c r="E247" s="222"/>
    </row>
    <row r="248" spans="1:5" ht="13">
      <c r="A248" s="222"/>
      <c r="B248" s="222"/>
      <c r="C248" s="222"/>
      <c r="D248" s="222"/>
      <c r="E248" s="222"/>
    </row>
    <row r="249" spans="1:5" ht="13">
      <c r="A249" s="222"/>
      <c r="B249" s="222"/>
      <c r="C249" s="222"/>
      <c r="D249" s="222"/>
      <c r="E249" s="222"/>
    </row>
    <row r="250" spans="1:5" ht="13">
      <c r="A250" s="222"/>
      <c r="B250" s="222"/>
      <c r="C250" s="222"/>
      <c r="D250" s="222"/>
      <c r="E250" s="222"/>
    </row>
    <row r="251" spans="1:5" ht="13">
      <c r="A251" s="222"/>
      <c r="B251" s="222"/>
      <c r="C251" s="222"/>
      <c r="D251" s="222"/>
      <c r="E251" s="222"/>
    </row>
    <row r="252" spans="1:5" ht="13">
      <c r="A252" s="222"/>
      <c r="B252" s="222"/>
      <c r="C252" s="222"/>
      <c r="D252" s="222"/>
      <c r="E252" s="222"/>
    </row>
    <row r="253" spans="1:5" ht="13">
      <c r="A253" s="222"/>
      <c r="B253" s="222"/>
      <c r="C253" s="222"/>
      <c r="D253" s="222"/>
      <c r="E253" s="222"/>
    </row>
    <row r="254" spans="1:5" ht="13">
      <c r="A254" s="222"/>
      <c r="B254" s="222"/>
      <c r="C254" s="222"/>
      <c r="D254" s="222"/>
      <c r="E254" s="222"/>
    </row>
    <row r="255" spans="1:5" ht="13">
      <c r="A255" s="222"/>
      <c r="B255" s="222"/>
      <c r="C255" s="222"/>
      <c r="D255" s="222"/>
      <c r="E255" s="222"/>
    </row>
    <row r="256" spans="1:5" ht="13">
      <c r="A256" s="222"/>
      <c r="B256" s="222"/>
      <c r="C256" s="222"/>
      <c r="D256" s="222"/>
      <c r="E256" s="222"/>
    </row>
    <row r="257" spans="1:5" ht="13">
      <c r="A257" s="222"/>
      <c r="B257" s="222"/>
      <c r="C257" s="222"/>
      <c r="D257" s="222"/>
      <c r="E257" s="222"/>
    </row>
    <row r="258" spans="1:5" ht="13">
      <c r="A258" s="222"/>
      <c r="B258" s="222"/>
      <c r="C258" s="222"/>
      <c r="D258" s="222"/>
      <c r="E258" s="222"/>
    </row>
    <row r="259" spans="1:5" ht="13">
      <c r="A259" s="222"/>
      <c r="B259" s="222"/>
      <c r="C259" s="222"/>
      <c r="D259" s="222"/>
      <c r="E259" s="222"/>
    </row>
    <row r="260" spans="1:5" ht="13">
      <c r="A260" s="222"/>
      <c r="B260" s="222"/>
      <c r="C260" s="222"/>
      <c r="D260" s="222"/>
      <c r="E260" s="222"/>
    </row>
    <row r="261" spans="1:5" ht="13">
      <c r="A261" s="222"/>
      <c r="B261" s="222"/>
      <c r="C261" s="222"/>
      <c r="D261" s="222"/>
      <c r="E261" s="222"/>
    </row>
    <row r="262" spans="1:5" ht="13">
      <c r="A262" s="222"/>
      <c r="B262" s="222"/>
      <c r="C262" s="222"/>
      <c r="D262" s="222"/>
      <c r="E262" s="222"/>
    </row>
    <row r="263" spans="1:5" ht="13">
      <c r="A263" s="222"/>
      <c r="B263" s="222"/>
      <c r="C263" s="222"/>
      <c r="D263" s="222"/>
      <c r="E263" s="222"/>
    </row>
    <row r="264" spans="1:5" ht="13">
      <c r="A264" s="222"/>
      <c r="B264" s="222"/>
      <c r="C264" s="222"/>
      <c r="D264" s="222"/>
      <c r="E264" s="222"/>
    </row>
    <row r="265" spans="1:5" ht="13">
      <c r="A265" s="222"/>
      <c r="B265" s="222"/>
      <c r="C265" s="222"/>
      <c r="D265" s="222"/>
      <c r="E265" s="222"/>
    </row>
    <row r="266" spans="1:5" ht="13">
      <c r="A266" s="222"/>
      <c r="B266" s="222"/>
      <c r="C266" s="222"/>
      <c r="D266" s="222"/>
      <c r="E266" s="222"/>
    </row>
    <row r="267" spans="1:5" ht="13">
      <c r="A267" s="222"/>
      <c r="B267" s="222"/>
      <c r="C267" s="222"/>
      <c r="D267" s="222"/>
      <c r="E267" s="222"/>
    </row>
    <row r="268" spans="1:5" ht="13">
      <c r="A268" s="222"/>
      <c r="B268" s="222"/>
      <c r="C268" s="222"/>
      <c r="D268" s="222"/>
      <c r="E268" s="222"/>
    </row>
    <row r="269" spans="1:5" ht="13">
      <c r="A269" s="222"/>
      <c r="B269" s="222"/>
      <c r="C269" s="222"/>
      <c r="D269" s="222"/>
      <c r="E269" s="222"/>
    </row>
    <row r="270" spans="1:5" ht="13">
      <c r="A270" s="222"/>
      <c r="B270" s="222"/>
      <c r="C270" s="222"/>
      <c r="D270" s="222"/>
      <c r="E270" s="222"/>
    </row>
    <row r="271" spans="1:5" ht="13">
      <c r="A271" s="222"/>
      <c r="B271" s="222"/>
      <c r="C271" s="222"/>
      <c r="D271" s="222"/>
      <c r="E271" s="222"/>
    </row>
    <row r="272" spans="1:5" ht="13">
      <c r="A272" s="222"/>
      <c r="B272" s="222"/>
      <c r="C272" s="222"/>
      <c r="D272" s="222"/>
      <c r="E272" s="222"/>
    </row>
    <row r="273" spans="1:5" ht="13">
      <c r="A273" s="222"/>
      <c r="B273" s="222"/>
      <c r="C273" s="222"/>
      <c r="D273" s="222"/>
      <c r="E273" s="222"/>
    </row>
    <row r="274" spans="1:5" ht="13">
      <c r="A274" s="222"/>
      <c r="B274" s="222"/>
      <c r="C274" s="222"/>
      <c r="D274" s="222"/>
      <c r="E274" s="222"/>
    </row>
    <row r="275" spans="1:5" ht="13">
      <c r="A275" s="222"/>
      <c r="B275" s="222"/>
      <c r="C275" s="222"/>
      <c r="D275" s="222"/>
      <c r="E275" s="222"/>
    </row>
    <row r="276" spans="1:5" ht="13">
      <c r="A276" s="222"/>
      <c r="B276" s="222"/>
      <c r="C276" s="222"/>
      <c r="D276" s="222"/>
      <c r="E276" s="222"/>
    </row>
    <row r="277" spans="1:5" ht="13">
      <c r="A277" s="222"/>
      <c r="B277" s="222"/>
      <c r="C277" s="222"/>
      <c r="D277" s="222"/>
      <c r="E277" s="222"/>
    </row>
    <row r="278" spans="1:5" ht="13">
      <c r="A278" s="222"/>
      <c r="B278" s="222"/>
      <c r="C278" s="222"/>
      <c r="D278" s="222"/>
      <c r="E278" s="222"/>
    </row>
    <row r="279" spans="1:5" ht="13">
      <c r="A279" s="222"/>
      <c r="B279" s="222"/>
      <c r="C279" s="222"/>
      <c r="D279" s="222"/>
      <c r="E279" s="222"/>
    </row>
    <row r="280" spans="1:5" ht="13">
      <c r="A280" s="222"/>
      <c r="B280" s="222"/>
      <c r="C280" s="222"/>
      <c r="D280" s="222"/>
      <c r="E280" s="222"/>
    </row>
    <row r="281" spans="1:5" ht="13">
      <c r="A281" s="222"/>
      <c r="B281" s="222"/>
      <c r="C281" s="222"/>
      <c r="D281" s="222"/>
      <c r="E281" s="222"/>
    </row>
    <row r="282" spans="1:5" ht="13">
      <c r="A282" s="222"/>
      <c r="B282" s="222"/>
      <c r="C282" s="222"/>
      <c r="D282" s="222"/>
      <c r="E282" s="222"/>
    </row>
    <row r="283" spans="1:5" ht="13">
      <c r="A283" s="222"/>
      <c r="B283" s="222"/>
      <c r="C283" s="222"/>
      <c r="D283" s="222"/>
      <c r="E283" s="222"/>
    </row>
    <row r="284" spans="1:5" ht="13">
      <c r="A284" s="222"/>
      <c r="B284" s="222"/>
      <c r="C284" s="222"/>
      <c r="D284" s="222"/>
      <c r="E284" s="222"/>
    </row>
    <row r="285" spans="1:5" ht="13">
      <c r="A285" s="222"/>
      <c r="B285" s="222"/>
      <c r="C285" s="222"/>
      <c r="D285" s="222"/>
      <c r="E285" s="222"/>
    </row>
    <row r="286" spans="1:5" ht="13">
      <c r="A286" s="222"/>
      <c r="B286" s="222"/>
      <c r="C286" s="222"/>
      <c r="D286" s="222"/>
      <c r="E286" s="222"/>
    </row>
    <row r="287" spans="1:5" ht="13">
      <c r="A287" s="222"/>
      <c r="B287" s="222"/>
      <c r="C287" s="222"/>
      <c r="D287" s="222"/>
      <c r="E287" s="222"/>
    </row>
    <row r="288" spans="1:5" ht="13">
      <c r="A288" s="222"/>
      <c r="B288" s="222"/>
      <c r="C288" s="222"/>
      <c r="D288" s="222"/>
      <c r="E288" s="222"/>
    </row>
    <row r="289" spans="1:5" ht="13">
      <c r="A289" s="222"/>
      <c r="B289" s="222"/>
      <c r="C289" s="222"/>
      <c r="D289" s="222"/>
      <c r="E289" s="222"/>
    </row>
    <row r="290" spans="1:5" ht="13">
      <c r="A290" s="222"/>
      <c r="B290" s="222"/>
      <c r="C290" s="222"/>
      <c r="D290" s="222"/>
      <c r="E290" s="222"/>
    </row>
    <row r="291" spans="1:5" ht="13">
      <c r="A291" s="222"/>
      <c r="B291" s="222"/>
      <c r="C291" s="222"/>
      <c r="D291" s="222"/>
      <c r="E291" s="222"/>
    </row>
    <row r="292" spans="1:5" ht="13">
      <c r="A292" s="222"/>
      <c r="B292" s="222"/>
      <c r="C292" s="222"/>
      <c r="D292" s="222"/>
      <c r="E292" s="222"/>
    </row>
    <row r="293" spans="1:5" ht="13">
      <c r="A293" s="222"/>
      <c r="B293" s="222"/>
      <c r="C293" s="222"/>
      <c r="D293" s="222"/>
      <c r="E293" s="222"/>
    </row>
    <row r="294" spans="1:5" ht="13">
      <c r="A294" s="222"/>
      <c r="B294" s="222"/>
      <c r="C294" s="222"/>
      <c r="D294" s="222"/>
      <c r="E294" s="222"/>
    </row>
    <row r="295" spans="1:5" ht="13">
      <c r="A295" s="222"/>
      <c r="B295" s="222"/>
      <c r="C295" s="222"/>
      <c r="D295" s="222"/>
      <c r="E295" s="222"/>
    </row>
    <row r="296" spans="1:5" ht="13">
      <c r="A296" s="222"/>
      <c r="B296" s="222"/>
      <c r="C296" s="222"/>
      <c r="D296" s="222"/>
      <c r="E296" s="222"/>
    </row>
    <row r="297" spans="1:5" ht="13">
      <c r="A297" s="222"/>
      <c r="B297" s="222"/>
      <c r="C297" s="222"/>
      <c r="D297" s="222"/>
      <c r="E297" s="222"/>
    </row>
    <row r="298" spans="1:5" ht="13">
      <c r="A298" s="222"/>
      <c r="B298" s="222"/>
      <c r="C298" s="222"/>
      <c r="D298" s="222"/>
      <c r="E298" s="222"/>
    </row>
    <row r="299" spans="1:5" ht="13">
      <c r="A299" s="222"/>
      <c r="B299" s="222"/>
      <c r="C299" s="222"/>
      <c r="D299" s="222"/>
      <c r="E299" s="222"/>
    </row>
    <row r="300" spans="1:5" ht="13">
      <c r="A300" s="222"/>
      <c r="B300" s="222"/>
      <c r="C300" s="222"/>
      <c r="D300" s="222"/>
      <c r="E300" s="222"/>
    </row>
    <row r="301" spans="1:5" ht="13">
      <c r="A301" s="222"/>
      <c r="B301" s="222"/>
      <c r="C301" s="222"/>
      <c r="D301" s="222"/>
      <c r="E301" s="222"/>
    </row>
    <row r="302" spans="1:5" ht="13">
      <c r="A302" s="222"/>
      <c r="B302" s="222"/>
      <c r="C302" s="222"/>
      <c r="D302" s="222"/>
      <c r="E302" s="222"/>
    </row>
    <row r="303" spans="1:5" ht="13">
      <c r="A303" s="222"/>
      <c r="B303" s="222"/>
      <c r="C303" s="222"/>
      <c r="D303" s="222"/>
      <c r="E303" s="222"/>
    </row>
    <row r="304" spans="1:5" ht="13">
      <c r="A304" s="222"/>
      <c r="B304" s="222"/>
      <c r="C304" s="222"/>
      <c r="D304" s="222"/>
      <c r="E304" s="222"/>
    </row>
    <row r="305" spans="1:5" ht="13">
      <c r="A305" s="222"/>
      <c r="B305" s="222"/>
      <c r="C305" s="222"/>
      <c r="D305" s="222"/>
      <c r="E305" s="222"/>
    </row>
    <row r="306" spans="1:5" ht="13">
      <c r="A306" s="222"/>
      <c r="B306" s="222"/>
      <c r="C306" s="222"/>
      <c r="D306" s="222"/>
      <c r="E306" s="222"/>
    </row>
    <row r="307" spans="1:5" ht="13">
      <c r="A307" s="222"/>
      <c r="B307" s="222"/>
      <c r="C307" s="222"/>
      <c r="D307" s="222"/>
      <c r="E307" s="222"/>
    </row>
    <row r="308" spans="1:5" ht="13">
      <c r="A308" s="222"/>
      <c r="B308" s="222"/>
      <c r="C308" s="222"/>
      <c r="D308" s="222"/>
      <c r="E308" s="222"/>
    </row>
    <row r="309" spans="1:5" ht="13">
      <c r="A309" s="222"/>
      <c r="B309" s="222"/>
      <c r="C309" s="222"/>
      <c r="D309" s="222"/>
      <c r="E309" s="222"/>
    </row>
    <row r="310" spans="1:5" ht="13">
      <c r="A310" s="222"/>
      <c r="B310" s="222"/>
      <c r="C310" s="222"/>
      <c r="D310" s="222"/>
      <c r="E310" s="222"/>
    </row>
    <row r="311" spans="1:5" ht="13">
      <c r="A311" s="222"/>
      <c r="B311" s="222"/>
      <c r="C311" s="222"/>
      <c r="D311" s="222"/>
      <c r="E311" s="222"/>
    </row>
    <row r="312" spans="1:5" ht="13">
      <c r="A312" s="222"/>
      <c r="B312" s="222"/>
      <c r="C312" s="222"/>
      <c r="D312" s="222"/>
      <c r="E312" s="222"/>
    </row>
    <row r="313" spans="1:5" ht="13">
      <c r="A313" s="222"/>
      <c r="B313" s="222"/>
      <c r="C313" s="222"/>
      <c r="D313" s="222"/>
      <c r="E313" s="222"/>
    </row>
    <row r="314" spans="1:5" ht="13">
      <c r="A314" s="222"/>
      <c r="B314" s="222"/>
      <c r="C314" s="222"/>
      <c r="D314" s="222"/>
      <c r="E314" s="222"/>
    </row>
    <row r="315" spans="1:5" ht="13">
      <c r="A315" s="222"/>
      <c r="B315" s="222"/>
      <c r="C315" s="222"/>
      <c r="D315" s="222"/>
      <c r="E315" s="222"/>
    </row>
    <row r="316" spans="1:5" ht="13">
      <c r="A316" s="222"/>
      <c r="B316" s="222"/>
      <c r="C316" s="222"/>
      <c r="D316" s="222"/>
      <c r="E316" s="222"/>
    </row>
    <row r="317" spans="1:5" ht="13">
      <c r="A317" s="222"/>
      <c r="B317" s="222"/>
      <c r="C317" s="222"/>
      <c r="D317" s="222"/>
      <c r="E317" s="222"/>
    </row>
    <row r="318" spans="1:5" ht="13">
      <c r="A318" s="222"/>
      <c r="B318" s="222"/>
      <c r="C318" s="222"/>
      <c r="D318" s="222"/>
      <c r="E318" s="222"/>
    </row>
    <row r="319" spans="1:5" ht="13">
      <c r="A319" s="222"/>
      <c r="B319" s="222"/>
      <c r="C319" s="222"/>
      <c r="D319" s="222"/>
      <c r="E319" s="222"/>
    </row>
    <row r="320" spans="1:5" ht="13">
      <c r="A320" s="222"/>
      <c r="B320" s="222"/>
      <c r="C320" s="222"/>
      <c r="D320" s="222"/>
      <c r="E320" s="222"/>
    </row>
    <row r="321" spans="1:5" ht="13">
      <c r="A321" s="222"/>
      <c r="B321" s="222"/>
      <c r="C321" s="222"/>
      <c r="D321" s="222"/>
      <c r="E321" s="222"/>
    </row>
    <row r="322" spans="1:5" ht="13">
      <c r="A322" s="222"/>
      <c r="B322" s="222"/>
      <c r="C322" s="222"/>
      <c r="D322" s="222"/>
      <c r="E322" s="222"/>
    </row>
    <row r="323" spans="1:5" ht="13">
      <c r="A323" s="222"/>
      <c r="B323" s="222"/>
      <c r="C323" s="222"/>
      <c r="D323" s="222"/>
      <c r="E323" s="222"/>
    </row>
    <row r="324" spans="1:5" ht="13">
      <c r="A324" s="222"/>
      <c r="B324" s="222"/>
      <c r="C324" s="222"/>
      <c r="D324" s="222"/>
      <c r="E324" s="222"/>
    </row>
    <row r="325" spans="1:5" ht="13">
      <c r="A325" s="222"/>
      <c r="B325" s="222"/>
      <c r="C325" s="222"/>
      <c r="D325" s="222"/>
      <c r="E325" s="222"/>
    </row>
    <row r="326" spans="1:5" ht="13">
      <c r="A326" s="222"/>
      <c r="B326" s="222"/>
      <c r="C326" s="222"/>
      <c r="D326" s="222"/>
      <c r="E326" s="222"/>
    </row>
    <row r="327" spans="1:5" ht="13">
      <c r="A327" s="222"/>
      <c r="B327" s="222"/>
      <c r="C327" s="222"/>
      <c r="D327" s="222"/>
      <c r="E327" s="222"/>
    </row>
    <row r="328" spans="1:5" ht="13">
      <c r="A328" s="222"/>
      <c r="B328" s="222"/>
      <c r="C328" s="222"/>
      <c r="D328" s="222"/>
      <c r="E328" s="222"/>
    </row>
    <row r="329" spans="1:5" ht="13">
      <c r="A329" s="222"/>
      <c r="B329" s="222"/>
      <c r="C329" s="222"/>
      <c r="D329" s="222"/>
      <c r="E329" s="222"/>
    </row>
    <row r="330" spans="1:5" ht="13">
      <c r="A330" s="222"/>
      <c r="B330" s="222"/>
      <c r="C330" s="222"/>
      <c r="D330" s="222"/>
      <c r="E330" s="222"/>
    </row>
    <row r="331" spans="1:5" ht="13">
      <c r="A331" s="222"/>
      <c r="B331" s="222"/>
      <c r="C331" s="222"/>
      <c r="D331" s="222"/>
      <c r="E331" s="222"/>
    </row>
    <row r="332" spans="1:5" ht="13">
      <c r="A332" s="222"/>
      <c r="B332" s="222"/>
      <c r="C332" s="222"/>
      <c r="D332" s="222"/>
      <c r="E332" s="222"/>
    </row>
    <row r="333" spans="1:5" ht="13">
      <c r="A333" s="222"/>
      <c r="B333" s="222"/>
      <c r="C333" s="222"/>
      <c r="D333" s="222"/>
      <c r="E333" s="222"/>
    </row>
    <row r="334" spans="1:5" ht="13">
      <c r="A334" s="222"/>
      <c r="B334" s="222"/>
      <c r="C334" s="222"/>
      <c r="D334" s="222"/>
      <c r="E334" s="222"/>
    </row>
    <row r="335" spans="1:5" ht="13">
      <c r="A335" s="222"/>
      <c r="B335" s="222"/>
      <c r="C335" s="222"/>
      <c r="D335" s="222"/>
      <c r="E335" s="222"/>
    </row>
    <row r="336" spans="1:5" ht="13">
      <c r="A336" s="222"/>
      <c r="B336" s="222"/>
      <c r="C336" s="222"/>
      <c r="D336" s="222"/>
      <c r="E336" s="222"/>
    </row>
    <row r="337" spans="1:5" ht="13">
      <c r="A337" s="222"/>
      <c r="B337" s="222"/>
      <c r="C337" s="222"/>
      <c r="D337" s="222"/>
      <c r="E337" s="222"/>
    </row>
    <row r="338" spans="1:5" ht="13">
      <c r="A338" s="222"/>
      <c r="B338" s="222"/>
      <c r="C338" s="222"/>
      <c r="D338" s="222"/>
      <c r="E338" s="222"/>
    </row>
    <row r="339" spans="1:5" ht="13">
      <c r="A339" s="222"/>
      <c r="B339" s="222"/>
      <c r="C339" s="222"/>
      <c r="D339" s="222"/>
      <c r="E339" s="222"/>
    </row>
    <row r="340" spans="1:5" ht="13">
      <c r="A340" s="222"/>
      <c r="B340" s="222"/>
      <c r="C340" s="222"/>
      <c r="D340" s="222"/>
      <c r="E340" s="222"/>
    </row>
    <row r="341" spans="1:5" ht="13">
      <c r="A341" s="222"/>
      <c r="B341" s="222"/>
      <c r="C341" s="222"/>
      <c r="D341" s="222"/>
      <c r="E341" s="222"/>
    </row>
    <row r="342" spans="1:5" ht="13">
      <c r="A342" s="222"/>
      <c r="B342" s="222"/>
      <c r="C342" s="222"/>
      <c r="D342" s="222"/>
      <c r="E342" s="222"/>
    </row>
    <row r="343" spans="1:5" ht="13">
      <c r="A343" s="222"/>
      <c r="B343" s="222"/>
      <c r="C343" s="222"/>
      <c r="D343" s="222"/>
      <c r="E343" s="222"/>
    </row>
    <row r="344" spans="1:5" ht="13">
      <c r="A344" s="222"/>
      <c r="B344" s="222"/>
      <c r="C344" s="222"/>
      <c r="D344" s="222"/>
      <c r="E344" s="222"/>
    </row>
    <row r="345" spans="1:5" ht="13">
      <c r="A345" s="222"/>
      <c r="B345" s="222"/>
      <c r="C345" s="222"/>
      <c r="D345" s="222"/>
      <c r="E345" s="222"/>
    </row>
    <row r="346" spans="1:5" ht="13">
      <c r="A346" s="222"/>
      <c r="B346" s="222"/>
      <c r="C346" s="222"/>
      <c r="D346" s="222"/>
      <c r="E346" s="222"/>
    </row>
    <row r="347" spans="1:5" ht="13">
      <c r="A347" s="222"/>
      <c r="B347" s="222"/>
      <c r="C347" s="222"/>
      <c r="D347" s="222"/>
      <c r="E347" s="222"/>
    </row>
    <row r="348" spans="1:5" ht="13">
      <c r="A348" s="222"/>
      <c r="B348" s="222"/>
      <c r="C348" s="222"/>
      <c r="D348" s="222"/>
      <c r="E348" s="222"/>
    </row>
    <row r="349" spans="1:5" ht="13">
      <c r="A349" s="222"/>
      <c r="B349" s="222"/>
      <c r="C349" s="222"/>
      <c r="D349" s="222"/>
      <c r="E349" s="222"/>
    </row>
    <row r="350" spans="1:5" ht="13">
      <c r="A350" s="222"/>
      <c r="B350" s="222"/>
      <c r="C350" s="222"/>
      <c r="D350" s="222"/>
      <c r="E350" s="222"/>
    </row>
    <row r="351" spans="1:5" ht="13">
      <c r="A351" s="222"/>
      <c r="B351" s="222"/>
      <c r="C351" s="222"/>
      <c r="D351" s="222"/>
      <c r="E351" s="222"/>
    </row>
    <row r="352" spans="1:5" ht="13">
      <c r="A352" s="222"/>
      <c r="B352" s="222"/>
      <c r="C352" s="222"/>
      <c r="D352" s="222"/>
      <c r="E352" s="222"/>
    </row>
    <row r="353" spans="1:5" ht="13">
      <c r="A353" s="222"/>
      <c r="B353" s="222"/>
      <c r="C353" s="222"/>
      <c r="D353" s="222"/>
      <c r="E353" s="222"/>
    </row>
    <row r="354" spans="1:5" ht="13">
      <c r="A354" s="222"/>
      <c r="B354" s="222"/>
      <c r="C354" s="222"/>
      <c r="D354" s="222"/>
      <c r="E354" s="222"/>
    </row>
    <row r="355" spans="1:5" ht="13">
      <c r="A355" s="222"/>
      <c r="B355" s="222"/>
      <c r="C355" s="222"/>
      <c r="D355" s="222"/>
      <c r="E355" s="222"/>
    </row>
    <row r="356" spans="1:5" ht="13">
      <c r="A356" s="222"/>
      <c r="B356" s="222"/>
      <c r="C356" s="222"/>
      <c r="D356" s="222"/>
      <c r="E356" s="222"/>
    </row>
    <row r="357" spans="1:5" ht="13">
      <c r="A357" s="222"/>
      <c r="B357" s="222"/>
      <c r="C357" s="222"/>
      <c r="D357" s="222"/>
      <c r="E357" s="222"/>
    </row>
    <row r="358" spans="1:5" ht="13">
      <c r="A358" s="222"/>
      <c r="B358" s="222"/>
      <c r="C358" s="222"/>
      <c r="D358" s="222"/>
      <c r="E358" s="222"/>
    </row>
    <row r="359" spans="1:5" ht="13">
      <c r="A359" s="222"/>
      <c r="B359" s="222"/>
      <c r="C359" s="222"/>
      <c r="D359" s="222"/>
      <c r="E359" s="222"/>
    </row>
    <row r="360" spans="1:5" ht="13">
      <c r="A360" s="222"/>
      <c r="B360" s="222"/>
      <c r="C360" s="222"/>
      <c r="D360" s="222"/>
      <c r="E360" s="222"/>
    </row>
    <row r="361" spans="1:5" ht="13">
      <c r="A361" s="222"/>
      <c r="B361" s="222"/>
      <c r="C361" s="222"/>
      <c r="D361" s="222"/>
      <c r="E361" s="222"/>
    </row>
    <row r="362" spans="1:5" ht="13">
      <c r="A362" s="222"/>
      <c r="B362" s="222"/>
      <c r="C362" s="222"/>
      <c r="D362" s="222"/>
      <c r="E362" s="222"/>
    </row>
    <row r="363" spans="1:5" ht="13">
      <c r="A363" s="222"/>
      <c r="B363" s="222"/>
      <c r="C363" s="222"/>
      <c r="D363" s="222"/>
      <c r="E363" s="222"/>
    </row>
    <row r="364" spans="1:5" ht="13">
      <c r="A364" s="222"/>
      <c r="B364" s="222"/>
      <c r="C364" s="222"/>
      <c r="D364" s="222"/>
      <c r="E364" s="222"/>
    </row>
    <row r="365" spans="1:5" ht="13">
      <c r="A365" s="222"/>
      <c r="B365" s="222"/>
      <c r="C365" s="222"/>
      <c r="D365" s="222"/>
      <c r="E365" s="222"/>
    </row>
    <row r="366" spans="1:5" ht="13">
      <c r="A366" s="222"/>
      <c r="B366" s="222"/>
      <c r="C366" s="222"/>
      <c r="D366" s="222"/>
      <c r="E366" s="222"/>
    </row>
    <row r="367" spans="1:5" ht="13">
      <c r="A367" s="222"/>
      <c r="B367" s="222"/>
      <c r="C367" s="222"/>
      <c r="D367" s="222"/>
      <c r="E367" s="222"/>
    </row>
    <row r="368" spans="1:5" ht="13">
      <c r="A368" s="222"/>
      <c r="B368" s="222"/>
      <c r="C368" s="222"/>
      <c r="D368" s="222"/>
      <c r="E368" s="222"/>
    </row>
    <row r="369" spans="1:5" ht="13">
      <c r="A369" s="222"/>
      <c r="B369" s="222"/>
      <c r="C369" s="222"/>
      <c r="D369" s="222"/>
      <c r="E369" s="222"/>
    </row>
    <row r="370" spans="1:5" ht="13">
      <c r="A370" s="222"/>
      <c r="B370" s="222"/>
      <c r="C370" s="222"/>
      <c r="D370" s="222"/>
      <c r="E370" s="222"/>
    </row>
    <row r="371" spans="1:5" ht="13">
      <c r="A371" s="222"/>
      <c r="B371" s="222"/>
      <c r="C371" s="222"/>
      <c r="D371" s="222"/>
      <c r="E371" s="222"/>
    </row>
    <row r="372" spans="1:5" ht="13">
      <c r="A372" s="222"/>
      <c r="B372" s="222"/>
      <c r="C372" s="222"/>
      <c r="D372" s="222"/>
      <c r="E372" s="222"/>
    </row>
    <row r="373" spans="1:5" ht="13">
      <c r="A373" s="222"/>
      <c r="B373" s="222"/>
      <c r="C373" s="222"/>
      <c r="D373" s="222"/>
      <c r="E373" s="222"/>
    </row>
    <row r="374" spans="1:5" ht="13">
      <c r="A374" s="222"/>
      <c r="B374" s="222"/>
      <c r="C374" s="222"/>
      <c r="D374" s="222"/>
      <c r="E374" s="222"/>
    </row>
    <row r="375" spans="1:5" ht="13">
      <c r="A375" s="222"/>
      <c r="B375" s="222"/>
      <c r="C375" s="222"/>
      <c r="D375" s="222"/>
      <c r="E375" s="222"/>
    </row>
    <row r="376" spans="1:5" ht="13">
      <c r="A376" s="222"/>
      <c r="B376" s="222"/>
      <c r="C376" s="222"/>
      <c r="D376" s="222"/>
      <c r="E376" s="222"/>
    </row>
    <row r="377" spans="1:5" ht="13">
      <c r="A377" s="222"/>
      <c r="B377" s="222"/>
      <c r="C377" s="222"/>
      <c r="D377" s="222"/>
      <c r="E377" s="222"/>
    </row>
    <row r="378" spans="1:5" ht="13">
      <c r="A378" s="222"/>
      <c r="B378" s="222"/>
      <c r="C378" s="222"/>
      <c r="D378" s="222"/>
      <c r="E378" s="222"/>
    </row>
    <row r="379" spans="1:5" ht="13">
      <c r="A379" s="222"/>
      <c r="B379" s="222"/>
      <c r="C379" s="222"/>
      <c r="D379" s="222"/>
      <c r="E379" s="222"/>
    </row>
    <row r="380" spans="1:5" ht="13">
      <c r="A380" s="222"/>
      <c r="B380" s="222"/>
      <c r="C380" s="222"/>
      <c r="D380" s="222"/>
      <c r="E380" s="222"/>
    </row>
    <row r="381" spans="1:5" ht="13">
      <c r="A381" s="222"/>
      <c r="B381" s="222"/>
      <c r="C381" s="222"/>
      <c r="D381" s="222"/>
      <c r="E381" s="222"/>
    </row>
    <row r="382" spans="1:5" ht="13">
      <c r="A382" s="222"/>
      <c r="B382" s="222"/>
      <c r="C382" s="222"/>
      <c r="D382" s="222"/>
      <c r="E382" s="222"/>
    </row>
    <row r="383" spans="1:5" ht="13">
      <c r="A383" s="222"/>
      <c r="B383" s="222"/>
      <c r="C383" s="222"/>
      <c r="D383" s="222"/>
      <c r="E383" s="222"/>
    </row>
    <row r="384" spans="1:5" ht="13">
      <c r="A384" s="222"/>
      <c r="B384" s="222"/>
      <c r="C384" s="222"/>
      <c r="D384" s="222"/>
      <c r="E384" s="222"/>
    </row>
    <row r="385" spans="1:5" ht="13">
      <c r="A385" s="222"/>
      <c r="B385" s="222"/>
      <c r="C385" s="222"/>
      <c r="D385" s="222"/>
      <c r="E385" s="222"/>
    </row>
    <row r="386" spans="1:5" ht="13">
      <c r="A386" s="222"/>
      <c r="B386" s="222"/>
      <c r="C386" s="222"/>
      <c r="D386" s="222"/>
      <c r="E386" s="222"/>
    </row>
    <row r="387" spans="1:5" ht="13">
      <c r="A387" s="222"/>
      <c r="B387" s="222"/>
      <c r="C387" s="222"/>
      <c r="D387" s="222"/>
      <c r="E387" s="222"/>
    </row>
    <row r="388" spans="1:5" ht="13">
      <c r="A388" s="222"/>
      <c r="B388" s="222"/>
      <c r="C388" s="222"/>
      <c r="D388" s="222"/>
      <c r="E388" s="222"/>
    </row>
    <row r="389" spans="1:5" ht="13">
      <c r="A389" s="222"/>
      <c r="B389" s="222"/>
      <c r="C389" s="222"/>
      <c r="D389" s="222"/>
      <c r="E389" s="222"/>
    </row>
    <row r="390" spans="1:5" ht="13">
      <c r="A390" s="222"/>
      <c r="B390" s="222"/>
      <c r="C390" s="222"/>
      <c r="D390" s="222"/>
      <c r="E390" s="222"/>
    </row>
    <row r="391" spans="1:5" ht="13">
      <c r="A391" s="222"/>
      <c r="B391" s="222"/>
      <c r="C391" s="222"/>
      <c r="D391" s="222"/>
      <c r="E391" s="222"/>
    </row>
    <row r="392" spans="1:5" ht="13">
      <c r="A392" s="222"/>
      <c r="B392" s="222"/>
      <c r="C392" s="222"/>
      <c r="D392" s="222"/>
      <c r="E392" s="222"/>
    </row>
    <row r="393" spans="1:5" ht="13">
      <c r="A393" s="222"/>
      <c r="B393" s="222"/>
      <c r="C393" s="222"/>
      <c r="D393" s="222"/>
      <c r="E393" s="222"/>
    </row>
    <row r="394" spans="1:5" ht="13">
      <c r="A394" s="222"/>
      <c r="B394" s="222"/>
      <c r="C394" s="222"/>
      <c r="D394" s="222"/>
      <c r="E394" s="222"/>
    </row>
    <row r="395" spans="1:5" ht="13">
      <c r="A395" s="222"/>
      <c r="B395" s="222"/>
      <c r="C395" s="222"/>
      <c r="D395" s="222"/>
      <c r="E395" s="222"/>
    </row>
    <row r="396" spans="1:5" ht="13">
      <c r="A396" s="222"/>
      <c r="B396" s="222"/>
      <c r="C396" s="222"/>
      <c r="D396" s="222"/>
      <c r="E396" s="222"/>
    </row>
    <row r="397" spans="1:5" ht="13">
      <c r="A397" s="222"/>
      <c r="B397" s="222"/>
      <c r="C397" s="222"/>
      <c r="D397" s="222"/>
      <c r="E397" s="222"/>
    </row>
    <row r="398" spans="1:5" ht="13">
      <c r="A398" s="222"/>
      <c r="B398" s="222"/>
      <c r="C398" s="222"/>
      <c r="D398" s="222"/>
      <c r="E398" s="222"/>
    </row>
    <row r="399" spans="1:5" ht="13">
      <c r="A399" s="222"/>
      <c r="B399" s="222"/>
      <c r="C399" s="222"/>
      <c r="D399" s="222"/>
      <c r="E399" s="222"/>
    </row>
    <row r="400" spans="1:5" ht="13">
      <c r="A400" s="222"/>
      <c r="B400" s="222"/>
      <c r="C400" s="222"/>
      <c r="D400" s="222"/>
      <c r="E400" s="222"/>
    </row>
    <row r="401" spans="1:5" ht="13">
      <c r="A401" s="222"/>
      <c r="B401" s="222"/>
      <c r="C401" s="222"/>
      <c r="D401" s="222"/>
      <c r="E401" s="222"/>
    </row>
    <row r="402" spans="1:5" ht="13">
      <c r="A402" s="222"/>
      <c r="B402" s="222"/>
      <c r="C402" s="222"/>
      <c r="D402" s="222"/>
      <c r="E402" s="222"/>
    </row>
    <row r="403" spans="1:5" ht="13">
      <c r="A403" s="222"/>
      <c r="B403" s="222"/>
      <c r="C403" s="222"/>
      <c r="D403" s="222"/>
      <c r="E403" s="222"/>
    </row>
    <row r="404" spans="1:5" ht="13">
      <c r="A404" s="222"/>
      <c r="B404" s="222"/>
      <c r="C404" s="222"/>
      <c r="D404" s="222"/>
      <c r="E404" s="222"/>
    </row>
    <row r="405" spans="1:5" ht="13">
      <c r="A405" s="222"/>
      <c r="B405" s="222"/>
      <c r="C405" s="222"/>
      <c r="D405" s="222"/>
      <c r="E405" s="222"/>
    </row>
    <row r="406" spans="1:5" ht="13">
      <c r="A406" s="222"/>
      <c r="B406" s="222"/>
      <c r="C406" s="222"/>
      <c r="D406" s="222"/>
      <c r="E406" s="222"/>
    </row>
    <row r="407" spans="1:5" ht="13">
      <c r="A407" s="222"/>
      <c r="B407" s="222"/>
      <c r="C407" s="222"/>
      <c r="D407" s="222"/>
      <c r="E407" s="222"/>
    </row>
    <row r="408" spans="1:5" ht="13">
      <c r="A408" s="222"/>
      <c r="B408" s="222"/>
      <c r="C408" s="222"/>
      <c r="D408" s="222"/>
      <c r="E408" s="222"/>
    </row>
    <row r="409" spans="1:5" ht="13">
      <c r="A409" s="222"/>
      <c r="B409" s="222"/>
      <c r="C409" s="222"/>
      <c r="D409" s="222"/>
      <c r="E409" s="222"/>
    </row>
    <row r="410" spans="1:5" ht="13">
      <c r="A410" s="222"/>
      <c r="B410" s="222"/>
      <c r="C410" s="222"/>
      <c r="D410" s="222"/>
      <c r="E410" s="222"/>
    </row>
    <row r="411" spans="1:5" ht="13">
      <c r="A411" s="222"/>
      <c r="B411" s="222"/>
      <c r="C411" s="222"/>
      <c r="D411" s="222"/>
      <c r="E411" s="222"/>
    </row>
    <row r="412" spans="1:5" ht="13">
      <c r="A412" s="222"/>
      <c r="B412" s="222"/>
      <c r="C412" s="222"/>
      <c r="D412" s="222"/>
      <c r="E412" s="222"/>
    </row>
    <row r="413" spans="1:5" ht="13">
      <c r="A413" s="222"/>
      <c r="B413" s="222"/>
      <c r="C413" s="222"/>
      <c r="D413" s="222"/>
      <c r="E413" s="222"/>
    </row>
    <row r="414" spans="1:5" ht="13">
      <c r="A414" s="222"/>
      <c r="B414" s="222"/>
      <c r="C414" s="222"/>
      <c r="D414" s="222"/>
      <c r="E414" s="222"/>
    </row>
    <row r="415" spans="1:5" ht="13">
      <c r="A415" s="222"/>
      <c r="B415" s="222"/>
      <c r="C415" s="222"/>
      <c r="D415" s="222"/>
      <c r="E415" s="222"/>
    </row>
    <row r="416" spans="1:5" ht="13">
      <c r="A416" s="222"/>
      <c r="B416" s="222"/>
      <c r="C416" s="222"/>
      <c r="D416" s="222"/>
      <c r="E416" s="222"/>
    </row>
    <row r="417" spans="1:5" ht="13">
      <c r="A417" s="222"/>
      <c r="B417" s="222"/>
      <c r="C417" s="222"/>
      <c r="D417" s="222"/>
      <c r="E417" s="222"/>
    </row>
    <row r="418" spans="1:5" ht="13">
      <c r="A418" s="222"/>
      <c r="B418" s="222"/>
      <c r="C418" s="222"/>
      <c r="D418" s="222"/>
      <c r="E418" s="222"/>
    </row>
    <row r="419" spans="1:5" ht="13">
      <c r="A419" s="222"/>
      <c r="B419" s="222"/>
      <c r="C419" s="222"/>
      <c r="D419" s="222"/>
      <c r="E419" s="222"/>
    </row>
    <row r="420" spans="1:5" ht="13">
      <c r="A420" s="222"/>
      <c r="B420" s="222"/>
      <c r="C420" s="222"/>
      <c r="D420" s="222"/>
      <c r="E420" s="222"/>
    </row>
    <row r="421" spans="1:5" ht="13">
      <c r="A421" s="222"/>
      <c r="B421" s="222"/>
      <c r="C421" s="222"/>
      <c r="D421" s="222"/>
      <c r="E421" s="222"/>
    </row>
    <row r="422" spans="1:5" ht="13">
      <c r="A422" s="222"/>
      <c r="B422" s="222"/>
      <c r="C422" s="222"/>
      <c r="D422" s="222"/>
      <c r="E422" s="222"/>
    </row>
    <row r="423" spans="1:5" ht="13">
      <c r="A423" s="222"/>
      <c r="B423" s="222"/>
      <c r="C423" s="222"/>
      <c r="D423" s="222"/>
      <c r="E423" s="222"/>
    </row>
    <row r="424" spans="1:5" ht="13">
      <c r="A424" s="222"/>
      <c r="B424" s="222"/>
      <c r="C424" s="222"/>
      <c r="D424" s="222"/>
      <c r="E424" s="222"/>
    </row>
    <row r="425" spans="1:5" ht="13">
      <c r="A425" s="222"/>
      <c r="B425" s="222"/>
      <c r="C425" s="222"/>
      <c r="D425" s="222"/>
      <c r="E425" s="222"/>
    </row>
    <row r="426" spans="1:5" ht="13">
      <c r="A426" s="222"/>
      <c r="B426" s="222"/>
      <c r="C426" s="222"/>
      <c r="D426" s="222"/>
      <c r="E426" s="222"/>
    </row>
    <row r="427" spans="1:5" ht="13">
      <c r="A427" s="222"/>
      <c r="B427" s="222"/>
      <c r="C427" s="222"/>
      <c r="D427" s="222"/>
      <c r="E427" s="222"/>
    </row>
    <row r="428" spans="1:5" ht="13">
      <c r="A428" s="222"/>
      <c r="B428" s="222"/>
      <c r="C428" s="222"/>
      <c r="D428" s="222"/>
      <c r="E428" s="222"/>
    </row>
    <row r="429" spans="1:5" ht="13">
      <c r="A429" s="222"/>
      <c r="B429" s="222"/>
      <c r="C429" s="222"/>
      <c r="D429" s="222"/>
      <c r="E429" s="222"/>
    </row>
    <row r="430" spans="1:5" ht="13">
      <c r="A430" s="222"/>
      <c r="B430" s="222"/>
      <c r="C430" s="222"/>
      <c r="D430" s="222"/>
      <c r="E430" s="222"/>
    </row>
    <row r="431" spans="1:5" ht="13">
      <c r="A431" s="222"/>
      <c r="B431" s="222"/>
      <c r="C431" s="222"/>
      <c r="D431" s="222"/>
      <c r="E431" s="222"/>
    </row>
    <row r="432" spans="1:5" ht="13">
      <c r="A432" s="222"/>
      <c r="B432" s="222"/>
      <c r="C432" s="222"/>
      <c r="D432" s="222"/>
      <c r="E432" s="222"/>
    </row>
    <row r="433" spans="1:5" ht="13">
      <c r="A433" s="222"/>
      <c r="B433" s="222"/>
      <c r="C433" s="222"/>
      <c r="D433" s="222"/>
      <c r="E433" s="222"/>
    </row>
    <row r="434" spans="1:5" ht="13">
      <c r="A434" s="222"/>
      <c r="B434" s="222"/>
      <c r="C434" s="222"/>
      <c r="D434" s="222"/>
      <c r="E434" s="222"/>
    </row>
    <row r="435" spans="1:5" ht="13">
      <c r="A435" s="222"/>
      <c r="B435" s="222"/>
      <c r="C435" s="222"/>
      <c r="D435" s="222"/>
      <c r="E435" s="222"/>
    </row>
    <row r="436" spans="1:5" ht="13">
      <c r="A436" s="222"/>
      <c r="B436" s="222"/>
      <c r="C436" s="222"/>
      <c r="D436" s="222"/>
      <c r="E436" s="222"/>
    </row>
    <row r="437" spans="1:5" ht="13">
      <c r="A437" s="222"/>
      <c r="B437" s="222"/>
      <c r="C437" s="222"/>
      <c r="D437" s="222"/>
      <c r="E437" s="222"/>
    </row>
    <row r="438" spans="1:5" ht="13">
      <c r="A438" s="222"/>
      <c r="B438" s="222"/>
      <c r="C438" s="222"/>
      <c r="D438" s="222"/>
      <c r="E438" s="222"/>
    </row>
    <row r="439" spans="1:5" ht="13">
      <c r="A439" s="222"/>
      <c r="B439" s="222"/>
      <c r="C439" s="222"/>
      <c r="D439" s="222"/>
      <c r="E439" s="222"/>
    </row>
    <row r="440" spans="1:5" ht="13">
      <c r="A440" s="222"/>
      <c r="B440" s="222"/>
      <c r="C440" s="222"/>
      <c r="D440" s="222"/>
      <c r="E440" s="222"/>
    </row>
    <row r="441" spans="1:5" ht="13">
      <c r="A441" s="222"/>
      <c r="B441" s="222"/>
      <c r="C441" s="222"/>
      <c r="D441" s="222"/>
      <c r="E441" s="222"/>
    </row>
    <row r="442" spans="1:5" ht="13">
      <c r="A442" s="222"/>
      <c r="B442" s="222"/>
      <c r="C442" s="222"/>
      <c r="D442" s="222"/>
      <c r="E442" s="222"/>
    </row>
    <row r="443" spans="1:5" ht="13">
      <c r="A443" s="222"/>
      <c r="B443" s="222"/>
      <c r="C443" s="222"/>
      <c r="D443" s="222"/>
      <c r="E443" s="222"/>
    </row>
    <row r="444" spans="1:5" ht="13">
      <c r="A444" s="222"/>
      <c r="B444" s="222"/>
      <c r="C444" s="222"/>
      <c r="D444" s="222"/>
      <c r="E444" s="222"/>
    </row>
    <row r="445" spans="1:5" ht="13">
      <c r="A445" s="222"/>
      <c r="B445" s="222"/>
      <c r="C445" s="222"/>
      <c r="D445" s="222"/>
      <c r="E445" s="222"/>
    </row>
    <row r="446" spans="1:5" ht="13">
      <c r="A446" s="222"/>
      <c r="B446" s="222"/>
      <c r="C446" s="222"/>
      <c r="D446" s="222"/>
      <c r="E446" s="222"/>
    </row>
    <row r="447" spans="1:5" ht="13">
      <c r="A447" s="222"/>
      <c r="B447" s="222"/>
      <c r="C447" s="222"/>
      <c r="D447" s="222"/>
      <c r="E447" s="222"/>
    </row>
    <row r="448" spans="1:5" ht="13">
      <c r="A448" s="222"/>
      <c r="B448" s="222"/>
      <c r="C448" s="222"/>
      <c r="D448" s="222"/>
      <c r="E448" s="222"/>
    </row>
    <row r="449" spans="1:5" ht="13">
      <c r="A449" s="222"/>
      <c r="B449" s="222"/>
      <c r="C449" s="222"/>
      <c r="D449" s="222"/>
      <c r="E449" s="222"/>
    </row>
    <row r="450" spans="1:5" ht="13">
      <c r="A450" s="222"/>
      <c r="B450" s="222"/>
      <c r="C450" s="222"/>
      <c r="D450" s="222"/>
      <c r="E450" s="222"/>
    </row>
    <row r="451" spans="1:5" ht="13">
      <c r="A451" s="222"/>
      <c r="B451" s="222"/>
      <c r="C451" s="222"/>
      <c r="D451" s="222"/>
      <c r="E451" s="222"/>
    </row>
    <row r="452" spans="1:5" ht="13">
      <c r="A452" s="222"/>
      <c r="B452" s="222"/>
      <c r="C452" s="222"/>
      <c r="D452" s="222"/>
      <c r="E452" s="222"/>
    </row>
    <row r="453" spans="1:5" ht="13">
      <c r="A453" s="222"/>
      <c r="B453" s="222"/>
      <c r="C453" s="222"/>
      <c r="D453" s="222"/>
      <c r="E453" s="222"/>
    </row>
    <row r="454" spans="1:5" ht="13">
      <c r="A454" s="222"/>
      <c r="B454" s="222"/>
      <c r="C454" s="222"/>
      <c r="D454" s="222"/>
      <c r="E454" s="222"/>
    </row>
    <row r="455" spans="1:5" ht="13">
      <c r="A455" s="222"/>
      <c r="B455" s="222"/>
      <c r="C455" s="222"/>
      <c r="D455" s="222"/>
      <c r="E455" s="222"/>
    </row>
    <row r="456" spans="1:5" ht="13">
      <c r="A456" s="222"/>
      <c r="B456" s="222"/>
      <c r="C456" s="222"/>
      <c r="D456" s="222"/>
      <c r="E456" s="222"/>
    </row>
    <row r="457" spans="1:5" ht="13">
      <c r="A457" s="222"/>
      <c r="B457" s="222"/>
      <c r="C457" s="222"/>
      <c r="D457" s="222"/>
      <c r="E457" s="222"/>
    </row>
    <row r="458" spans="1:5" ht="13">
      <c r="A458" s="222"/>
      <c r="B458" s="222"/>
      <c r="C458" s="222"/>
      <c r="D458" s="222"/>
      <c r="E458" s="222"/>
    </row>
    <row r="459" spans="1:5" ht="13">
      <c r="A459" s="222"/>
      <c r="B459" s="222"/>
      <c r="C459" s="222"/>
      <c r="D459" s="222"/>
      <c r="E459" s="222"/>
    </row>
    <row r="460" spans="1:5" ht="13">
      <c r="A460" s="222"/>
      <c r="B460" s="222"/>
      <c r="C460" s="222"/>
      <c r="D460" s="222"/>
      <c r="E460" s="222"/>
    </row>
    <row r="461" spans="1:5" ht="13">
      <c r="A461" s="222"/>
      <c r="B461" s="222"/>
      <c r="C461" s="222"/>
      <c r="D461" s="222"/>
      <c r="E461" s="222"/>
    </row>
    <row r="462" spans="1:5" ht="13">
      <c r="A462" s="222"/>
      <c r="B462" s="222"/>
      <c r="C462" s="222"/>
      <c r="D462" s="222"/>
      <c r="E462" s="222"/>
    </row>
    <row r="463" spans="1:5" ht="13">
      <c r="A463" s="222"/>
      <c r="B463" s="222"/>
      <c r="C463" s="222"/>
      <c r="D463" s="222"/>
      <c r="E463" s="222"/>
    </row>
    <row r="464" spans="1:5" ht="13">
      <c r="A464" s="222"/>
      <c r="B464" s="222"/>
      <c r="C464" s="222"/>
      <c r="D464" s="222"/>
      <c r="E464" s="222"/>
    </row>
    <row r="465" spans="1:5" ht="13">
      <c r="A465" s="222"/>
      <c r="B465" s="222"/>
      <c r="C465" s="222"/>
      <c r="D465" s="222"/>
      <c r="E465" s="222"/>
    </row>
    <row r="466" spans="1:5" ht="13">
      <c r="A466" s="222"/>
      <c r="B466" s="222"/>
      <c r="C466" s="222"/>
      <c r="D466" s="222"/>
      <c r="E466" s="222"/>
    </row>
    <row r="467" spans="1:5" ht="13">
      <c r="A467" s="222"/>
      <c r="B467" s="222"/>
      <c r="C467" s="222"/>
      <c r="D467" s="222"/>
      <c r="E467" s="222"/>
    </row>
    <row r="468" spans="1:5" ht="13">
      <c r="A468" s="222"/>
      <c r="B468" s="222"/>
      <c r="C468" s="222"/>
      <c r="D468" s="222"/>
      <c r="E468" s="222"/>
    </row>
    <row r="469" spans="1:5" ht="13">
      <c r="A469" s="222"/>
      <c r="B469" s="222"/>
      <c r="C469" s="222"/>
      <c r="D469" s="222"/>
      <c r="E469" s="222"/>
    </row>
    <row r="470" spans="1:5" ht="13">
      <c r="A470" s="222"/>
      <c r="B470" s="222"/>
      <c r="C470" s="222"/>
      <c r="D470" s="222"/>
      <c r="E470" s="222"/>
    </row>
    <row r="471" spans="1:5" ht="13">
      <c r="A471" s="222"/>
      <c r="B471" s="222"/>
      <c r="C471" s="222"/>
      <c r="D471" s="222"/>
      <c r="E471" s="222"/>
    </row>
    <row r="472" spans="1:5" ht="13">
      <c r="A472" s="222"/>
      <c r="B472" s="222"/>
      <c r="C472" s="222"/>
      <c r="D472" s="222"/>
      <c r="E472" s="222"/>
    </row>
    <row r="473" spans="1:5" ht="13">
      <c r="A473" s="222"/>
      <c r="B473" s="222"/>
      <c r="C473" s="222"/>
      <c r="D473" s="222"/>
      <c r="E473" s="222"/>
    </row>
    <row r="474" spans="1:5" ht="13">
      <c r="A474" s="222"/>
      <c r="B474" s="222"/>
      <c r="C474" s="222"/>
      <c r="D474" s="222"/>
      <c r="E474" s="222"/>
    </row>
    <row r="475" spans="1:5" ht="13">
      <c r="A475" s="222"/>
      <c r="B475" s="222"/>
      <c r="C475" s="222"/>
      <c r="D475" s="222"/>
      <c r="E475" s="222"/>
    </row>
    <row r="476" spans="1:5" ht="13">
      <c r="A476" s="222"/>
      <c r="B476" s="222"/>
      <c r="C476" s="222"/>
      <c r="D476" s="222"/>
      <c r="E476" s="222"/>
    </row>
    <row r="477" spans="1:5" ht="13">
      <c r="A477" s="222"/>
      <c r="B477" s="222"/>
      <c r="C477" s="222"/>
      <c r="D477" s="222"/>
      <c r="E477" s="222"/>
    </row>
    <row r="478" spans="1:5" ht="13">
      <c r="A478" s="222"/>
      <c r="B478" s="222"/>
      <c r="C478" s="222"/>
      <c r="D478" s="222"/>
      <c r="E478" s="222"/>
    </row>
    <row r="479" spans="1:5" ht="13">
      <c r="A479" s="222"/>
      <c r="B479" s="222"/>
      <c r="C479" s="222"/>
      <c r="D479" s="222"/>
      <c r="E479" s="222"/>
    </row>
    <row r="480" spans="1:5" ht="13">
      <c r="A480" s="222"/>
      <c r="B480" s="222"/>
      <c r="C480" s="222"/>
      <c r="D480" s="222"/>
      <c r="E480" s="222"/>
    </row>
    <row r="481" spans="1:5" ht="13">
      <c r="A481" s="222"/>
      <c r="B481" s="222"/>
      <c r="C481" s="222"/>
      <c r="D481" s="222"/>
      <c r="E481" s="222"/>
    </row>
    <row r="482" spans="1:5" ht="13">
      <c r="A482" s="222"/>
      <c r="B482" s="222"/>
      <c r="C482" s="222"/>
      <c r="D482" s="222"/>
      <c r="E482" s="222"/>
    </row>
    <row r="483" spans="1:5" ht="13">
      <c r="A483" s="222"/>
      <c r="B483" s="222"/>
      <c r="C483" s="222"/>
      <c r="D483" s="222"/>
      <c r="E483" s="222"/>
    </row>
    <row r="484" spans="1:5" ht="13">
      <c r="A484" s="222"/>
      <c r="B484" s="222"/>
      <c r="C484" s="222"/>
      <c r="D484" s="222"/>
      <c r="E484" s="222"/>
    </row>
    <row r="485" spans="1:5" ht="13">
      <c r="A485" s="222"/>
      <c r="B485" s="222"/>
      <c r="C485" s="222"/>
      <c r="D485" s="222"/>
      <c r="E485" s="222"/>
    </row>
    <row r="486" spans="1:5" ht="13">
      <c r="A486" s="222"/>
      <c r="B486" s="222"/>
      <c r="C486" s="222"/>
      <c r="D486" s="222"/>
      <c r="E486" s="222"/>
    </row>
    <row r="487" spans="1:5" ht="13">
      <c r="A487" s="222"/>
      <c r="B487" s="222"/>
      <c r="C487" s="222"/>
      <c r="D487" s="222"/>
      <c r="E487" s="222"/>
    </row>
    <row r="488" spans="1:5" ht="13">
      <c r="A488" s="222"/>
      <c r="B488" s="222"/>
      <c r="C488" s="222"/>
      <c r="D488" s="222"/>
      <c r="E488" s="222"/>
    </row>
    <row r="489" spans="1:5" ht="13">
      <c r="A489" s="222"/>
      <c r="B489" s="222"/>
      <c r="C489" s="222"/>
      <c r="D489" s="222"/>
      <c r="E489" s="222"/>
    </row>
    <row r="490" spans="1:5" ht="13">
      <c r="A490" s="222"/>
      <c r="B490" s="222"/>
      <c r="C490" s="222"/>
      <c r="D490" s="222"/>
      <c r="E490" s="222"/>
    </row>
    <row r="491" spans="1:5" ht="13">
      <c r="A491" s="222"/>
      <c r="B491" s="222"/>
      <c r="C491" s="222"/>
      <c r="D491" s="222"/>
      <c r="E491" s="222"/>
    </row>
    <row r="492" spans="1:5" ht="13">
      <c r="A492" s="222"/>
      <c r="B492" s="222"/>
      <c r="C492" s="222"/>
      <c r="D492" s="222"/>
      <c r="E492" s="222"/>
    </row>
    <row r="493" spans="1:5" ht="13">
      <c r="A493" s="222"/>
      <c r="B493" s="222"/>
      <c r="C493" s="222"/>
      <c r="D493" s="222"/>
      <c r="E493" s="222"/>
    </row>
    <row r="494" spans="1:5" ht="13">
      <c r="A494" s="222"/>
      <c r="B494" s="222"/>
      <c r="C494" s="222"/>
      <c r="D494" s="222"/>
      <c r="E494" s="222"/>
    </row>
    <row r="495" spans="1:5" ht="13">
      <c r="A495" s="222"/>
      <c r="B495" s="222"/>
      <c r="C495" s="222"/>
      <c r="D495" s="222"/>
      <c r="E495" s="222"/>
    </row>
    <row r="496" spans="1:5" ht="13">
      <c r="A496" s="222"/>
      <c r="B496" s="222"/>
      <c r="C496" s="222"/>
      <c r="D496" s="222"/>
      <c r="E496" s="222"/>
    </row>
    <row r="497" spans="1:5" ht="13">
      <c r="A497" s="222"/>
      <c r="B497" s="222"/>
      <c r="C497" s="222"/>
      <c r="D497" s="222"/>
      <c r="E497" s="222"/>
    </row>
    <row r="498" spans="1:5" ht="13">
      <c r="A498" s="222"/>
      <c r="B498" s="222"/>
      <c r="C498" s="222"/>
      <c r="D498" s="222"/>
      <c r="E498" s="222"/>
    </row>
    <row r="499" spans="1:5" ht="13">
      <c r="A499" s="222"/>
      <c r="B499" s="222"/>
      <c r="C499" s="222"/>
      <c r="D499" s="222"/>
      <c r="E499" s="222"/>
    </row>
    <row r="500" spans="1:5" ht="13">
      <c r="A500" s="222"/>
      <c r="B500" s="222"/>
      <c r="C500" s="222"/>
      <c r="D500" s="222"/>
      <c r="E500" s="222"/>
    </row>
    <row r="501" spans="1:5" ht="13">
      <c r="A501" s="222"/>
      <c r="B501" s="222"/>
      <c r="C501" s="222"/>
      <c r="D501" s="222"/>
      <c r="E501" s="222"/>
    </row>
    <row r="502" spans="1:5" ht="13">
      <c r="A502" s="222"/>
      <c r="B502" s="222"/>
      <c r="C502" s="222"/>
      <c r="D502" s="222"/>
      <c r="E502" s="222"/>
    </row>
    <row r="503" spans="1:5" ht="13">
      <c r="A503" s="222"/>
      <c r="B503" s="222"/>
      <c r="C503" s="222"/>
      <c r="D503" s="222"/>
      <c r="E503" s="222"/>
    </row>
    <row r="504" spans="1:5" ht="13">
      <c r="A504" s="222"/>
      <c r="B504" s="222"/>
      <c r="C504" s="222"/>
      <c r="D504" s="222"/>
      <c r="E504" s="222"/>
    </row>
    <row r="505" spans="1:5" ht="13">
      <c r="A505" s="222"/>
      <c r="B505" s="222"/>
      <c r="C505" s="222"/>
      <c r="D505" s="222"/>
      <c r="E505" s="222"/>
    </row>
    <row r="506" spans="1:5" ht="13">
      <c r="A506" s="222"/>
      <c r="B506" s="222"/>
      <c r="C506" s="222"/>
      <c r="D506" s="222"/>
      <c r="E506" s="222"/>
    </row>
    <row r="507" spans="1:5" ht="13">
      <c r="A507" s="222"/>
      <c r="B507" s="222"/>
      <c r="C507" s="222"/>
      <c r="D507" s="222"/>
      <c r="E507" s="222"/>
    </row>
    <row r="508" spans="1:5" ht="13">
      <c r="A508" s="222"/>
      <c r="B508" s="222"/>
      <c r="C508" s="222"/>
      <c r="D508" s="222"/>
      <c r="E508" s="222"/>
    </row>
    <row r="509" spans="1:5" ht="13">
      <c r="A509" s="222"/>
      <c r="B509" s="222"/>
      <c r="C509" s="222"/>
      <c r="D509" s="222"/>
      <c r="E509" s="222"/>
    </row>
    <row r="510" spans="1:5" ht="13">
      <c r="A510" s="222"/>
      <c r="B510" s="222"/>
      <c r="C510" s="222"/>
      <c r="D510" s="222"/>
      <c r="E510" s="222"/>
    </row>
    <row r="511" spans="1:5" ht="13">
      <c r="A511" s="222"/>
      <c r="B511" s="222"/>
      <c r="C511" s="222"/>
      <c r="D511" s="222"/>
      <c r="E511" s="222"/>
    </row>
    <row r="512" spans="1:5" ht="13">
      <c r="A512" s="222"/>
      <c r="B512" s="222"/>
      <c r="C512" s="222"/>
      <c r="D512" s="222"/>
      <c r="E512" s="222"/>
    </row>
    <row r="513" spans="1:5" ht="13">
      <c r="A513" s="222"/>
      <c r="B513" s="222"/>
      <c r="C513" s="222"/>
      <c r="D513" s="222"/>
      <c r="E513" s="222"/>
    </row>
    <row r="514" spans="1:5" ht="13">
      <c r="A514" s="222"/>
      <c r="B514" s="222"/>
      <c r="C514" s="222"/>
      <c r="D514" s="222"/>
      <c r="E514" s="222"/>
    </row>
    <row r="515" spans="1:5" ht="13">
      <c r="A515" s="222"/>
      <c r="B515" s="222"/>
      <c r="C515" s="222"/>
      <c r="D515" s="222"/>
      <c r="E515" s="222"/>
    </row>
    <row r="516" spans="1:5" ht="13">
      <c r="A516" s="222"/>
      <c r="B516" s="222"/>
      <c r="C516" s="222"/>
      <c r="D516" s="222"/>
      <c r="E516" s="222"/>
    </row>
    <row r="517" spans="1:5" ht="13">
      <c r="A517" s="222"/>
      <c r="B517" s="222"/>
      <c r="C517" s="222"/>
      <c r="D517" s="222"/>
      <c r="E517" s="222"/>
    </row>
    <row r="518" spans="1:5" ht="13">
      <c r="A518" s="222"/>
      <c r="B518" s="222"/>
      <c r="C518" s="222"/>
      <c r="D518" s="222"/>
      <c r="E518" s="222"/>
    </row>
    <row r="519" spans="1:5" ht="13">
      <c r="A519" s="222"/>
      <c r="B519" s="222"/>
      <c r="C519" s="222"/>
      <c r="D519" s="222"/>
      <c r="E519" s="222"/>
    </row>
    <row r="520" spans="1:5" ht="13">
      <c r="A520" s="222"/>
      <c r="B520" s="222"/>
      <c r="C520" s="222"/>
      <c r="D520" s="222"/>
      <c r="E520" s="222"/>
    </row>
    <row r="521" spans="1:5" ht="13">
      <c r="A521" s="222"/>
      <c r="B521" s="222"/>
      <c r="C521" s="222"/>
      <c r="D521" s="222"/>
      <c r="E521" s="222"/>
    </row>
    <row r="522" spans="1:5" ht="13">
      <c r="A522" s="222"/>
      <c r="B522" s="222"/>
      <c r="C522" s="222"/>
      <c r="D522" s="222"/>
      <c r="E522" s="222"/>
    </row>
    <row r="523" spans="1:5" ht="13">
      <c r="A523" s="222"/>
      <c r="B523" s="222"/>
      <c r="C523" s="222"/>
      <c r="D523" s="222"/>
      <c r="E523" s="222"/>
    </row>
    <row r="524" spans="1:5" ht="13">
      <c r="A524" s="222"/>
      <c r="B524" s="222"/>
      <c r="C524" s="222"/>
      <c r="D524" s="222"/>
      <c r="E524" s="222"/>
    </row>
    <row r="525" spans="1:5" ht="13">
      <c r="A525" s="222"/>
      <c r="B525" s="222"/>
      <c r="C525" s="222"/>
      <c r="D525" s="222"/>
      <c r="E525" s="222"/>
    </row>
    <row r="526" spans="1:5" ht="13">
      <c r="A526" s="222"/>
      <c r="B526" s="222"/>
      <c r="C526" s="222"/>
      <c r="D526" s="222"/>
      <c r="E526" s="222"/>
    </row>
    <row r="527" spans="1:5" ht="13">
      <c r="A527" s="222"/>
      <c r="B527" s="222"/>
      <c r="C527" s="222"/>
      <c r="D527" s="222"/>
      <c r="E527" s="222"/>
    </row>
    <row r="528" spans="1:5" ht="13">
      <c r="A528" s="222"/>
      <c r="B528" s="222"/>
      <c r="C528" s="222"/>
      <c r="D528" s="222"/>
      <c r="E528" s="222"/>
    </row>
    <row r="529" spans="1:5" ht="13">
      <c r="A529" s="222"/>
      <c r="B529" s="222"/>
      <c r="C529" s="222"/>
      <c r="D529" s="222"/>
      <c r="E529" s="222"/>
    </row>
    <row r="530" spans="1:5" ht="13">
      <c r="A530" s="222"/>
      <c r="B530" s="222"/>
      <c r="C530" s="222"/>
      <c r="D530" s="222"/>
      <c r="E530" s="222"/>
    </row>
    <row r="531" spans="1:5" ht="13">
      <c r="A531" s="222"/>
      <c r="B531" s="222"/>
      <c r="C531" s="222"/>
      <c r="D531" s="222"/>
      <c r="E531" s="222"/>
    </row>
    <row r="532" spans="1:5" ht="13">
      <c r="A532" s="222"/>
      <c r="B532" s="222"/>
      <c r="C532" s="222"/>
      <c r="D532" s="222"/>
      <c r="E532" s="222"/>
    </row>
    <row r="533" spans="1:5" ht="13">
      <c r="A533" s="222"/>
      <c r="B533" s="222"/>
      <c r="C533" s="222"/>
      <c r="D533" s="222"/>
      <c r="E533" s="222"/>
    </row>
    <row r="534" spans="1:5" ht="13">
      <c r="A534" s="222"/>
      <c r="B534" s="222"/>
      <c r="C534" s="222"/>
      <c r="D534" s="222"/>
      <c r="E534" s="222"/>
    </row>
    <row r="535" spans="1:5" ht="13">
      <c r="A535" s="222"/>
      <c r="B535" s="222"/>
      <c r="C535" s="222"/>
      <c r="D535" s="222"/>
      <c r="E535" s="222"/>
    </row>
    <row r="536" spans="1:5" ht="13">
      <c r="A536" s="222"/>
      <c r="B536" s="222"/>
      <c r="C536" s="222"/>
      <c r="D536" s="222"/>
      <c r="E536" s="222"/>
    </row>
    <row r="537" spans="1:5" ht="13">
      <c r="A537" s="222"/>
      <c r="B537" s="222"/>
      <c r="C537" s="222"/>
      <c r="D537" s="222"/>
      <c r="E537" s="222"/>
    </row>
    <row r="538" spans="1:5" ht="13">
      <c r="A538" s="222"/>
      <c r="B538" s="222"/>
      <c r="C538" s="222"/>
      <c r="D538" s="222"/>
      <c r="E538" s="222"/>
    </row>
    <row r="539" spans="1:5" ht="13">
      <c r="A539" s="222"/>
      <c r="B539" s="222"/>
      <c r="C539" s="222"/>
      <c r="D539" s="222"/>
      <c r="E539" s="222"/>
    </row>
    <row r="540" spans="1:5" ht="13">
      <c r="A540" s="222"/>
      <c r="B540" s="222"/>
      <c r="C540" s="222"/>
      <c r="D540" s="222"/>
      <c r="E540" s="222"/>
    </row>
    <row r="541" spans="1:5" ht="13">
      <c r="A541" s="222"/>
      <c r="B541" s="222"/>
      <c r="C541" s="222"/>
      <c r="D541" s="222"/>
      <c r="E541" s="222"/>
    </row>
    <row r="542" spans="1:5" ht="13">
      <c r="A542" s="222"/>
      <c r="B542" s="222"/>
      <c r="C542" s="222"/>
      <c r="D542" s="222"/>
      <c r="E542" s="222"/>
    </row>
    <row r="543" spans="1:5" ht="13">
      <c r="A543" s="222"/>
      <c r="B543" s="222"/>
      <c r="C543" s="222"/>
      <c r="D543" s="222"/>
      <c r="E543" s="222"/>
    </row>
    <row r="544" spans="1:5" ht="13">
      <c r="A544" s="222"/>
      <c r="B544" s="222"/>
      <c r="C544" s="222"/>
      <c r="D544" s="222"/>
      <c r="E544" s="222"/>
    </row>
    <row r="545" spans="1:5" ht="13">
      <c r="A545" s="222"/>
      <c r="B545" s="222"/>
      <c r="C545" s="222"/>
      <c r="D545" s="222"/>
      <c r="E545" s="222"/>
    </row>
    <row r="546" spans="1:5" ht="13">
      <c r="A546" s="222"/>
      <c r="B546" s="222"/>
      <c r="C546" s="222"/>
      <c r="D546" s="222"/>
      <c r="E546" s="222"/>
    </row>
    <row r="547" spans="1:5" ht="13">
      <c r="A547" s="222"/>
      <c r="B547" s="222"/>
      <c r="C547" s="222"/>
      <c r="D547" s="222"/>
      <c r="E547" s="222"/>
    </row>
    <row r="548" spans="1:5" ht="13">
      <c r="A548" s="222"/>
      <c r="B548" s="222"/>
      <c r="C548" s="222"/>
      <c r="D548" s="222"/>
      <c r="E548" s="222"/>
    </row>
    <row r="549" spans="1:5" ht="13">
      <c r="A549" s="222"/>
      <c r="B549" s="222"/>
      <c r="C549" s="222"/>
      <c r="D549" s="222"/>
      <c r="E549" s="222"/>
    </row>
    <row r="550" spans="1:5" ht="13">
      <c r="A550" s="222"/>
      <c r="B550" s="222"/>
      <c r="C550" s="222"/>
      <c r="D550" s="222"/>
      <c r="E550" s="222"/>
    </row>
    <row r="551" spans="1:5" ht="13">
      <c r="A551" s="222"/>
      <c r="B551" s="222"/>
      <c r="C551" s="222"/>
      <c r="D551" s="222"/>
      <c r="E551" s="222"/>
    </row>
    <row r="552" spans="1:5" ht="13">
      <c r="A552" s="222"/>
      <c r="B552" s="222"/>
      <c r="C552" s="222"/>
      <c r="D552" s="222"/>
      <c r="E552" s="222"/>
    </row>
    <row r="553" spans="1:5" ht="13">
      <c r="A553" s="222"/>
      <c r="B553" s="222"/>
      <c r="C553" s="222"/>
      <c r="D553" s="222"/>
      <c r="E553" s="222"/>
    </row>
    <row r="554" spans="1:5" ht="13">
      <c r="A554" s="222"/>
      <c r="B554" s="222"/>
      <c r="C554" s="222"/>
      <c r="D554" s="222"/>
      <c r="E554" s="222"/>
    </row>
    <row r="555" spans="1:5" ht="13">
      <c r="A555" s="222"/>
      <c r="B555" s="222"/>
      <c r="C555" s="222"/>
      <c r="D555" s="222"/>
      <c r="E555" s="222"/>
    </row>
    <row r="556" spans="1:5" ht="13">
      <c r="A556" s="222"/>
      <c r="B556" s="222"/>
      <c r="C556" s="222"/>
      <c r="D556" s="222"/>
      <c r="E556" s="222"/>
    </row>
    <row r="557" spans="1:5" ht="13">
      <c r="A557" s="222"/>
      <c r="B557" s="222"/>
      <c r="C557" s="222"/>
      <c r="D557" s="222"/>
      <c r="E557" s="222"/>
    </row>
    <row r="558" spans="1:5" ht="13">
      <c r="A558" s="222"/>
      <c r="B558" s="222"/>
      <c r="C558" s="222"/>
      <c r="D558" s="222"/>
      <c r="E558" s="222"/>
    </row>
    <row r="559" spans="1:5" ht="13">
      <c r="A559" s="222"/>
      <c r="B559" s="222"/>
      <c r="C559" s="222"/>
      <c r="D559" s="222"/>
      <c r="E559" s="222"/>
    </row>
    <row r="560" spans="1:5" ht="13">
      <c r="A560" s="222"/>
      <c r="B560" s="222"/>
      <c r="C560" s="222"/>
      <c r="D560" s="222"/>
      <c r="E560" s="222"/>
    </row>
    <row r="561" spans="1:5" ht="13">
      <c r="A561" s="222"/>
      <c r="B561" s="222"/>
      <c r="C561" s="222"/>
      <c r="D561" s="222"/>
      <c r="E561" s="222"/>
    </row>
    <row r="562" spans="1:5" ht="13">
      <c r="A562" s="222"/>
      <c r="B562" s="222"/>
      <c r="C562" s="222"/>
      <c r="D562" s="222"/>
      <c r="E562" s="222"/>
    </row>
    <row r="563" spans="1:5" ht="13">
      <c r="A563" s="222"/>
      <c r="B563" s="222"/>
      <c r="C563" s="222"/>
      <c r="D563" s="222"/>
      <c r="E563" s="222"/>
    </row>
    <row r="564" spans="1:5" ht="13">
      <c r="A564" s="222"/>
      <c r="B564" s="222"/>
      <c r="C564" s="222"/>
      <c r="D564" s="222"/>
      <c r="E564" s="222"/>
    </row>
    <row r="565" spans="1:5" ht="13">
      <c r="A565" s="222"/>
      <c r="B565" s="222"/>
      <c r="C565" s="222"/>
      <c r="D565" s="222"/>
      <c r="E565" s="222"/>
    </row>
    <row r="566" spans="1:5" ht="13">
      <c r="A566" s="222"/>
      <c r="B566" s="222"/>
      <c r="C566" s="222"/>
      <c r="D566" s="222"/>
      <c r="E566" s="222"/>
    </row>
    <row r="567" spans="1:5" ht="13">
      <c r="A567" s="222"/>
      <c r="B567" s="222"/>
      <c r="C567" s="222"/>
      <c r="D567" s="222"/>
      <c r="E567" s="222"/>
    </row>
    <row r="568" spans="1:5" ht="13">
      <c r="A568" s="222"/>
      <c r="B568" s="222"/>
      <c r="C568" s="222"/>
      <c r="D568" s="222"/>
      <c r="E568" s="222"/>
    </row>
    <row r="569" spans="1:5" ht="13">
      <c r="A569" s="222"/>
      <c r="B569" s="222"/>
      <c r="C569" s="222"/>
      <c r="D569" s="222"/>
      <c r="E569" s="222"/>
    </row>
    <row r="570" spans="1:5" ht="13">
      <c r="A570" s="222"/>
      <c r="B570" s="222"/>
      <c r="C570" s="222"/>
      <c r="D570" s="222"/>
      <c r="E570" s="222"/>
    </row>
    <row r="571" spans="1:5" ht="13">
      <c r="A571" s="222"/>
      <c r="B571" s="222"/>
      <c r="C571" s="222"/>
      <c r="D571" s="222"/>
      <c r="E571" s="222"/>
    </row>
    <row r="572" spans="1:5" ht="13">
      <c r="A572" s="222"/>
      <c r="B572" s="222"/>
      <c r="C572" s="222"/>
      <c r="D572" s="222"/>
      <c r="E572" s="222"/>
    </row>
    <row r="573" spans="1:5" ht="13">
      <c r="A573" s="222"/>
      <c r="B573" s="222"/>
      <c r="C573" s="222"/>
      <c r="D573" s="222"/>
      <c r="E573" s="222"/>
    </row>
    <row r="574" spans="1:5" ht="13">
      <c r="A574" s="222"/>
      <c r="B574" s="222"/>
      <c r="C574" s="222"/>
      <c r="D574" s="222"/>
      <c r="E574" s="222"/>
    </row>
    <row r="575" spans="1:5" ht="13">
      <c r="A575" s="222"/>
      <c r="B575" s="222"/>
      <c r="C575" s="222"/>
      <c r="D575" s="222"/>
      <c r="E575" s="222"/>
    </row>
    <row r="576" spans="1:5" ht="13">
      <c r="A576" s="222"/>
      <c r="B576" s="222"/>
      <c r="C576" s="222"/>
      <c r="D576" s="222"/>
      <c r="E576" s="222"/>
    </row>
    <row r="577" spans="1:5" ht="13">
      <c r="A577" s="222"/>
      <c r="B577" s="222"/>
      <c r="C577" s="222"/>
      <c r="D577" s="222"/>
      <c r="E577" s="222"/>
    </row>
    <row r="578" spans="1:5" ht="13">
      <c r="A578" s="222"/>
      <c r="B578" s="222"/>
      <c r="C578" s="222"/>
      <c r="D578" s="222"/>
      <c r="E578" s="222"/>
    </row>
    <row r="579" spans="1:5" ht="13">
      <c r="A579" s="222"/>
      <c r="B579" s="222"/>
      <c r="C579" s="222"/>
      <c r="D579" s="222"/>
      <c r="E579" s="222"/>
    </row>
    <row r="580" spans="1:5" ht="13">
      <c r="A580" s="222"/>
      <c r="B580" s="222"/>
      <c r="C580" s="222"/>
      <c r="D580" s="222"/>
      <c r="E580" s="222"/>
    </row>
    <row r="581" spans="1:5" ht="13">
      <c r="A581" s="222"/>
      <c r="B581" s="222"/>
      <c r="C581" s="222"/>
      <c r="D581" s="222"/>
      <c r="E581" s="222"/>
    </row>
    <row r="582" spans="1:5" ht="13">
      <c r="A582" s="222"/>
      <c r="B582" s="222"/>
      <c r="C582" s="222"/>
      <c r="D582" s="222"/>
      <c r="E582" s="222"/>
    </row>
    <row r="583" spans="1:5" ht="13">
      <c r="A583" s="222"/>
      <c r="B583" s="222"/>
      <c r="C583" s="222"/>
      <c r="D583" s="222"/>
      <c r="E583" s="222"/>
    </row>
    <row r="584" spans="1:5" ht="13">
      <c r="A584" s="222"/>
      <c r="B584" s="222"/>
      <c r="C584" s="222"/>
      <c r="D584" s="222"/>
      <c r="E584" s="222"/>
    </row>
    <row r="585" spans="1:5" ht="13">
      <c r="A585" s="222"/>
      <c r="B585" s="222"/>
      <c r="C585" s="222"/>
      <c r="D585" s="222"/>
      <c r="E585" s="222"/>
    </row>
    <row r="586" spans="1:5" ht="13">
      <c r="A586" s="222"/>
      <c r="B586" s="222"/>
      <c r="C586" s="222"/>
      <c r="D586" s="222"/>
      <c r="E586" s="222"/>
    </row>
    <row r="587" spans="1:5" ht="13">
      <c r="A587" s="222"/>
      <c r="B587" s="222"/>
      <c r="C587" s="222"/>
      <c r="D587" s="222"/>
      <c r="E587" s="222"/>
    </row>
    <row r="588" spans="1:5" ht="13">
      <c r="A588" s="222"/>
      <c r="B588" s="222"/>
      <c r="C588" s="222"/>
      <c r="D588" s="222"/>
      <c r="E588" s="222"/>
    </row>
    <row r="589" spans="1:5" ht="13">
      <c r="A589" s="222"/>
      <c r="B589" s="222"/>
      <c r="C589" s="222"/>
      <c r="D589" s="222"/>
      <c r="E589" s="222"/>
    </row>
    <row r="590" spans="1:5" ht="13">
      <c r="A590" s="222"/>
      <c r="B590" s="222"/>
      <c r="C590" s="222"/>
      <c r="D590" s="222"/>
      <c r="E590" s="222"/>
    </row>
    <row r="591" spans="1:5" ht="13">
      <c r="A591" s="222"/>
      <c r="B591" s="222"/>
      <c r="C591" s="222"/>
      <c r="D591" s="222"/>
      <c r="E591" s="222"/>
    </row>
    <row r="592" spans="1:5" ht="13">
      <c r="A592" s="222"/>
      <c r="B592" s="222"/>
      <c r="C592" s="222"/>
      <c r="D592" s="222"/>
      <c r="E592" s="222"/>
    </row>
    <row r="593" spans="1:5" ht="13">
      <c r="A593" s="222"/>
      <c r="B593" s="222"/>
      <c r="C593" s="222"/>
      <c r="D593" s="222"/>
      <c r="E593" s="222"/>
    </row>
    <row r="594" spans="1:5" ht="13">
      <c r="A594" s="222"/>
      <c r="B594" s="222"/>
      <c r="C594" s="222"/>
      <c r="D594" s="222"/>
      <c r="E594" s="222"/>
    </row>
    <row r="595" spans="1:5" ht="13">
      <c r="A595" s="222"/>
      <c r="B595" s="222"/>
      <c r="C595" s="222"/>
      <c r="D595" s="222"/>
      <c r="E595" s="222"/>
    </row>
    <row r="596" spans="1:5" ht="13">
      <c r="A596" s="222"/>
      <c r="B596" s="222"/>
      <c r="C596" s="222"/>
      <c r="D596" s="222"/>
      <c r="E596" s="222"/>
    </row>
    <row r="597" spans="1:5" ht="13">
      <c r="A597" s="222"/>
      <c r="B597" s="222"/>
      <c r="C597" s="222"/>
      <c r="D597" s="222"/>
      <c r="E597" s="222"/>
    </row>
    <row r="598" spans="1:5" ht="13">
      <c r="A598" s="222"/>
      <c r="B598" s="222"/>
      <c r="C598" s="222"/>
      <c r="D598" s="222"/>
      <c r="E598" s="222"/>
    </row>
    <row r="599" spans="1:5" ht="13">
      <c r="A599" s="222"/>
      <c r="B599" s="222"/>
      <c r="C599" s="222"/>
      <c r="D599" s="222"/>
      <c r="E599" s="222"/>
    </row>
    <row r="600" spans="1:5" ht="13">
      <c r="A600" s="222"/>
      <c r="B600" s="222"/>
      <c r="C600" s="222"/>
      <c r="D600" s="222"/>
      <c r="E600" s="222"/>
    </row>
    <row r="601" spans="1:5" ht="13">
      <c r="A601" s="222"/>
      <c r="B601" s="222"/>
      <c r="C601" s="222"/>
      <c r="D601" s="222"/>
      <c r="E601" s="222"/>
    </row>
    <row r="602" spans="1:5" ht="13">
      <c r="A602" s="222"/>
      <c r="B602" s="222"/>
      <c r="C602" s="222"/>
      <c r="D602" s="222"/>
      <c r="E602" s="222"/>
    </row>
    <row r="603" spans="1:5" ht="13">
      <c r="A603" s="222"/>
      <c r="B603" s="222"/>
      <c r="C603" s="222"/>
      <c r="D603" s="222"/>
      <c r="E603" s="222"/>
    </row>
    <row r="604" spans="1:5" ht="13">
      <c r="A604" s="222"/>
      <c r="B604" s="222"/>
      <c r="C604" s="222"/>
      <c r="D604" s="222"/>
      <c r="E604" s="222"/>
    </row>
    <row r="605" spans="1:5" ht="13">
      <c r="A605" s="222"/>
      <c r="B605" s="222"/>
      <c r="C605" s="222"/>
      <c r="D605" s="222"/>
      <c r="E605" s="222"/>
    </row>
    <row r="606" spans="1:5" ht="13">
      <c r="A606" s="222"/>
      <c r="B606" s="222"/>
      <c r="C606" s="222"/>
      <c r="D606" s="222"/>
      <c r="E606" s="222"/>
    </row>
    <row r="607" spans="1:5" ht="13">
      <c r="A607" s="222"/>
      <c r="B607" s="222"/>
      <c r="C607" s="222"/>
      <c r="D607" s="222"/>
      <c r="E607" s="222"/>
    </row>
    <row r="608" spans="1:5" ht="13">
      <c r="A608" s="222"/>
      <c r="B608" s="222"/>
      <c r="C608" s="222"/>
      <c r="D608" s="222"/>
      <c r="E608" s="222"/>
    </row>
    <row r="609" spans="1:5" ht="13">
      <c r="A609" s="222"/>
      <c r="B609" s="222"/>
      <c r="C609" s="222"/>
      <c r="D609" s="222"/>
      <c r="E609" s="222"/>
    </row>
    <row r="610" spans="1:5" ht="13">
      <c r="A610" s="222"/>
      <c r="B610" s="222"/>
      <c r="C610" s="222"/>
      <c r="D610" s="222"/>
      <c r="E610" s="222"/>
    </row>
    <row r="611" spans="1:5" ht="13">
      <c r="A611" s="222"/>
      <c r="B611" s="222"/>
      <c r="C611" s="222"/>
      <c r="D611" s="222"/>
      <c r="E611" s="222"/>
    </row>
    <row r="612" spans="1:5" ht="13">
      <c r="A612" s="222"/>
      <c r="B612" s="222"/>
      <c r="C612" s="222"/>
      <c r="D612" s="222"/>
      <c r="E612" s="222"/>
    </row>
    <row r="613" spans="1:5" ht="13">
      <c r="A613" s="222"/>
      <c r="B613" s="222"/>
      <c r="C613" s="222"/>
      <c r="D613" s="222"/>
      <c r="E613" s="222"/>
    </row>
    <row r="614" spans="1:5" ht="13">
      <c r="A614" s="222"/>
      <c r="B614" s="222"/>
      <c r="C614" s="222"/>
      <c r="D614" s="222"/>
      <c r="E614" s="222"/>
    </row>
    <row r="615" spans="1:5" ht="13">
      <c r="A615" s="222"/>
      <c r="B615" s="222"/>
      <c r="C615" s="222"/>
      <c r="D615" s="222"/>
      <c r="E615" s="222"/>
    </row>
    <row r="616" spans="1:5" ht="13">
      <c r="A616" s="222"/>
      <c r="B616" s="222"/>
      <c r="C616" s="222"/>
      <c r="D616" s="222"/>
      <c r="E616" s="222"/>
    </row>
    <row r="617" spans="1:5" ht="13">
      <c r="A617" s="222"/>
      <c r="B617" s="222"/>
      <c r="C617" s="222"/>
      <c r="D617" s="222"/>
      <c r="E617" s="222"/>
    </row>
    <row r="618" spans="1:5" ht="13">
      <c r="A618" s="222"/>
      <c r="B618" s="222"/>
      <c r="C618" s="222"/>
      <c r="D618" s="222"/>
      <c r="E618" s="222"/>
    </row>
    <row r="619" spans="1:5" ht="13">
      <c r="A619" s="222"/>
      <c r="B619" s="222"/>
      <c r="C619" s="222"/>
      <c r="D619" s="222"/>
      <c r="E619" s="222"/>
    </row>
    <row r="620" spans="1:5" ht="13">
      <c r="A620" s="222"/>
      <c r="B620" s="222"/>
      <c r="C620" s="222"/>
      <c r="D620" s="222"/>
      <c r="E620" s="222"/>
    </row>
    <row r="621" spans="1:5" ht="13">
      <c r="A621" s="222"/>
      <c r="B621" s="222"/>
      <c r="C621" s="222"/>
      <c r="D621" s="222"/>
      <c r="E621" s="222"/>
    </row>
    <row r="622" spans="1:5" ht="13">
      <c r="A622" s="222"/>
      <c r="B622" s="222"/>
      <c r="C622" s="222"/>
      <c r="D622" s="222"/>
      <c r="E622" s="222"/>
    </row>
    <row r="623" spans="1:5" ht="13">
      <c r="A623" s="222"/>
      <c r="B623" s="222"/>
      <c r="C623" s="222"/>
      <c r="D623" s="222"/>
      <c r="E623" s="222"/>
    </row>
    <row r="624" spans="1:5" ht="13">
      <c r="A624" s="222"/>
      <c r="B624" s="222"/>
      <c r="C624" s="222"/>
      <c r="D624" s="222"/>
      <c r="E624" s="222"/>
    </row>
    <row r="625" spans="1:5" ht="13">
      <c r="A625" s="222"/>
      <c r="B625" s="222"/>
      <c r="C625" s="222"/>
      <c r="D625" s="222"/>
      <c r="E625" s="222"/>
    </row>
    <row r="626" spans="1:5" ht="13">
      <c r="A626" s="222"/>
      <c r="B626" s="222"/>
      <c r="C626" s="222"/>
      <c r="D626" s="222"/>
      <c r="E626" s="222"/>
    </row>
    <row r="627" spans="1:5" ht="13">
      <c r="A627" s="222"/>
      <c r="B627" s="222"/>
      <c r="C627" s="222"/>
      <c r="D627" s="222"/>
      <c r="E627" s="222"/>
    </row>
    <row r="628" spans="1:5" ht="13">
      <c r="A628" s="222"/>
      <c r="B628" s="222"/>
      <c r="C628" s="222"/>
      <c r="D628" s="222"/>
      <c r="E628" s="222"/>
    </row>
    <row r="629" spans="1:5" ht="13">
      <c r="A629" s="222"/>
      <c r="B629" s="222"/>
      <c r="C629" s="222"/>
      <c r="D629" s="222"/>
      <c r="E629" s="222"/>
    </row>
    <row r="630" spans="1:5" ht="13">
      <c r="A630" s="222"/>
      <c r="B630" s="222"/>
      <c r="C630" s="222"/>
      <c r="D630" s="222"/>
      <c r="E630" s="222"/>
    </row>
    <row r="631" spans="1:5" ht="13">
      <c r="A631" s="222"/>
      <c r="B631" s="222"/>
      <c r="C631" s="222"/>
      <c r="D631" s="222"/>
      <c r="E631" s="222"/>
    </row>
    <row r="632" spans="1:5" ht="13">
      <c r="A632" s="222"/>
      <c r="B632" s="222"/>
      <c r="C632" s="222"/>
      <c r="D632" s="222"/>
      <c r="E632" s="222"/>
    </row>
    <row r="633" spans="1:5" ht="13">
      <c r="A633" s="222"/>
      <c r="B633" s="222"/>
      <c r="C633" s="222"/>
      <c r="D633" s="222"/>
      <c r="E633" s="222"/>
    </row>
    <row r="634" spans="1:5" ht="13">
      <c r="A634" s="222"/>
      <c r="B634" s="222"/>
      <c r="C634" s="222"/>
      <c r="D634" s="222"/>
      <c r="E634" s="222"/>
    </row>
    <row r="635" spans="1:5" ht="13">
      <c r="A635" s="222"/>
      <c r="B635" s="222"/>
      <c r="C635" s="222"/>
      <c r="D635" s="222"/>
      <c r="E635" s="222"/>
    </row>
    <row r="636" spans="1:5" ht="13">
      <c r="A636" s="222"/>
      <c r="B636" s="222"/>
      <c r="C636" s="222"/>
      <c r="D636" s="222"/>
      <c r="E636" s="222"/>
    </row>
    <row r="637" spans="1:5" ht="13">
      <c r="A637" s="222"/>
      <c r="B637" s="222"/>
      <c r="C637" s="222"/>
      <c r="D637" s="222"/>
      <c r="E637" s="222"/>
    </row>
    <row r="638" spans="1:5" ht="13">
      <c r="A638" s="222"/>
      <c r="B638" s="222"/>
      <c r="C638" s="222"/>
      <c r="D638" s="222"/>
      <c r="E638" s="222"/>
    </row>
    <row r="639" spans="1:5" ht="13">
      <c r="A639" s="222"/>
      <c r="B639" s="222"/>
      <c r="C639" s="222"/>
      <c r="D639" s="222"/>
      <c r="E639" s="222"/>
    </row>
    <row r="640" spans="1:5" ht="13">
      <c r="A640" s="222"/>
      <c r="B640" s="222"/>
      <c r="C640" s="222"/>
      <c r="D640" s="222"/>
      <c r="E640" s="222"/>
    </row>
    <row r="641" spans="1:5" ht="13">
      <c r="A641" s="222"/>
      <c r="B641" s="222"/>
      <c r="C641" s="222"/>
      <c r="D641" s="222"/>
      <c r="E641" s="222"/>
    </row>
    <row r="642" spans="1:5" ht="13">
      <c r="A642" s="222"/>
      <c r="B642" s="222"/>
      <c r="C642" s="222"/>
      <c r="D642" s="222"/>
      <c r="E642" s="222"/>
    </row>
    <row r="643" spans="1:5" ht="13">
      <c r="A643" s="222"/>
      <c r="B643" s="222"/>
      <c r="C643" s="222"/>
      <c r="D643" s="222"/>
      <c r="E643" s="222"/>
    </row>
    <row r="644" spans="1:5" ht="13">
      <c r="A644" s="222"/>
      <c r="B644" s="222"/>
      <c r="C644" s="222"/>
      <c r="D644" s="222"/>
      <c r="E644" s="222"/>
    </row>
    <row r="645" spans="1:5" ht="13">
      <c r="A645" s="222"/>
      <c r="B645" s="222"/>
      <c r="C645" s="222"/>
      <c r="D645" s="222"/>
      <c r="E645" s="222"/>
    </row>
    <row r="646" spans="1:5" ht="13">
      <c r="A646" s="222"/>
      <c r="B646" s="222"/>
      <c r="C646" s="222"/>
      <c r="D646" s="222"/>
      <c r="E646" s="222"/>
    </row>
    <row r="647" spans="1:5" ht="13">
      <c r="A647" s="222"/>
      <c r="B647" s="222"/>
      <c r="C647" s="222"/>
      <c r="D647" s="222"/>
      <c r="E647" s="222"/>
    </row>
    <row r="648" spans="1:5" ht="13">
      <c r="A648" s="222"/>
      <c r="B648" s="222"/>
      <c r="C648" s="222"/>
      <c r="D648" s="222"/>
      <c r="E648" s="222"/>
    </row>
    <row r="649" spans="1:5" ht="13">
      <c r="A649" s="222"/>
      <c r="B649" s="222"/>
      <c r="C649" s="222"/>
      <c r="D649" s="222"/>
      <c r="E649" s="222"/>
    </row>
    <row r="650" spans="1:5" ht="13">
      <c r="A650" s="222"/>
      <c r="B650" s="222"/>
      <c r="C650" s="222"/>
      <c r="D650" s="222"/>
      <c r="E650" s="222"/>
    </row>
    <row r="651" spans="1:5" ht="13">
      <c r="A651" s="222"/>
      <c r="B651" s="222"/>
      <c r="C651" s="222"/>
      <c r="D651" s="222"/>
      <c r="E651" s="222"/>
    </row>
    <row r="652" spans="1:5" ht="13">
      <c r="A652" s="222"/>
      <c r="B652" s="222"/>
      <c r="C652" s="222"/>
      <c r="D652" s="222"/>
      <c r="E652" s="222"/>
    </row>
    <row r="653" spans="1:5" ht="13">
      <c r="A653" s="222"/>
      <c r="B653" s="222"/>
      <c r="C653" s="222"/>
      <c r="D653" s="222"/>
      <c r="E653" s="222"/>
    </row>
    <row r="654" spans="1:5" ht="13">
      <c r="A654" s="222"/>
      <c r="B654" s="222"/>
      <c r="C654" s="222"/>
      <c r="D654" s="222"/>
      <c r="E654" s="222"/>
    </row>
    <row r="655" spans="1:5" ht="13">
      <c r="A655" s="222"/>
      <c r="B655" s="222"/>
      <c r="C655" s="222"/>
      <c r="D655" s="222"/>
      <c r="E655" s="222"/>
    </row>
    <row r="656" spans="1:5" ht="13">
      <c r="A656" s="222"/>
      <c r="B656" s="222"/>
      <c r="C656" s="222"/>
      <c r="D656" s="222"/>
      <c r="E656" s="222"/>
    </row>
    <row r="657" spans="1:5" ht="13">
      <c r="A657" s="222"/>
      <c r="B657" s="222"/>
      <c r="C657" s="222"/>
      <c r="D657" s="222"/>
      <c r="E657" s="222"/>
    </row>
    <row r="658" spans="1:5" ht="13">
      <c r="A658" s="222"/>
      <c r="B658" s="222"/>
      <c r="C658" s="222"/>
      <c r="D658" s="222"/>
      <c r="E658" s="222"/>
    </row>
    <row r="659" spans="1:5" ht="13">
      <c r="A659" s="222"/>
      <c r="B659" s="222"/>
      <c r="C659" s="222"/>
      <c r="D659" s="222"/>
      <c r="E659" s="222"/>
    </row>
    <row r="660" spans="1:5" ht="13">
      <c r="A660" s="222"/>
      <c r="B660" s="222"/>
      <c r="C660" s="222"/>
      <c r="D660" s="222"/>
      <c r="E660" s="222"/>
    </row>
    <row r="661" spans="1:5" ht="13">
      <c r="A661" s="222"/>
      <c r="B661" s="222"/>
      <c r="C661" s="222"/>
      <c r="D661" s="222"/>
      <c r="E661" s="222"/>
    </row>
    <row r="662" spans="1:5" ht="13">
      <c r="A662" s="222"/>
      <c r="B662" s="222"/>
      <c r="C662" s="222"/>
      <c r="D662" s="222"/>
      <c r="E662" s="222"/>
    </row>
    <row r="663" spans="1:5" ht="13">
      <c r="A663" s="222"/>
      <c r="B663" s="222"/>
      <c r="C663" s="222"/>
      <c r="D663" s="222"/>
      <c r="E663" s="222"/>
    </row>
    <row r="664" spans="1:5" ht="13">
      <c r="A664" s="222"/>
      <c r="B664" s="222"/>
      <c r="C664" s="222"/>
      <c r="D664" s="222"/>
      <c r="E664" s="222"/>
    </row>
    <row r="665" spans="1:5" ht="13">
      <c r="A665" s="222"/>
      <c r="B665" s="222"/>
      <c r="C665" s="222"/>
      <c r="D665" s="222"/>
      <c r="E665" s="222"/>
    </row>
    <row r="666" spans="1:5" ht="13">
      <c r="A666" s="222"/>
      <c r="B666" s="222"/>
      <c r="C666" s="222"/>
      <c r="D666" s="222"/>
      <c r="E666" s="222"/>
    </row>
    <row r="667" spans="1:5" ht="13">
      <c r="A667" s="222"/>
      <c r="B667" s="222"/>
      <c r="C667" s="222"/>
      <c r="D667" s="222"/>
      <c r="E667" s="222"/>
    </row>
    <row r="668" spans="1:5" ht="13">
      <c r="A668" s="222"/>
      <c r="B668" s="222"/>
      <c r="C668" s="222"/>
      <c r="D668" s="222"/>
      <c r="E668" s="222"/>
    </row>
    <row r="669" spans="1:5" ht="13">
      <c r="A669" s="222"/>
      <c r="B669" s="222"/>
      <c r="C669" s="222"/>
      <c r="D669" s="222"/>
      <c r="E669" s="222"/>
    </row>
    <row r="670" spans="1:5" ht="13">
      <c r="A670" s="222"/>
      <c r="B670" s="222"/>
      <c r="C670" s="222"/>
      <c r="D670" s="222"/>
      <c r="E670" s="222"/>
    </row>
    <row r="671" spans="1:5" ht="13">
      <c r="A671" s="222"/>
      <c r="B671" s="222"/>
      <c r="C671" s="222"/>
      <c r="D671" s="222"/>
      <c r="E671" s="222"/>
    </row>
    <row r="672" spans="1:5" ht="13">
      <c r="A672" s="222"/>
      <c r="B672" s="222"/>
      <c r="C672" s="222"/>
      <c r="D672" s="222"/>
      <c r="E672" s="222"/>
    </row>
    <row r="673" spans="1:5" ht="13">
      <c r="A673" s="222"/>
      <c r="B673" s="222"/>
      <c r="C673" s="222"/>
      <c r="D673" s="222"/>
      <c r="E673" s="222"/>
    </row>
    <row r="674" spans="1:5" ht="13">
      <c r="A674" s="222"/>
      <c r="B674" s="222"/>
      <c r="C674" s="222"/>
      <c r="D674" s="222"/>
      <c r="E674" s="222"/>
    </row>
    <row r="675" spans="1:5" ht="13">
      <c r="A675" s="222"/>
      <c r="B675" s="222"/>
      <c r="C675" s="222"/>
      <c r="D675" s="222"/>
      <c r="E675" s="222"/>
    </row>
    <row r="676" spans="1:5" ht="13">
      <c r="A676" s="222"/>
      <c r="B676" s="222"/>
      <c r="C676" s="222"/>
      <c r="D676" s="222"/>
      <c r="E676" s="222"/>
    </row>
    <row r="677" spans="1:5" ht="13">
      <c r="A677" s="222"/>
      <c r="B677" s="222"/>
      <c r="C677" s="222"/>
      <c r="D677" s="222"/>
      <c r="E677" s="222"/>
    </row>
    <row r="678" spans="1:5" ht="13">
      <c r="A678" s="222"/>
      <c r="B678" s="222"/>
      <c r="C678" s="222"/>
      <c r="D678" s="222"/>
      <c r="E678" s="222"/>
    </row>
    <row r="679" spans="1:5" ht="13">
      <c r="A679" s="222"/>
      <c r="B679" s="222"/>
      <c r="C679" s="222"/>
      <c r="D679" s="222"/>
      <c r="E679" s="222"/>
    </row>
    <row r="680" spans="1:5" ht="13">
      <c r="A680" s="222"/>
      <c r="B680" s="222"/>
      <c r="C680" s="222"/>
      <c r="D680" s="222"/>
      <c r="E680" s="222"/>
    </row>
    <row r="681" spans="1:5" ht="13">
      <c r="A681" s="222"/>
      <c r="B681" s="222"/>
      <c r="C681" s="222"/>
      <c r="D681" s="222"/>
      <c r="E681" s="222"/>
    </row>
    <row r="682" spans="1:5" ht="13">
      <c r="A682" s="222"/>
      <c r="B682" s="222"/>
      <c r="C682" s="222"/>
      <c r="D682" s="222"/>
      <c r="E682" s="222"/>
    </row>
    <row r="683" spans="1:5" ht="13">
      <c r="A683" s="222"/>
      <c r="B683" s="222"/>
      <c r="C683" s="222"/>
      <c r="D683" s="222"/>
      <c r="E683" s="222"/>
    </row>
    <row r="684" spans="1:5" ht="13">
      <c r="A684" s="222"/>
      <c r="B684" s="222"/>
      <c r="C684" s="222"/>
      <c r="D684" s="222"/>
      <c r="E684" s="222"/>
    </row>
    <row r="685" spans="1:5" ht="13">
      <c r="A685" s="222"/>
      <c r="B685" s="222"/>
      <c r="C685" s="222"/>
      <c r="D685" s="222"/>
      <c r="E685" s="222"/>
    </row>
    <row r="686" spans="1:5" ht="13">
      <c r="A686" s="222"/>
      <c r="B686" s="222"/>
      <c r="C686" s="222"/>
      <c r="D686" s="222"/>
      <c r="E686" s="222"/>
    </row>
    <row r="687" spans="1:5" ht="13">
      <c r="A687" s="222"/>
      <c r="B687" s="222"/>
      <c r="C687" s="222"/>
      <c r="D687" s="222"/>
      <c r="E687" s="222"/>
    </row>
    <row r="688" spans="1:5" ht="13">
      <c r="A688" s="222"/>
      <c r="B688" s="222"/>
      <c r="C688" s="222"/>
      <c r="D688" s="222"/>
      <c r="E688" s="222"/>
    </row>
    <row r="689" spans="1:5" ht="13">
      <c r="A689" s="222"/>
      <c r="B689" s="222"/>
      <c r="C689" s="222"/>
      <c r="D689" s="222"/>
      <c r="E689" s="222"/>
    </row>
    <row r="690" spans="1:5" ht="13">
      <c r="A690" s="222"/>
      <c r="B690" s="222"/>
      <c r="C690" s="222"/>
      <c r="D690" s="222"/>
      <c r="E690" s="222"/>
    </row>
    <row r="691" spans="1:5" ht="13">
      <c r="A691" s="222"/>
      <c r="B691" s="222"/>
      <c r="C691" s="222"/>
      <c r="D691" s="222"/>
      <c r="E691" s="222"/>
    </row>
    <row r="692" spans="1:5" ht="13">
      <c r="A692" s="222"/>
      <c r="B692" s="222"/>
      <c r="C692" s="222"/>
      <c r="D692" s="222"/>
      <c r="E692" s="222"/>
    </row>
    <row r="693" spans="1:5" ht="13">
      <c r="A693" s="222"/>
      <c r="B693" s="222"/>
      <c r="C693" s="222"/>
      <c r="D693" s="222"/>
      <c r="E693" s="222"/>
    </row>
    <row r="694" spans="1:5" ht="13">
      <c r="A694" s="222"/>
      <c r="B694" s="222"/>
      <c r="C694" s="222"/>
      <c r="D694" s="222"/>
      <c r="E694" s="222"/>
    </row>
    <row r="695" spans="1:5" ht="13">
      <c r="A695" s="222"/>
      <c r="B695" s="222"/>
      <c r="C695" s="222"/>
      <c r="D695" s="222"/>
      <c r="E695" s="222"/>
    </row>
    <row r="696" spans="1:5" ht="13">
      <c r="A696" s="222"/>
      <c r="B696" s="222"/>
      <c r="C696" s="222"/>
      <c r="D696" s="222"/>
      <c r="E696" s="222"/>
    </row>
    <row r="697" spans="1:5" ht="13">
      <c r="A697" s="222"/>
      <c r="B697" s="222"/>
      <c r="C697" s="222"/>
      <c r="D697" s="222"/>
      <c r="E697" s="222"/>
    </row>
    <row r="698" spans="1:5" ht="13">
      <c r="A698" s="222"/>
      <c r="B698" s="222"/>
      <c r="C698" s="222"/>
      <c r="D698" s="222"/>
      <c r="E698" s="222"/>
    </row>
    <row r="699" spans="1:5" ht="13">
      <c r="A699" s="222"/>
      <c r="B699" s="222"/>
      <c r="C699" s="222"/>
      <c r="D699" s="222"/>
      <c r="E699" s="222"/>
    </row>
    <row r="700" spans="1:5" ht="13">
      <c r="A700" s="222"/>
      <c r="B700" s="222"/>
      <c r="C700" s="222"/>
      <c r="D700" s="222"/>
      <c r="E700" s="222"/>
    </row>
    <row r="701" spans="1:5" ht="13">
      <c r="A701" s="222"/>
      <c r="B701" s="222"/>
      <c r="C701" s="222"/>
      <c r="D701" s="222"/>
      <c r="E701" s="222"/>
    </row>
    <row r="702" spans="1:5" ht="13">
      <c r="A702" s="222"/>
      <c r="B702" s="222"/>
      <c r="C702" s="222"/>
      <c r="D702" s="222"/>
      <c r="E702" s="222"/>
    </row>
    <row r="703" spans="1:5" ht="13">
      <c r="A703" s="222"/>
      <c r="B703" s="222"/>
      <c r="C703" s="222"/>
      <c r="D703" s="222"/>
      <c r="E703" s="222"/>
    </row>
    <row r="704" spans="1:5" ht="13">
      <c r="A704" s="222"/>
      <c r="B704" s="222"/>
      <c r="C704" s="222"/>
      <c r="D704" s="222"/>
      <c r="E704" s="222"/>
    </row>
    <row r="705" spans="1:5" ht="13">
      <c r="A705" s="222"/>
      <c r="B705" s="222"/>
      <c r="C705" s="222"/>
      <c r="D705" s="222"/>
      <c r="E705" s="222"/>
    </row>
    <row r="706" spans="1:5" ht="13">
      <c r="A706" s="222"/>
      <c r="B706" s="222"/>
      <c r="C706" s="222"/>
      <c r="D706" s="222"/>
      <c r="E706" s="222"/>
    </row>
    <row r="707" spans="1:5" ht="13">
      <c r="A707" s="222"/>
      <c r="B707" s="222"/>
      <c r="C707" s="222"/>
      <c r="D707" s="222"/>
      <c r="E707" s="222"/>
    </row>
    <row r="708" spans="1:5" ht="13">
      <c r="A708" s="222"/>
      <c r="B708" s="222"/>
      <c r="C708" s="222"/>
      <c r="D708" s="222"/>
      <c r="E708" s="222"/>
    </row>
    <row r="709" spans="1:5" ht="13">
      <c r="A709" s="222"/>
      <c r="B709" s="222"/>
      <c r="C709" s="222"/>
      <c r="D709" s="222"/>
      <c r="E709" s="222"/>
    </row>
    <row r="710" spans="1:5" ht="13">
      <c r="A710" s="222"/>
      <c r="B710" s="222"/>
      <c r="C710" s="222"/>
      <c r="D710" s="222"/>
      <c r="E710" s="222"/>
    </row>
    <row r="711" spans="1:5" ht="13">
      <c r="A711" s="222"/>
      <c r="B711" s="222"/>
      <c r="C711" s="222"/>
      <c r="D711" s="222"/>
      <c r="E711" s="222"/>
    </row>
    <row r="712" spans="1:5" ht="13">
      <c r="A712" s="222"/>
      <c r="B712" s="222"/>
      <c r="C712" s="222"/>
      <c r="D712" s="222"/>
      <c r="E712" s="222"/>
    </row>
    <row r="713" spans="1:5" ht="13">
      <c r="A713" s="222"/>
      <c r="B713" s="222"/>
      <c r="C713" s="222"/>
      <c r="D713" s="222"/>
      <c r="E713" s="222"/>
    </row>
    <row r="714" spans="1:5" ht="13">
      <c r="A714" s="222"/>
      <c r="B714" s="222"/>
      <c r="C714" s="222"/>
      <c r="D714" s="222"/>
      <c r="E714" s="222"/>
    </row>
    <row r="715" spans="1:5" ht="13">
      <c r="A715" s="222"/>
      <c r="B715" s="222"/>
      <c r="C715" s="222"/>
      <c r="D715" s="222"/>
      <c r="E715" s="222"/>
    </row>
    <row r="716" spans="1:5" ht="13">
      <c r="A716" s="222"/>
      <c r="B716" s="222"/>
      <c r="C716" s="222"/>
      <c r="D716" s="222"/>
      <c r="E716" s="222"/>
    </row>
    <row r="717" spans="1:5" ht="13">
      <c r="A717" s="222"/>
      <c r="B717" s="222"/>
      <c r="C717" s="222"/>
      <c r="D717" s="222"/>
      <c r="E717" s="222"/>
    </row>
    <row r="718" spans="1:5" ht="13">
      <c r="A718" s="222"/>
      <c r="B718" s="222"/>
      <c r="C718" s="222"/>
      <c r="D718" s="222"/>
      <c r="E718" s="222"/>
    </row>
    <row r="719" spans="1:5" ht="13">
      <c r="A719" s="222"/>
      <c r="B719" s="222"/>
      <c r="C719" s="222"/>
      <c r="D719" s="222"/>
      <c r="E719" s="222"/>
    </row>
    <row r="720" spans="1:5" ht="13">
      <c r="A720" s="222"/>
      <c r="B720" s="222"/>
      <c r="C720" s="222"/>
      <c r="D720" s="222"/>
      <c r="E720" s="222"/>
    </row>
    <row r="721" spans="1:5" ht="13">
      <c r="A721" s="222"/>
      <c r="B721" s="222"/>
      <c r="C721" s="222"/>
      <c r="D721" s="222"/>
      <c r="E721" s="222"/>
    </row>
    <row r="722" spans="1:5" ht="13">
      <c r="A722" s="222"/>
      <c r="B722" s="222"/>
      <c r="C722" s="222"/>
      <c r="D722" s="222"/>
      <c r="E722" s="222"/>
    </row>
    <row r="723" spans="1:5" ht="13">
      <c r="A723" s="222"/>
      <c r="B723" s="222"/>
      <c r="C723" s="222"/>
      <c r="D723" s="222"/>
      <c r="E723" s="222"/>
    </row>
    <row r="724" spans="1:5" ht="13">
      <c r="A724" s="222"/>
      <c r="B724" s="222"/>
      <c r="C724" s="222"/>
      <c r="D724" s="222"/>
      <c r="E724" s="222"/>
    </row>
    <row r="725" spans="1:5" ht="13">
      <c r="A725" s="222"/>
      <c r="B725" s="222"/>
      <c r="C725" s="222"/>
      <c r="D725" s="222"/>
      <c r="E725" s="222"/>
    </row>
    <row r="726" spans="1:5" ht="13">
      <c r="A726" s="222"/>
      <c r="B726" s="222"/>
      <c r="C726" s="222"/>
      <c r="D726" s="222"/>
      <c r="E726" s="222"/>
    </row>
    <row r="727" spans="1:5" ht="13">
      <c r="A727" s="222"/>
      <c r="B727" s="222"/>
      <c r="C727" s="222"/>
      <c r="D727" s="222"/>
      <c r="E727" s="222"/>
    </row>
    <row r="728" spans="1:5" ht="13">
      <c r="A728" s="222"/>
      <c r="B728" s="222"/>
      <c r="C728" s="222"/>
      <c r="D728" s="222"/>
      <c r="E728" s="222"/>
    </row>
    <row r="729" spans="1:5" ht="13">
      <c r="A729" s="222"/>
      <c r="B729" s="222"/>
      <c r="C729" s="222"/>
      <c r="D729" s="222"/>
      <c r="E729" s="222"/>
    </row>
    <row r="730" spans="1:5" ht="13">
      <c r="A730" s="222"/>
      <c r="B730" s="222"/>
      <c r="C730" s="222"/>
      <c r="D730" s="222"/>
      <c r="E730" s="222"/>
    </row>
    <row r="731" spans="1:5" ht="13">
      <c r="A731" s="222"/>
      <c r="B731" s="222"/>
      <c r="C731" s="222"/>
      <c r="D731" s="222"/>
      <c r="E731" s="222"/>
    </row>
    <row r="732" spans="1:5" ht="13">
      <c r="A732" s="222"/>
      <c r="B732" s="222"/>
      <c r="C732" s="222"/>
      <c r="D732" s="222"/>
      <c r="E732" s="222"/>
    </row>
    <row r="733" spans="1:5" ht="13">
      <c r="A733" s="222"/>
      <c r="B733" s="222"/>
      <c r="C733" s="222"/>
      <c r="D733" s="222"/>
      <c r="E733" s="222"/>
    </row>
    <row r="734" spans="1:5" ht="13">
      <c r="A734" s="222"/>
      <c r="B734" s="222"/>
      <c r="C734" s="222"/>
      <c r="D734" s="222"/>
      <c r="E734" s="222"/>
    </row>
    <row r="735" spans="1:5" ht="13">
      <c r="A735" s="222"/>
      <c r="B735" s="222"/>
      <c r="C735" s="222"/>
      <c r="D735" s="222"/>
      <c r="E735" s="222"/>
    </row>
    <row r="736" spans="1:5" ht="13">
      <c r="A736" s="222"/>
      <c r="B736" s="222"/>
      <c r="C736" s="222"/>
      <c r="D736" s="222"/>
      <c r="E736" s="222"/>
    </row>
    <row r="737" spans="1:5" ht="13">
      <c r="A737" s="222"/>
      <c r="B737" s="222"/>
      <c r="C737" s="222"/>
      <c r="D737" s="222"/>
      <c r="E737" s="222"/>
    </row>
    <row r="738" spans="1:5" ht="13">
      <c r="A738" s="222"/>
      <c r="B738" s="222"/>
      <c r="C738" s="222"/>
      <c r="D738" s="222"/>
      <c r="E738" s="222"/>
    </row>
    <row r="739" spans="1:5" ht="13">
      <c r="A739" s="222"/>
      <c r="B739" s="222"/>
      <c r="C739" s="222"/>
      <c r="D739" s="222"/>
      <c r="E739" s="222"/>
    </row>
    <row r="740" spans="1:5" ht="13">
      <c r="A740" s="222"/>
      <c r="B740" s="222"/>
      <c r="C740" s="222"/>
      <c r="D740" s="222"/>
      <c r="E740" s="222"/>
    </row>
    <row r="741" spans="1:5" ht="13">
      <c r="A741" s="222"/>
      <c r="B741" s="222"/>
      <c r="C741" s="222"/>
      <c r="D741" s="222"/>
      <c r="E741" s="222"/>
    </row>
    <row r="742" spans="1:5" ht="13">
      <c r="A742" s="222"/>
      <c r="B742" s="222"/>
      <c r="C742" s="222"/>
      <c r="D742" s="222"/>
      <c r="E742" s="222"/>
    </row>
    <row r="743" spans="1:5" ht="13">
      <c r="A743" s="222"/>
      <c r="B743" s="222"/>
      <c r="C743" s="222"/>
      <c r="D743" s="222"/>
      <c r="E743" s="222"/>
    </row>
    <row r="744" spans="1:5" ht="13">
      <c r="A744" s="222"/>
      <c r="B744" s="222"/>
      <c r="C744" s="222"/>
      <c r="D744" s="222"/>
      <c r="E744" s="222"/>
    </row>
    <row r="745" spans="1:5" ht="13">
      <c r="A745" s="222"/>
      <c r="B745" s="222"/>
      <c r="C745" s="222"/>
      <c r="D745" s="222"/>
      <c r="E745" s="222"/>
    </row>
    <row r="746" spans="1:5" ht="13">
      <c r="A746" s="222"/>
      <c r="B746" s="222"/>
      <c r="C746" s="222"/>
      <c r="D746" s="222"/>
      <c r="E746" s="222"/>
    </row>
    <row r="747" spans="1:5" ht="13">
      <c r="A747" s="222"/>
      <c r="B747" s="222"/>
      <c r="C747" s="222"/>
      <c r="D747" s="222"/>
      <c r="E747" s="222"/>
    </row>
    <row r="748" spans="1:5" ht="13">
      <c r="A748" s="222"/>
      <c r="B748" s="222"/>
      <c r="C748" s="222"/>
      <c r="D748" s="222"/>
      <c r="E748" s="222"/>
    </row>
    <row r="749" spans="1:5" ht="13">
      <c r="A749" s="222"/>
      <c r="B749" s="222"/>
      <c r="C749" s="222"/>
      <c r="D749" s="222"/>
      <c r="E749" s="222"/>
    </row>
    <row r="750" spans="1:5" ht="13">
      <c r="A750" s="222"/>
      <c r="B750" s="222"/>
      <c r="C750" s="222"/>
      <c r="D750" s="222"/>
      <c r="E750" s="222"/>
    </row>
    <row r="751" spans="1:5" ht="13">
      <c r="A751" s="222"/>
      <c r="B751" s="222"/>
      <c r="C751" s="222"/>
      <c r="D751" s="222"/>
      <c r="E751" s="222"/>
    </row>
    <row r="752" spans="1:5" ht="13">
      <c r="A752" s="222"/>
      <c r="B752" s="222"/>
      <c r="C752" s="222"/>
      <c r="D752" s="222"/>
      <c r="E752" s="222"/>
    </row>
    <row r="753" spans="1:5" ht="13">
      <c r="A753" s="222"/>
      <c r="B753" s="222"/>
      <c r="C753" s="222"/>
      <c r="D753" s="222"/>
      <c r="E753" s="222"/>
    </row>
    <row r="754" spans="1:5" ht="13">
      <c r="A754" s="222"/>
      <c r="B754" s="222"/>
      <c r="C754" s="222"/>
      <c r="D754" s="222"/>
      <c r="E754" s="222"/>
    </row>
    <row r="755" spans="1:5" ht="13">
      <c r="A755" s="222"/>
      <c r="B755" s="222"/>
      <c r="C755" s="222"/>
      <c r="D755" s="222"/>
      <c r="E755" s="222"/>
    </row>
    <row r="756" spans="1:5" ht="13">
      <c r="A756" s="222"/>
      <c r="B756" s="222"/>
      <c r="C756" s="222"/>
      <c r="D756" s="222"/>
      <c r="E756" s="222"/>
    </row>
    <row r="757" spans="1:5" ht="13">
      <c r="A757" s="222"/>
      <c r="B757" s="222"/>
      <c r="C757" s="222"/>
      <c r="D757" s="222"/>
      <c r="E757" s="222"/>
    </row>
    <row r="758" spans="1:5" ht="13">
      <c r="A758" s="222"/>
      <c r="B758" s="222"/>
      <c r="C758" s="222"/>
      <c r="D758" s="222"/>
      <c r="E758" s="222"/>
    </row>
    <row r="759" spans="1:5" ht="13">
      <c r="A759" s="222"/>
      <c r="B759" s="222"/>
      <c r="C759" s="222"/>
      <c r="D759" s="222"/>
      <c r="E759" s="222"/>
    </row>
    <row r="760" spans="1:5" ht="13">
      <c r="A760" s="222"/>
      <c r="B760" s="222"/>
      <c r="C760" s="222"/>
      <c r="D760" s="222"/>
      <c r="E760" s="222"/>
    </row>
    <row r="761" spans="1:5" ht="13">
      <c r="A761" s="222"/>
      <c r="B761" s="222"/>
      <c r="C761" s="222"/>
      <c r="D761" s="222"/>
      <c r="E761" s="222"/>
    </row>
    <row r="762" spans="1:5" ht="13">
      <c r="A762" s="222"/>
      <c r="B762" s="222"/>
      <c r="C762" s="222"/>
      <c r="D762" s="222"/>
      <c r="E762" s="222"/>
    </row>
    <row r="763" spans="1:5" ht="13">
      <c r="A763" s="222"/>
      <c r="B763" s="222"/>
      <c r="C763" s="222"/>
      <c r="D763" s="222"/>
      <c r="E763" s="222"/>
    </row>
    <row r="764" spans="1:5" ht="13">
      <c r="A764" s="222"/>
      <c r="B764" s="222"/>
      <c r="C764" s="222"/>
      <c r="D764" s="222"/>
      <c r="E764" s="222"/>
    </row>
    <row r="765" spans="1:5" ht="13">
      <c r="A765" s="222"/>
      <c r="B765" s="222"/>
      <c r="C765" s="222"/>
      <c r="D765" s="222"/>
      <c r="E765" s="222"/>
    </row>
    <row r="766" spans="1:5" ht="13">
      <c r="A766" s="222"/>
      <c r="B766" s="222"/>
      <c r="C766" s="222"/>
      <c r="D766" s="222"/>
      <c r="E766" s="222"/>
    </row>
    <row r="767" spans="1:5" ht="13">
      <c r="A767" s="222"/>
      <c r="B767" s="222"/>
      <c r="C767" s="222"/>
      <c r="D767" s="222"/>
      <c r="E767" s="222"/>
    </row>
    <row r="768" spans="1:5" ht="13">
      <c r="A768" s="222"/>
      <c r="B768" s="222"/>
      <c r="C768" s="222"/>
      <c r="D768" s="222"/>
      <c r="E768" s="222"/>
    </row>
    <row r="769" spans="1:5" ht="13">
      <c r="A769" s="222"/>
      <c r="B769" s="222"/>
      <c r="C769" s="222"/>
      <c r="D769" s="222"/>
      <c r="E769" s="222"/>
    </row>
    <row r="770" spans="1:5" ht="13">
      <c r="A770" s="222"/>
      <c r="B770" s="222"/>
      <c r="C770" s="222"/>
      <c r="D770" s="222"/>
      <c r="E770" s="222"/>
    </row>
    <row r="771" spans="1:5" ht="13">
      <c r="A771" s="222"/>
      <c r="B771" s="222"/>
      <c r="C771" s="222"/>
      <c r="D771" s="222"/>
      <c r="E771" s="222"/>
    </row>
    <row r="772" spans="1:5" ht="13">
      <c r="A772" s="222"/>
      <c r="B772" s="222"/>
      <c r="C772" s="222"/>
      <c r="D772" s="222"/>
      <c r="E772" s="222"/>
    </row>
    <row r="773" spans="1:5" ht="13">
      <c r="A773" s="222"/>
      <c r="B773" s="222"/>
      <c r="C773" s="222"/>
      <c r="D773" s="222"/>
      <c r="E773" s="222"/>
    </row>
    <row r="774" spans="1:5" ht="13">
      <c r="A774" s="222"/>
      <c r="B774" s="222"/>
      <c r="C774" s="222"/>
      <c r="D774" s="222"/>
      <c r="E774" s="222"/>
    </row>
    <row r="775" spans="1:5" ht="13">
      <c r="A775" s="222"/>
      <c r="B775" s="222"/>
      <c r="C775" s="222"/>
      <c r="D775" s="222"/>
      <c r="E775" s="222"/>
    </row>
    <row r="776" spans="1:5" ht="13">
      <c r="A776" s="222"/>
      <c r="B776" s="222"/>
      <c r="C776" s="222"/>
      <c r="D776" s="222"/>
      <c r="E776" s="222"/>
    </row>
    <row r="777" spans="1:5" ht="13">
      <c r="A777" s="222"/>
      <c r="B777" s="222"/>
      <c r="C777" s="222"/>
      <c r="D777" s="222"/>
      <c r="E777" s="222"/>
    </row>
    <row r="778" spans="1:5" ht="13">
      <c r="A778" s="222"/>
      <c r="B778" s="222"/>
      <c r="C778" s="222"/>
      <c r="D778" s="222"/>
      <c r="E778" s="222"/>
    </row>
    <row r="779" spans="1:5" ht="13">
      <c r="A779" s="222"/>
      <c r="B779" s="222"/>
      <c r="C779" s="222"/>
      <c r="D779" s="222"/>
      <c r="E779" s="222"/>
    </row>
    <row r="780" spans="1:5" ht="13">
      <c r="A780" s="222"/>
      <c r="B780" s="222"/>
      <c r="C780" s="222"/>
      <c r="D780" s="222"/>
      <c r="E780" s="222"/>
    </row>
    <row r="781" spans="1:5" ht="13">
      <c r="A781" s="222"/>
      <c r="B781" s="222"/>
      <c r="C781" s="222"/>
      <c r="D781" s="222"/>
      <c r="E781" s="222"/>
    </row>
    <row r="782" spans="1:5" ht="13">
      <c r="A782" s="222"/>
      <c r="B782" s="222"/>
      <c r="C782" s="222"/>
      <c r="D782" s="222"/>
      <c r="E782" s="222"/>
    </row>
    <row r="783" spans="1:5" ht="13">
      <c r="A783" s="222"/>
      <c r="B783" s="222"/>
      <c r="C783" s="222"/>
      <c r="D783" s="222"/>
      <c r="E783" s="222"/>
    </row>
    <row r="784" spans="1:5" ht="13">
      <c r="A784" s="222"/>
      <c r="B784" s="222"/>
      <c r="C784" s="222"/>
      <c r="D784" s="222"/>
      <c r="E784" s="222"/>
    </row>
    <row r="785" spans="1:5" ht="13">
      <c r="A785" s="222"/>
      <c r="B785" s="222"/>
      <c r="C785" s="222"/>
      <c r="D785" s="222"/>
      <c r="E785" s="222"/>
    </row>
    <row r="786" spans="1:5" ht="13">
      <c r="A786" s="222"/>
      <c r="B786" s="222"/>
      <c r="C786" s="222"/>
      <c r="D786" s="222"/>
      <c r="E786" s="222"/>
    </row>
    <row r="787" spans="1:5" ht="13">
      <c r="A787" s="222"/>
      <c r="B787" s="222"/>
      <c r="C787" s="222"/>
      <c r="D787" s="222"/>
      <c r="E787" s="222"/>
    </row>
    <row r="788" spans="1:5" ht="13">
      <c r="A788" s="222"/>
      <c r="B788" s="222"/>
      <c r="C788" s="222"/>
      <c r="D788" s="222"/>
      <c r="E788" s="222"/>
    </row>
    <row r="789" spans="1:5" ht="13">
      <c r="A789" s="222"/>
      <c r="B789" s="222"/>
      <c r="C789" s="222"/>
      <c r="D789" s="222"/>
      <c r="E789" s="222"/>
    </row>
    <row r="790" spans="1:5" ht="13">
      <c r="A790" s="222"/>
      <c r="B790" s="222"/>
      <c r="C790" s="222"/>
      <c r="D790" s="222"/>
      <c r="E790" s="222"/>
    </row>
    <row r="791" spans="1:5" ht="13">
      <c r="A791" s="222"/>
      <c r="B791" s="222"/>
      <c r="C791" s="222"/>
      <c r="D791" s="222"/>
      <c r="E791" s="222"/>
    </row>
    <row r="792" spans="1:5" ht="13">
      <c r="A792" s="222"/>
      <c r="B792" s="222"/>
      <c r="C792" s="222"/>
      <c r="D792" s="222"/>
      <c r="E792" s="222"/>
    </row>
    <row r="793" spans="1:5" ht="13">
      <c r="A793" s="222"/>
      <c r="B793" s="222"/>
      <c r="C793" s="222"/>
      <c r="D793" s="222"/>
      <c r="E793" s="222"/>
    </row>
    <row r="794" spans="1:5" ht="13">
      <c r="A794" s="222"/>
      <c r="B794" s="222"/>
      <c r="C794" s="222"/>
      <c r="D794" s="222"/>
      <c r="E794" s="222"/>
    </row>
    <row r="795" spans="1:5" ht="13">
      <c r="A795" s="222"/>
      <c r="B795" s="222"/>
      <c r="C795" s="222"/>
      <c r="D795" s="222"/>
      <c r="E795" s="222"/>
    </row>
    <row r="796" spans="1:5" ht="13">
      <c r="A796" s="222"/>
      <c r="B796" s="222"/>
      <c r="C796" s="222"/>
      <c r="D796" s="222"/>
      <c r="E796" s="222"/>
    </row>
    <row r="797" spans="1:5" ht="13">
      <c r="A797" s="222"/>
      <c r="B797" s="222"/>
      <c r="C797" s="222"/>
      <c r="D797" s="222"/>
      <c r="E797" s="222"/>
    </row>
    <row r="798" spans="1:5" ht="13">
      <c r="A798" s="222"/>
      <c r="B798" s="222"/>
      <c r="C798" s="222"/>
      <c r="D798" s="222"/>
      <c r="E798" s="222"/>
    </row>
    <row r="799" spans="1:5" ht="13">
      <c r="A799" s="222"/>
      <c r="B799" s="222"/>
      <c r="C799" s="222"/>
      <c r="D799" s="222"/>
      <c r="E799" s="222"/>
    </row>
    <row r="800" spans="1:5" ht="13">
      <c r="A800" s="222"/>
      <c r="B800" s="222"/>
      <c r="C800" s="222"/>
      <c r="D800" s="222"/>
      <c r="E800" s="222"/>
    </row>
    <row r="801" spans="1:5" ht="13">
      <c r="A801" s="222"/>
      <c r="B801" s="222"/>
      <c r="C801" s="222"/>
      <c r="D801" s="222"/>
      <c r="E801" s="222"/>
    </row>
    <row r="802" spans="1:5" ht="13">
      <c r="A802" s="222"/>
      <c r="B802" s="222"/>
      <c r="C802" s="222"/>
      <c r="D802" s="222"/>
      <c r="E802" s="222"/>
    </row>
    <row r="803" spans="1:5" ht="13">
      <c r="A803" s="222"/>
      <c r="B803" s="222"/>
      <c r="C803" s="222"/>
      <c r="D803" s="222"/>
      <c r="E803" s="222"/>
    </row>
    <row r="804" spans="1:5" ht="13">
      <c r="A804" s="222"/>
      <c r="B804" s="222"/>
      <c r="C804" s="222"/>
      <c r="D804" s="222"/>
      <c r="E804" s="222"/>
    </row>
    <row r="805" spans="1:5" ht="13">
      <c r="A805" s="222"/>
      <c r="B805" s="222"/>
      <c r="C805" s="222"/>
      <c r="D805" s="222"/>
      <c r="E805" s="222"/>
    </row>
    <row r="806" spans="1:5" ht="13">
      <c r="A806" s="222"/>
      <c r="B806" s="222"/>
      <c r="C806" s="222"/>
      <c r="D806" s="222"/>
      <c r="E806" s="222"/>
    </row>
    <row r="807" spans="1:5" ht="13">
      <c r="A807" s="222"/>
      <c r="B807" s="222"/>
      <c r="C807" s="222"/>
      <c r="D807" s="222"/>
      <c r="E807" s="222"/>
    </row>
    <row r="808" spans="1:5" ht="13">
      <c r="A808" s="222"/>
      <c r="B808" s="222"/>
      <c r="C808" s="222"/>
      <c r="D808" s="222"/>
      <c r="E808" s="222"/>
    </row>
    <row r="809" spans="1:5" ht="13">
      <c r="A809" s="222"/>
      <c r="B809" s="222"/>
      <c r="C809" s="222"/>
      <c r="D809" s="222"/>
      <c r="E809" s="222"/>
    </row>
    <row r="810" spans="1:5" ht="13">
      <c r="A810" s="222"/>
      <c r="B810" s="222"/>
      <c r="C810" s="222"/>
      <c r="D810" s="222"/>
      <c r="E810" s="222"/>
    </row>
    <row r="811" spans="1:5" ht="13">
      <c r="A811" s="222"/>
      <c r="B811" s="222"/>
      <c r="C811" s="222"/>
      <c r="D811" s="222"/>
      <c r="E811" s="222"/>
    </row>
    <row r="812" spans="1:5" ht="13">
      <c r="A812" s="222"/>
      <c r="B812" s="222"/>
      <c r="C812" s="222"/>
      <c r="D812" s="222"/>
      <c r="E812" s="222"/>
    </row>
    <row r="813" spans="1:5" ht="13">
      <c r="A813" s="222"/>
      <c r="B813" s="222"/>
      <c r="C813" s="222"/>
      <c r="D813" s="222"/>
      <c r="E813" s="222"/>
    </row>
    <row r="814" spans="1:5" ht="13">
      <c r="A814" s="222"/>
      <c r="B814" s="222"/>
      <c r="C814" s="222"/>
      <c r="D814" s="222"/>
      <c r="E814" s="222"/>
    </row>
    <row r="815" spans="1:5" ht="13">
      <c r="A815" s="222"/>
      <c r="B815" s="222"/>
      <c r="C815" s="222"/>
      <c r="D815" s="222"/>
      <c r="E815" s="222"/>
    </row>
    <row r="816" spans="1:5" ht="13">
      <c r="A816" s="222"/>
      <c r="B816" s="222"/>
      <c r="C816" s="222"/>
      <c r="D816" s="222"/>
      <c r="E816" s="222"/>
    </row>
    <row r="817" spans="1:5" ht="13">
      <c r="A817" s="222"/>
      <c r="B817" s="222"/>
      <c r="C817" s="222"/>
      <c r="D817" s="222"/>
      <c r="E817" s="222"/>
    </row>
    <row r="818" spans="1:5" ht="13">
      <c r="A818" s="222"/>
      <c r="B818" s="222"/>
      <c r="C818" s="222"/>
      <c r="D818" s="222"/>
      <c r="E818" s="222"/>
    </row>
    <row r="819" spans="1:5" ht="13">
      <c r="A819" s="222"/>
      <c r="B819" s="222"/>
      <c r="C819" s="222"/>
      <c r="D819" s="222"/>
      <c r="E819" s="222"/>
    </row>
    <row r="820" spans="1:5" ht="13">
      <c r="A820" s="222"/>
      <c r="B820" s="222"/>
      <c r="C820" s="222"/>
      <c r="D820" s="222"/>
      <c r="E820" s="222"/>
    </row>
    <row r="821" spans="1:5" ht="13">
      <c r="A821" s="222"/>
      <c r="B821" s="222"/>
      <c r="C821" s="222"/>
      <c r="D821" s="222"/>
      <c r="E821" s="222"/>
    </row>
    <row r="822" spans="1:5" ht="13">
      <c r="A822" s="222"/>
      <c r="B822" s="222"/>
      <c r="C822" s="222"/>
      <c r="D822" s="222"/>
      <c r="E822" s="222"/>
    </row>
    <row r="823" spans="1:5" ht="13">
      <c r="A823" s="222"/>
      <c r="B823" s="222"/>
      <c r="C823" s="222"/>
      <c r="D823" s="222"/>
      <c r="E823" s="222"/>
    </row>
    <row r="824" spans="1:5" ht="13">
      <c r="A824" s="222"/>
      <c r="B824" s="222"/>
      <c r="C824" s="222"/>
      <c r="D824" s="222"/>
      <c r="E824" s="222"/>
    </row>
    <row r="825" spans="1:5" ht="13">
      <c r="A825" s="222"/>
      <c r="B825" s="222"/>
      <c r="C825" s="222"/>
      <c r="D825" s="222"/>
      <c r="E825" s="222"/>
    </row>
    <row r="826" spans="1:5" ht="13">
      <c r="A826" s="222"/>
      <c r="B826" s="222"/>
      <c r="C826" s="222"/>
      <c r="D826" s="222"/>
      <c r="E826" s="222"/>
    </row>
    <row r="827" spans="1:5" ht="13">
      <c r="A827" s="222"/>
      <c r="B827" s="222"/>
      <c r="C827" s="222"/>
      <c r="D827" s="222"/>
      <c r="E827" s="222"/>
    </row>
    <row r="828" spans="1:5" ht="13">
      <c r="A828" s="222"/>
      <c r="B828" s="222"/>
      <c r="C828" s="222"/>
      <c r="D828" s="222"/>
      <c r="E828" s="222"/>
    </row>
    <row r="829" spans="1:5" ht="13">
      <c r="A829" s="222"/>
      <c r="B829" s="222"/>
      <c r="C829" s="222"/>
      <c r="D829" s="222"/>
      <c r="E829" s="222"/>
    </row>
    <row r="830" spans="1:5" ht="13">
      <c r="A830" s="222"/>
      <c r="B830" s="222"/>
      <c r="C830" s="222"/>
      <c r="D830" s="222"/>
      <c r="E830" s="222"/>
    </row>
    <row r="831" spans="1:5" ht="13">
      <c r="A831" s="222"/>
      <c r="B831" s="222"/>
      <c r="C831" s="222"/>
      <c r="D831" s="222"/>
      <c r="E831" s="222"/>
    </row>
    <row r="832" spans="1:5" ht="13">
      <c r="A832" s="222"/>
      <c r="B832" s="222"/>
      <c r="C832" s="222"/>
      <c r="D832" s="222"/>
      <c r="E832" s="222"/>
    </row>
    <row r="833" spans="1:5" ht="13">
      <c r="A833" s="222"/>
      <c r="B833" s="222"/>
      <c r="C833" s="222"/>
      <c r="D833" s="222"/>
      <c r="E833" s="222"/>
    </row>
    <row r="834" spans="1:5" ht="13">
      <c r="A834" s="222"/>
      <c r="B834" s="222"/>
      <c r="C834" s="222"/>
      <c r="D834" s="222"/>
      <c r="E834" s="222"/>
    </row>
    <row r="835" spans="1:5" ht="13">
      <c r="A835" s="222"/>
      <c r="B835" s="222"/>
      <c r="C835" s="222"/>
      <c r="D835" s="222"/>
      <c r="E835" s="222"/>
    </row>
    <row r="836" spans="1:5" ht="13">
      <c r="A836" s="222"/>
      <c r="B836" s="222"/>
      <c r="C836" s="222"/>
      <c r="D836" s="222"/>
      <c r="E836" s="222"/>
    </row>
    <row r="837" spans="1:5" ht="13">
      <c r="A837" s="222"/>
      <c r="B837" s="222"/>
      <c r="C837" s="222"/>
      <c r="D837" s="222"/>
      <c r="E837" s="222"/>
    </row>
    <row r="838" spans="1:5" ht="13">
      <c r="A838" s="222"/>
      <c r="B838" s="222"/>
      <c r="C838" s="222"/>
      <c r="D838" s="222"/>
      <c r="E838" s="222"/>
    </row>
    <row r="839" spans="1:5" ht="13">
      <c r="A839" s="222"/>
      <c r="B839" s="222"/>
      <c r="C839" s="222"/>
      <c r="D839" s="222"/>
      <c r="E839" s="222"/>
    </row>
    <row r="840" spans="1:5" ht="13">
      <c r="A840" s="222"/>
      <c r="B840" s="222"/>
      <c r="C840" s="222"/>
      <c r="D840" s="222"/>
      <c r="E840" s="222"/>
    </row>
    <row r="841" spans="1:5" ht="13">
      <c r="A841" s="222"/>
      <c r="B841" s="222"/>
      <c r="C841" s="222"/>
      <c r="D841" s="222"/>
      <c r="E841" s="222"/>
    </row>
    <row r="842" spans="1:5" ht="13">
      <c r="A842" s="222"/>
      <c r="B842" s="222"/>
      <c r="C842" s="222"/>
      <c r="D842" s="222"/>
      <c r="E842" s="222"/>
    </row>
    <row r="843" spans="1:5" ht="13">
      <c r="A843" s="222"/>
      <c r="B843" s="222"/>
      <c r="C843" s="222"/>
      <c r="D843" s="222"/>
      <c r="E843" s="222"/>
    </row>
    <row r="844" spans="1:5" ht="13">
      <c r="A844" s="222"/>
      <c r="B844" s="222"/>
      <c r="C844" s="222"/>
      <c r="D844" s="222"/>
      <c r="E844" s="222"/>
    </row>
    <row r="845" spans="1:5" ht="13">
      <c r="A845" s="222"/>
      <c r="B845" s="222"/>
      <c r="C845" s="222"/>
      <c r="D845" s="222"/>
      <c r="E845" s="222"/>
    </row>
    <row r="846" spans="1:5" ht="13">
      <c r="A846" s="222"/>
      <c r="B846" s="222"/>
      <c r="C846" s="222"/>
      <c r="D846" s="222"/>
      <c r="E846" s="222"/>
    </row>
    <row r="847" spans="1:5" ht="13">
      <c r="A847" s="222"/>
      <c r="B847" s="222"/>
      <c r="C847" s="222"/>
      <c r="D847" s="222"/>
      <c r="E847" s="222"/>
    </row>
    <row r="848" spans="1:5" ht="13">
      <c r="A848" s="222"/>
      <c r="B848" s="222"/>
      <c r="C848" s="222"/>
      <c r="D848" s="222"/>
      <c r="E848" s="222"/>
    </row>
    <row r="849" spans="1:5" ht="13">
      <c r="A849" s="222"/>
      <c r="B849" s="222"/>
      <c r="C849" s="222"/>
      <c r="D849" s="222"/>
      <c r="E849" s="222"/>
    </row>
    <row r="850" spans="1:5" ht="13">
      <c r="A850" s="222"/>
      <c r="B850" s="222"/>
      <c r="C850" s="222"/>
      <c r="D850" s="222"/>
      <c r="E850" s="222"/>
    </row>
    <row r="851" spans="1:5" ht="13">
      <c r="A851" s="222"/>
      <c r="B851" s="222"/>
      <c r="C851" s="222"/>
      <c r="D851" s="222"/>
      <c r="E851" s="222"/>
    </row>
    <row r="852" spans="1:5" ht="13">
      <c r="A852" s="222"/>
      <c r="B852" s="222"/>
      <c r="C852" s="222"/>
      <c r="D852" s="222"/>
      <c r="E852" s="222"/>
    </row>
    <row r="853" spans="1:5" ht="13">
      <c r="A853" s="222"/>
      <c r="B853" s="222"/>
      <c r="C853" s="222"/>
      <c r="D853" s="222"/>
      <c r="E853" s="222"/>
    </row>
    <row r="854" spans="1:5" ht="13">
      <c r="A854" s="222"/>
      <c r="B854" s="222"/>
      <c r="C854" s="222"/>
      <c r="D854" s="222"/>
      <c r="E854" s="222"/>
    </row>
    <row r="855" spans="1:5" ht="13">
      <c r="A855" s="222"/>
      <c r="B855" s="222"/>
      <c r="C855" s="222"/>
      <c r="D855" s="222"/>
      <c r="E855" s="222"/>
    </row>
    <row r="856" spans="1:5" ht="13">
      <c r="A856" s="222"/>
      <c r="B856" s="222"/>
      <c r="C856" s="222"/>
      <c r="D856" s="222"/>
      <c r="E856" s="222"/>
    </row>
    <row r="857" spans="1:5" ht="13">
      <c r="A857" s="222"/>
      <c r="B857" s="222"/>
      <c r="C857" s="222"/>
      <c r="D857" s="222"/>
      <c r="E857" s="222"/>
    </row>
    <row r="858" spans="1:5" ht="13">
      <c r="A858" s="222"/>
      <c r="B858" s="222"/>
      <c r="C858" s="222"/>
      <c r="D858" s="222"/>
      <c r="E858" s="222"/>
    </row>
    <row r="859" spans="1:5" ht="13">
      <c r="A859" s="222"/>
      <c r="B859" s="222"/>
      <c r="C859" s="222"/>
      <c r="D859" s="222"/>
      <c r="E859" s="222"/>
    </row>
    <row r="860" spans="1:5" ht="13">
      <c r="A860" s="222"/>
      <c r="B860" s="222"/>
      <c r="C860" s="222"/>
      <c r="D860" s="222"/>
      <c r="E860" s="222"/>
    </row>
    <row r="861" spans="1:5" ht="13">
      <c r="A861" s="222"/>
      <c r="B861" s="222"/>
      <c r="C861" s="222"/>
      <c r="D861" s="222"/>
      <c r="E861" s="222"/>
    </row>
    <row r="862" spans="1:5" ht="13">
      <c r="A862" s="222"/>
      <c r="B862" s="222"/>
      <c r="C862" s="222"/>
      <c r="D862" s="222"/>
      <c r="E862" s="222"/>
    </row>
    <row r="863" spans="1:5" ht="13">
      <c r="A863" s="222"/>
      <c r="B863" s="222"/>
      <c r="C863" s="222"/>
      <c r="D863" s="222"/>
      <c r="E863" s="222"/>
    </row>
    <row r="864" spans="1:5" ht="13">
      <c r="A864" s="222"/>
      <c r="B864" s="222"/>
      <c r="C864" s="222"/>
      <c r="D864" s="222"/>
      <c r="E864" s="222"/>
    </row>
    <row r="865" spans="1:5" ht="13">
      <c r="A865" s="222"/>
      <c r="B865" s="222"/>
      <c r="C865" s="222"/>
      <c r="D865" s="222"/>
      <c r="E865" s="222"/>
    </row>
    <row r="866" spans="1:5" ht="13">
      <c r="A866" s="222"/>
      <c r="B866" s="222"/>
      <c r="C866" s="222"/>
      <c r="D866" s="222"/>
      <c r="E866" s="222"/>
    </row>
    <row r="867" spans="1:5" ht="13">
      <c r="A867" s="222"/>
      <c r="B867" s="222"/>
      <c r="C867" s="222"/>
      <c r="D867" s="222"/>
      <c r="E867" s="222"/>
    </row>
    <row r="868" spans="1:5" ht="13">
      <c r="A868" s="222"/>
      <c r="B868" s="222"/>
      <c r="C868" s="222"/>
      <c r="D868" s="222"/>
      <c r="E868" s="222"/>
    </row>
    <row r="869" spans="1:5" ht="13">
      <c r="A869" s="222"/>
      <c r="B869" s="222"/>
      <c r="C869" s="222"/>
      <c r="D869" s="222"/>
      <c r="E869" s="222"/>
    </row>
    <row r="870" spans="1:5" ht="13">
      <c r="A870" s="222"/>
      <c r="B870" s="222"/>
      <c r="C870" s="222"/>
      <c r="D870" s="222"/>
      <c r="E870" s="222"/>
    </row>
    <row r="871" spans="1:5" ht="13">
      <c r="A871" s="222"/>
      <c r="B871" s="222"/>
      <c r="C871" s="222"/>
      <c r="D871" s="222"/>
      <c r="E871" s="222"/>
    </row>
    <row r="872" spans="1:5" ht="13">
      <c r="A872" s="222"/>
      <c r="B872" s="222"/>
      <c r="C872" s="222"/>
      <c r="D872" s="222"/>
      <c r="E872" s="222"/>
    </row>
    <row r="873" spans="1:5" ht="13">
      <c r="A873" s="222"/>
      <c r="B873" s="222"/>
      <c r="C873" s="222"/>
      <c r="D873" s="222"/>
      <c r="E873" s="222"/>
    </row>
    <row r="874" spans="1:5" ht="13">
      <c r="A874" s="222"/>
      <c r="B874" s="222"/>
      <c r="C874" s="222"/>
      <c r="D874" s="222"/>
      <c r="E874" s="222"/>
    </row>
    <row r="875" spans="1:5" ht="13">
      <c r="A875" s="222"/>
      <c r="B875" s="222"/>
      <c r="C875" s="222"/>
      <c r="D875" s="222"/>
      <c r="E875" s="222"/>
    </row>
    <row r="876" spans="1:5" ht="13">
      <c r="A876" s="222"/>
      <c r="B876" s="222"/>
      <c r="C876" s="222"/>
      <c r="D876" s="222"/>
      <c r="E876" s="222"/>
    </row>
    <row r="877" spans="1:5" ht="13">
      <c r="A877" s="222"/>
      <c r="B877" s="222"/>
      <c r="C877" s="222"/>
      <c r="D877" s="222"/>
      <c r="E877" s="222"/>
    </row>
    <row r="878" spans="1:5" ht="13">
      <c r="A878" s="222"/>
      <c r="B878" s="222"/>
      <c r="C878" s="222"/>
      <c r="D878" s="222"/>
      <c r="E878" s="222"/>
    </row>
    <row r="879" spans="1:5" ht="13">
      <c r="A879" s="222"/>
      <c r="B879" s="222"/>
      <c r="C879" s="222"/>
      <c r="D879" s="222"/>
      <c r="E879" s="222"/>
    </row>
    <row r="880" spans="1:5" ht="13">
      <c r="A880" s="222"/>
      <c r="B880" s="222"/>
      <c r="C880" s="222"/>
      <c r="D880" s="222"/>
      <c r="E880" s="222"/>
    </row>
    <row r="881" spans="1:5" ht="13">
      <c r="A881" s="222"/>
      <c r="B881" s="222"/>
      <c r="C881" s="222"/>
      <c r="D881" s="222"/>
      <c r="E881" s="222"/>
    </row>
    <row r="882" spans="1:5" ht="13">
      <c r="A882" s="222"/>
      <c r="B882" s="222"/>
      <c r="C882" s="222"/>
      <c r="D882" s="222"/>
      <c r="E882" s="222"/>
    </row>
    <row r="883" spans="1:5" ht="13">
      <c r="A883" s="222"/>
      <c r="B883" s="222"/>
      <c r="C883" s="222"/>
      <c r="D883" s="222"/>
      <c r="E883" s="222"/>
    </row>
    <row r="884" spans="1:5" ht="13">
      <c r="A884" s="222"/>
      <c r="B884" s="222"/>
      <c r="C884" s="222"/>
      <c r="D884" s="222"/>
      <c r="E884" s="222"/>
    </row>
    <row r="885" spans="1:5" ht="13">
      <c r="A885" s="222"/>
      <c r="B885" s="222"/>
      <c r="C885" s="222"/>
      <c r="D885" s="222"/>
      <c r="E885" s="222"/>
    </row>
    <row r="886" spans="1:5" ht="13">
      <c r="A886" s="222"/>
      <c r="B886" s="222"/>
      <c r="C886" s="222"/>
      <c r="D886" s="222"/>
      <c r="E886" s="222"/>
    </row>
    <row r="887" spans="1:5" ht="13">
      <c r="A887" s="222"/>
      <c r="B887" s="222"/>
      <c r="C887" s="222"/>
      <c r="D887" s="222"/>
      <c r="E887" s="222"/>
    </row>
    <row r="888" spans="1:5" ht="13">
      <c r="A888" s="222"/>
      <c r="B888" s="222"/>
      <c r="C888" s="222"/>
      <c r="D888" s="222"/>
      <c r="E888" s="222"/>
    </row>
    <row r="889" spans="1:5" ht="13">
      <c r="A889" s="222"/>
      <c r="B889" s="222"/>
      <c r="C889" s="222"/>
      <c r="D889" s="222"/>
      <c r="E889" s="222"/>
    </row>
    <row r="890" spans="1:5" ht="13">
      <c r="A890" s="222"/>
      <c r="B890" s="222"/>
      <c r="C890" s="222"/>
      <c r="D890" s="222"/>
      <c r="E890" s="222"/>
    </row>
    <row r="891" spans="1:5" ht="13">
      <c r="A891" s="222"/>
      <c r="B891" s="222"/>
      <c r="C891" s="222"/>
      <c r="D891" s="222"/>
      <c r="E891" s="222"/>
    </row>
    <row r="892" spans="1:5" ht="13">
      <c r="A892" s="222"/>
      <c r="B892" s="222"/>
      <c r="C892" s="222"/>
      <c r="D892" s="222"/>
      <c r="E892" s="222"/>
    </row>
    <row r="893" spans="1:5" ht="13">
      <c r="A893" s="222"/>
      <c r="B893" s="222"/>
      <c r="C893" s="222"/>
      <c r="D893" s="222"/>
      <c r="E893" s="222"/>
    </row>
    <row r="894" spans="1:5" ht="13">
      <c r="A894" s="222"/>
      <c r="B894" s="222"/>
      <c r="C894" s="222"/>
      <c r="D894" s="222"/>
      <c r="E894" s="222"/>
    </row>
    <row r="895" spans="1:5" ht="13">
      <c r="A895" s="222"/>
      <c r="B895" s="222"/>
      <c r="C895" s="222"/>
      <c r="D895" s="222"/>
      <c r="E895" s="222"/>
    </row>
    <row r="896" spans="1:5" ht="13">
      <c r="A896" s="222"/>
      <c r="B896" s="222"/>
      <c r="C896" s="222"/>
      <c r="D896" s="222"/>
      <c r="E896" s="222"/>
    </row>
    <row r="897" spans="1:5" ht="13">
      <c r="A897" s="222"/>
      <c r="B897" s="222"/>
      <c r="C897" s="222"/>
      <c r="D897" s="222"/>
      <c r="E897" s="222"/>
    </row>
    <row r="898" spans="1:5" ht="13">
      <c r="A898" s="222"/>
      <c r="B898" s="222"/>
      <c r="C898" s="222"/>
      <c r="D898" s="222"/>
      <c r="E898" s="222"/>
    </row>
    <row r="899" spans="1:5" ht="13">
      <c r="A899" s="222"/>
      <c r="B899" s="222"/>
      <c r="C899" s="222"/>
      <c r="D899" s="222"/>
      <c r="E899" s="222"/>
    </row>
    <row r="900" spans="1:5" ht="13">
      <c r="A900" s="222"/>
      <c r="B900" s="222"/>
      <c r="C900" s="222"/>
      <c r="D900" s="222"/>
      <c r="E900" s="222"/>
    </row>
    <row r="901" spans="1:5" ht="13">
      <c r="A901" s="222"/>
      <c r="B901" s="222"/>
      <c r="C901" s="222"/>
      <c r="D901" s="222"/>
      <c r="E901" s="222"/>
    </row>
    <row r="902" spans="1:5" ht="13">
      <c r="A902" s="222"/>
      <c r="B902" s="222"/>
      <c r="C902" s="222"/>
      <c r="D902" s="222"/>
      <c r="E902" s="222"/>
    </row>
    <row r="903" spans="1:5" ht="13">
      <c r="A903" s="222"/>
      <c r="B903" s="222"/>
      <c r="C903" s="222"/>
      <c r="D903" s="222"/>
      <c r="E903" s="222"/>
    </row>
    <row r="904" spans="1:5" ht="13">
      <c r="A904" s="222"/>
      <c r="B904" s="222"/>
      <c r="C904" s="222"/>
      <c r="D904" s="222"/>
      <c r="E904" s="222"/>
    </row>
    <row r="905" spans="1:5" ht="13">
      <c r="A905" s="222"/>
      <c r="B905" s="222"/>
      <c r="C905" s="222"/>
      <c r="D905" s="222"/>
      <c r="E905" s="222"/>
    </row>
    <row r="906" spans="1:5" ht="13">
      <c r="A906" s="222"/>
      <c r="B906" s="222"/>
      <c r="C906" s="222"/>
      <c r="D906" s="222"/>
      <c r="E906" s="222"/>
    </row>
    <row r="907" spans="1:5" ht="13">
      <c r="A907" s="222"/>
      <c r="B907" s="222"/>
      <c r="C907" s="222"/>
      <c r="D907" s="222"/>
      <c r="E907" s="222"/>
    </row>
    <row r="908" spans="1:5" ht="13">
      <c r="A908" s="222"/>
      <c r="B908" s="222"/>
      <c r="C908" s="222"/>
      <c r="D908" s="222"/>
      <c r="E908" s="222"/>
    </row>
    <row r="909" spans="1:5" ht="13">
      <c r="A909" s="222"/>
      <c r="B909" s="222"/>
      <c r="C909" s="222"/>
      <c r="D909" s="222"/>
      <c r="E909" s="222"/>
    </row>
    <row r="910" spans="1:5" ht="13">
      <c r="A910" s="222"/>
      <c r="B910" s="222"/>
      <c r="C910" s="222"/>
      <c r="D910" s="222"/>
      <c r="E910" s="222"/>
    </row>
    <row r="911" spans="1:5" ht="13">
      <c r="A911" s="222"/>
      <c r="B911" s="222"/>
      <c r="C911" s="222"/>
      <c r="D911" s="222"/>
      <c r="E911" s="222"/>
    </row>
    <row r="912" spans="1:5" ht="13">
      <c r="A912" s="222"/>
      <c r="B912" s="222"/>
      <c r="C912" s="222"/>
      <c r="D912" s="222"/>
      <c r="E912" s="222"/>
    </row>
    <row r="913" spans="1:5" ht="13">
      <c r="A913" s="222"/>
      <c r="B913" s="222"/>
      <c r="C913" s="222"/>
      <c r="D913" s="222"/>
      <c r="E913" s="222"/>
    </row>
    <row r="914" spans="1:5" ht="13">
      <c r="A914" s="222"/>
      <c r="B914" s="222"/>
      <c r="C914" s="222"/>
      <c r="D914" s="222"/>
      <c r="E914" s="222"/>
    </row>
    <row r="915" spans="1:5" ht="13">
      <c r="A915" s="222"/>
      <c r="B915" s="222"/>
      <c r="C915" s="222"/>
      <c r="D915" s="222"/>
      <c r="E915" s="222"/>
    </row>
    <row r="916" spans="1:5" ht="13">
      <c r="A916" s="222"/>
      <c r="B916" s="222"/>
      <c r="C916" s="222"/>
      <c r="D916" s="222"/>
      <c r="E916" s="222"/>
    </row>
    <row r="917" spans="1:5" ht="13">
      <c r="A917" s="222"/>
      <c r="B917" s="222"/>
      <c r="C917" s="222"/>
      <c r="D917" s="222"/>
      <c r="E917" s="222"/>
    </row>
    <row r="918" spans="1:5" ht="13">
      <c r="A918" s="222"/>
      <c r="B918" s="222"/>
      <c r="C918" s="222"/>
      <c r="D918" s="222"/>
      <c r="E918" s="222"/>
    </row>
    <row r="919" spans="1:5" ht="13">
      <c r="A919" s="222"/>
      <c r="B919" s="222"/>
      <c r="C919" s="222"/>
      <c r="D919" s="222"/>
      <c r="E919" s="222"/>
    </row>
    <row r="920" spans="1:5" ht="13">
      <c r="A920" s="222"/>
      <c r="B920" s="222"/>
      <c r="C920" s="222"/>
      <c r="D920" s="222"/>
      <c r="E920" s="222"/>
    </row>
    <row r="921" spans="1:5" ht="13">
      <c r="A921" s="222"/>
      <c r="B921" s="222"/>
      <c r="C921" s="222"/>
      <c r="D921" s="222"/>
      <c r="E921" s="222"/>
    </row>
    <row r="922" spans="1:5" ht="13">
      <c r="A922" s="222"/>
      <c r="B922" s="222"/>
      <c r="C922" s="222"/>
      <c r="D922" s="222"/>
      <c r="E922" s="222"/>
    </row>
    <row r="923" spans="1:5" ht="13">
      <c r="A923" s="222"/>
      <c r="B923" s="222"/>
      <c r="C923" s="222"/>
      <c r="D923" s="222"/>
      <c r="E923" s="222"/>
    </row>
    <row r="924" spans="1:5" ht="13">
      <c r="A924" s="222"/>
      <c r="B924" s="222"/>
      <c r="C924" s="222"/>
      <c r="D924" s="222"/>
      <c r="E924" s="222"/>
    </row>
    <row r="925" spans="1:5" ht="13">
      <c r="A925" s="222"/>
      <c r="B925" s="222"/>
      <c r="C925" s="222"/>
      <c r="D925" s="222"/>
      <c r="E925" s="222"/>
    </row>
    <row r="926" spans="1:5" ht="13">
      <c r="A926" s="222"/>
      <c r="B926" s="222"/>
      <c r="C926" s="222"/>
      <c r="D926" s="222"/>
      <c r="E926" s="222"/>
    </row>
    <row r="927" spans="1:5" ht="13">
      <c r="A927" s="222"/>
      <c r="B927" s="222"/>
      <c r="C927" s="222"/>
      <c r="D927" s="222"/>
      <c r="E927" s="222"/>
    </row>
    <row r="928" spans="1:5" ht="13">
      <c r="A928" s="222"/>
      <c r="B928" s="222"/>
      <c r="C928" s="222"/>
      <c r="D928" s="222"/>
      <c r="E928" s="222"/>
    </row>
    <row r="929" spans="1:5" ht="13">
      <c r="A929" s="222"/>
      <c r="B929" s="222"/>
      <c r="C929" s="222"/>
      <c r="D929" s="222"/>
      <c r="E929" s="222"/>
    </row>
    <row r="930" spans="1:5" ht="13">
      <c r="A930" s="222"/>
      <c r="B930" s="222"/>
      <c r="C930" s="222"/>
      <c r="D930" s="222"/>
      <c r="E930" s="222"/>
    </row>
    <row r="931" spans="1:5" ht="13">
      <c r="A931" s="222"/>
      <c r="B931" s="222"/>
      <c r="C931" s="222"/>
      <c r="D931" s="222"/>
      <c r="E931" s="222"/>
    </row>
    <row r="932" spans="1:5" ht="13">
      <c r="A932" s="222"/>
      <c r="B932" s="222"/>
      <c r="C932" s="222"/>
      <c r="D932" s="222"/>
      <c r="E932" s="222"/>
    </row>
    <row r="933" spans="1:5" ht="13">
      <c r="A933" s="222"/>
      <c r="B933" s="222"/>
      <c r="C933" s="222"/>
      <c r="D933" s="222"/>
      <c r="E933" s="222"/>
    </row>
    <row r="934" spans="1:5" ht="13">
      <c r="A934" s="222"/>
      <c r="B934" s="222"/>
      <c r="C934" s="222"/>
      <c r="D934" s="222"/>
      <c r="E934" s="222"/>
    </row>
    <row r="935" spans="1:5" ht="13">
      <c r="A935" s="222"/>
      <c r="B935" s="222"/>
      <c r="C935" s="222"/>
      <c r="D935" s="222"/>
      <c r="E935" s="222"/>
    </row>
    <row r="936" spans="1:5" ht="13">
      <c r="A936" s="222"/>
      <c r="B936" s="222"/>
      <c r="C936" s="222"/>
      <c r="D936" s="222"/>
      <c r="E936" s="222"/>
    </row>
    <row r="937" spans="1:5" ht="13">
      <c r="A937" s="222"/>
      <c r="B937" s="222"/>
      <c r="C937" s="222"/>
      <c r="D937" s="222"/>
      <c r="E937" s="222"/>
    </row>
    <row r="938" spans="1:5" ht="13">
      <c r="A938" s="222"/>
      <c r="B938" s="222"/>
      <c r="C938" s="222"/>
      <c r="D938" s="222"/>
      <c r="E938" s="222"/>
    </row>
    <row r="939" spans="1:5" ht="13">
      <c r="A939" s="222"/>
      <c r="B939" s="222"/>
      <c r="C939" s="222"/>
      <c r="D939" s="222"/>
      <c r="E939" s="222"/>
    </row>
    <row r="940" spans="1:5" ht="13">
      <c r="A940" s="222"/>
      <c r="B940" s="222"/>
      <c r="C940" s="222"/>
      <c r="D940" s="222"/>
      <c r="E940" s="222"/>
    </row>
    <row r="941" spans="1:5" ht="13">
      <c r="A941" s="222"/>
      <c r="B941" s="222"/>
      <c r="C941" s="222"/>
      <c r="D941" s="222"/>
      <c r="E941" s="222"/>
    </row>
    <row r="942" spans="1:5" ht="13">
      <c r="A942" s="222"/>
      <c r="B942" s="222"/>
      <c r="C942" s="222"/>
      <c r="D942" s="222"/>
      <c r="E942" s="222"/>
    </row>
    <row r="943" spans="1:5" ht="13">
      <c r="A943" s="222"/>
      <c r="B943" s="222"/>
      <c r="C943" s="222"/>
      <c r="D943" s="222"/>
      <c r="E943" s="222"/>
    </row>
    <row r="944" spans="1:5" ht="13">
      <c r="A944" s="222"/>
      <c r="B944" s="222"/>
      <c r="C944" s="222"/>
      <c r="D944" s="222"/>
      <c r="E944" s="222"/>
    </row>
    <row r="945" spans="1:5" ht="13">
      <c r="A945" s="222"/>
      <c r="B945" s="222"/>
      <c r="C945" s="222"/>
      <c r="D945" s="222"/>
      <c r="E945" s="222"/>
    </row>
    <row r="946" spans="1:5" ht="13">
      <c r="A946" s="222"/>
      <c r="B946" s="222"/>
      <c r="C946" s="222"/>
      <c r="D946" s="222"/>
      <c r="E946" s="222"/>
    </row>
    <row r="947" spans="1:5" ht="13">
      <c r="A947" s="222"/>
      <c r="B947" s="222"/>
      <c r="C947" s="222"/>
      <c r="D947" s="222"/>
      <c r="E947" s="222"/>
    </row>
    <row r="948" spans="1:5" ht="13">
      <c r="A948" s="222"/>
      <c r="B948" s="222"/>
      <c r="C948" s="222"/>
      <c r="D948" s="222"/>
      <c r="E948" s="222"/>
    </row>
    <row r="949" spans="1:5" ht="13">
      <c r="A949" s="222"/>
      <c r="B949" s="222"/>
      <c r="C949" s="222"/>
      <c r="D949" s="222"/>
      <c r="E949" s="222"/>
    </row>
    <row r="950" spans="1:5" ht="13">
      <c r="A950" s="222"/>
      <c r="B950" s="222"/>
      <c r="C950" s="222"/>
      <c r="D950" s="222"/>
      <c r="E950" s="222"/>
    </row>
    <row r="951" spans="1:5" ht="13">
      <c r="A951" s="222"/>
      <c r="B951" s="222"/>
      <c r="C951" s="222"/>
      <c r="D951" s="222"/>
      <c r="E951" s="222"/>
    </row>
    <row r="952" spans="1:5" ht="13">
      <c r="A952" s="222"/>
      <c r="B952" s="222"/>
      <c r="C952" s="222"/>
      <c r="D952" s="222"/>
      <c r="E952" s="222"/>
    </row>
    <row r="953" spans="1:5" ht="13">
      <c r="A953" s="222"/>
      <c r="B953" s="222"/>
      <c r="C953" s="222"/>
      <c r="D953" s="222"/>
      <c r="E953" s="222"/>
    </row>
    <row r="954" spans="1:5" ht="13">
      <c r="A954" s="222"/>
      <c r="B954" s="222"/>
      <c r="C954" s="222"/>
      <c r="D954" s="222"/>
      <c r="E954" s="222"/>
    </row>
    <row r="955" spans="1:5" ht="13">
      <c r="A955" s="222"/>
      <c r="B955" s="222"/>
      <c r="C955" s="222"/>
      <c r="D955" s="222"/>
      <c r="E955" s="222"/>
    </row>
    <row r="956" spans="1:5" ht="13">
      <c r="A956" s="222"/>
      <c r="B956" s="222"/>
      <c r="C956" s="222"/>
      <c r="D956" s="222"/>
      <c r="E956" s="222"/>
    </row>
    <row r="957" spans="1:5" ht="13">
      <c r="A957" s="222"/>
      <c r="B957" s="222"/>
      <c r="C957" s="222"/>
      <c r="D957" s="222"/>
      <c r="E957" s="222"/>
    </row>
    <row r="958" spans="1:5" ht="13">
      <c r="A958" s="222"/>
      <c r="B958" s="222"/>
      <c r="C958" s="222"/>
      <c r="D958" s="222"/>
      <c r="E958" s="222"/>
    </row>
    <row r="959" spans="1:5" ht="13">
      <c r="A959" s="222"/>
      <c r="B959" s="222"/>
      <c r="C959" s="222"/>
      <c r="D959" s="222"/>
      <c r="E959" s="222"/>
    </row>
    <row r="960" spans="1:5" ht="13">
      <c r="A960" s="222"/>
      <c r="B960" s="222"/>
      <c r="C960" s="222"/>
      <c r="D960" s="222"/>
      <c r="E960" s="222"/>
    </row>
    <row r="961" spans="1:5" ht="13">
      <c r="A961" s="222"/>
      <c r="B961" s="222"/>
      <c r="C961" s="222"/>
      <c r="D961" s="222"/>
      <c r="E961" s="222"/>
    </row>
    <row r="962" spans="1:5" ht="13">
      <c r="A962" s="222"/>
      <c r="B962" s="222"/>
      <c r="C962" s="222"/>
      <c r="D962" s="222"/>
      <c r="E962" s="222"/>
    </row>
    <row r="963" spans="1:5" ht="13">
      <c r="A963" s="222"/>
      <c r="B963" s="222"/>
      <c r="C963" s="222"/>
      <c r="D963" s="222"/>
      <c r="E963" s="222"/>
    </row>
    <row r="964" spans="1:5" ht="13">
      <c r="A964" s="222"/>
      <c r="B964" s="222"/>
      <c r="C964" s="222"/>
      <c r="D964" s="222"/>
      <c r="E964" s="222"/>
    </row>
    <row r="965" spans="1:5" ht="13">
      <c r="A965" s="222"/>
      <c r="B965" s="222"/>
      <c r="C965" s="222"/>
      <c r="D965" s="222"/>
      <c r="E965" s="222"/>
    </row>
    <row r="966" spans="1:5" ht="13">
      <c r="A966" s="222"/>
      <c r="B966" s="222"/>
      <c r="C966" s="222"/>
      <c r="D966" s="222"/>
      <c r="E966" s="222"/>
    </row>
    <row r="967" spans="1:5" ht="13">
      <c r="A967" s="222"/>
      <c r="B967" s="222"/>
      <c r="C967" s="222"/>
      <c r="D967" s="222"/>
      <c r="E967" s="222"/>
    </row>
    <row r="968" spans="1:5" ht="13">
      <c r="A968" s="222"/>
      <c r="B968" s="222"/>
      <c r="C968" s="222"/>
      <c r="D968" s="222"/>
      <c r="E968" s="222"/>
    </row>
    <row r="969" spans="1:5" ht="13">
      <c r="A969" s="222"/>
      <c r="B969" s="222"/>
      <c r="C969" s="222"/>
      <c r="D969" s="222"/>
      <c r="E969" s="222"/>
    </row>
    <row r="970" spans="1:5" ht="13">
      <c r="A970" s="222"/>
      <c r="B970" s="222"/>
      <c r="C970" s="222"/>
      <c r="D970" s="222"/>
      <c r="E970" s="222"/>
    </row>
    <row r="971" spans="1:5" ht="13">
      <c r="A971" s="222"/>
      <c r="B971" s="222"/>
      <c r="C971" s="222"/>
      <c r="D971" s="222"/>
      <c r="E971" s="222"/>
    </row>
    <row r="972" spans="1:5" ht="13">
      <c r="A972" s="222"/>
      <c r="B972" s="222"/>
      <c r="C972" s="222"/>
      <c r="D972" s="222"/>
      <c r="E972" s="222"/>
    </row>
    <row r="973" spans="1:5" ht="13">
      <c r="A973" s="222"/>
      <c r="B973" s="222"/>
      <c r="C973" s="222"/>
      <c r="D973" s="222"/>
      <c r="E973" s="222"/>
    </row>
    <row r="974" spans="1:5" ht="13">
      <c r="A974" s="222"/>
      <c r="B974" s="222"/>
      <c r="C974" s="222"/>
      <c r="D974" s="222"/>
      <c r="E974" s="222"/>
    </row>
    <row r="975" spans="1:5" ht="13">
      <c r="A975" s="222"/>
      <c r="B975" s="222"/>
      <c r="C975" s="222"/>
      <c r="D975" s="222"/>
      <c r="E975" s="222"/>
    </row>
    <row r="976" spans="1:5" ht="13">
      <c r="A976" s="222"/>
      <c r="B976" s="222"/>
      <c r="C976" s="222"/>
      <c r="D976" s="222"/>
      <c r="E976" s="222"/>
    </row>
    <row r="977" spans="1:5" ht="13">
      <c r="A977" s="222"/>
      <c r="B977" s="222"/>
      <c r="C977" s="222"/>
      <c r="D977" s="222"/>
      <c r="E977" s="222"/>
    </row>
    <row r="978" spans="1:5" ht="13">
      <c r="A978" s="222"/>
      <c r="B978" s="222"/>
      <c r="C978" s="222"/>
      <c r="D978" s="222"/>
      <c r="E978" s="222"/>
    </row>
    <row r="979" spans="1:5" ht="13">
      <c r="A979" s="222"/>
      <c r="B979" s="222"/>
      <c r="C979" s="222"/>
      <c r="D979" s="222"/>
      <c r="E979" s="222"/>
    </row>
    <row r="980" spans="1:5" ht="13">
      <c r="A980" s="222"/>
      <c r="B980" s="222"/>
      <c r="C980" s="222"/>
      <c r="D980" s="222"/>
      <c r="E980" s="222"/>
    </row>
    <row r="981" spans="1:5" ht="13">
      <c r="A981" s="222"/>
      <c r="B981" s="222"/>
      <c r="C981" s="222"/>
      <c r="D981" s="222"/>
      <c r="E981" s="222"/>
    </row>
    <row r="982" spans="1:5" ht="13">
      <c r="A982" s="222"/>
      <c r="B982" s="222"/>
      <c r="C982" s="222"/>
      <c r="D982" s="222"/>
      <c r="E982" s="222"/>
    </row>
    <row r="983" spans="1:5" ht="13">
      <c r="A983" s="222"/>
      <c r="B983" s="222"/>
      <c r="C983" s="222"/>
      <c r="D983" s="222"/>
      <c r="E983" s="222"/>
    </row>
    <row r="984" spans="1:5" ht="13">
      <c r="A984" s="222"/>
      <c r="B984" s="222"/>
      <c r="C984" s="222"/>
      <c r="D984" s="222"/>
      <c r="E984" s="222"/>
    </row>
    <row r="985" spans="1:5" ht="13">
      <c r="A985" s="222"/>
      <c r="B985" s="222"/>
      <c r="C985" s="222"/>
      <c r="D985" s="222"/>
      <c r="E985" s="222"/>
    </row>
    <row r="986" spans="1:5" ht="13">
      <c r="A986" s="222"/>
      <c r="B986" s="222"/>
      <c r="C986" s="222"/>
      <c r="D986" s="222"/>
      <c r="E986" s="222"/>
    </row>
    <row r="987" spans="1:5" ht="13">
      <c r="A987" s="222"/>
      <c r="B987" s="222"/>
      <c r="C987" s="222"/>
      <c r="D987" s="222"/>
      <c r="E987" s="222"/>
    </row>
    <row r="988" spans="1:5" ht="13">
      <c r="A988" s="222"/>
      <c r="B988" s="222"/>
      <c r="C988" s="222"/>
      <c r="D988" s="222"/>
      <c r="E988" s="222"/>
    </row>
    <row r="989" spans="1:5" ht="13">
      <c r="A989" s="222"/>
      <c r="B989" s="222"/>
      <c r="C989" s="222"/>
      <c r="D989" s="222"/>
      <c r="E989" s="222"/>
    </row>
    <row r="990" spans="1:5" ht="13">
      <c r="A990" s="222"/>
      <c r="B990" s="222"/>
      <c r="C990" s="222"/>
      <c r="D990" s="222"/>
      <c r="E990" s="222"/>
    </row>
    <row r="991" spans="1:5" ht="13">
      <c r="A991" s="222"/>
      <c r="B991" s="222"/>
      <c r="C991" s="222"/>
      <c r="D991" s="222"/>
      <c r="E991" s="222"/>
    </row>
    <row r="992" spans="1:5" ht="13">
      <c r="A992" s="222"/>
      <c r="B992" s="222"/>
      <c r="C992" s="222"/>
      <c r="D992" s="222"/>
      <c r="E992" s="222"/>
    </row>
    <row r="993" spans="1:5" ht="13">
      <c r="A993" s="222"/>
      <c r="B993" s="222"/>
      <c r="C993" s="222"/>
      <c r="D993" s="222"/>
      <c r="E993" s="222"/>
    </row>
    <row r="994" spans="1:5" ht="13">
      <c r="A994" s="222"/>
      <c r="B994" s="222"/>
      <c r="C994" s="222"/>
      <c r="D994" s="222"/>
      <c r="E994" s="222"/>
    </row>
    <row r="995" spans="1:5" ht="13">
      <c r="A995" s="222"/>
      <c r="B995" s="222"/>
      <c r="C995" s="222"/>
      <c r="D995" s="222"/>
      <c r="E995" s="222"/>
    </row>
    <row r="996" spans="1:5" ht="13">
      <c r="A996" s="222"/>
      <c r="B996" s="222"/>
      <c r="C996" s="222"/>
      <c r="D996" s="222"/>
      <c r="E996" s="222"/>
    </row>
    <row r="997" spans="1:5" ht="13">
      <c r="A997" s="222"/>
      <c r="B997" s="222"/>
      <c r="C997" s="222"/>
      <c r="D997" s="222"/>
      <c r="E997" s="222"/>
    </row>
    <row r="998" spans="1:5" ht="13">
      <c r="A998" s="222"/>
      <c r="B998" s="222"/>
      <c r="C998" s="222"/>
      <c r="D998" s="222"/>
      <c r="E998" s="222"/>
    </row>
    <row r="999" spans="1:5" ht="13">
      <c r="A999" s="222"/>
      <c r="B999" s="222"/>
      <c r="C999" s="222"/>
      <c r="D999" s="222"/>
      <c r="E999" s="222"/>
    </row>
    <row r="1000" spans="1:5" ht="13">
      <c r="A1000" s="222"/>
      <c r="B1000" s="222"/>
      <c r="C1000" s="222"/>
      <c r="D1000" s="222"/>
      <c r="E1000" s="222"/>
    </row>
    <row r="1001" spans="1:5" ht="13">
      <c r="A1001" s="222"/>
      <c r="B1001" s="222"/>
      <c r="C1001" s="222"/>
      <c r="D1001" s="222"/>
      <c r="E1001" s="222"/>
    </row>
    <row r="1002" spans="1:5" ht="13">
      <c r="A1002" s="222"/>
      <c r="B1002" s="222"/>
      <c r="C1002" s="222"/>
      <c r="D1002" s="222"/>
      <c r="E1002" s="222"/>
    </row>
    <row r="1003" spans="1:5" ht="13">
      <c r="A1003" s="222"/>
      <c r="B1003" s="222"/>
      <c r="C1003" s="222"/>
      <c r="D1003" s="222"/>
      <c r="E1003" s="222"/>
    </row>
    <row r="1004" spans="1:5" ht="13">
      <c r="A1004" s="222"/>
      <c r="B1004" s="222"/>
      <c r="C1004" s="222"/>
      <c r="D1004" s="222"/>
      <c r="E1004" s="222"/>
    </row>
    <row r="1005" spans="1:5" ht="13">
      <c r="A1005" s="222"/>
      <c r="B1005" s="222"/>
      <c r="C1005" s="222"/>
      <c r="D1005" s="222"/>
      <c r="E1005" s="222"/>
    </row>
  </sheetData>
  <mergeCells count="2">
    <mergeCell ref="D26:D29"/>
    <mergeCell ref="D22:D25"/>
  </mergeCells>
  <hyperlinks>
    <hyperlink ref="F2" r:id="rId1" xr:uid="{00000000-0004-0000-0200-000000000000}"/>
    <hyperlink ref="E16" r:id="rId2" xr:uid="{00000000-0004-0000-0200-000001000000}"/>
    <hyperlink ref="H16" r:id="rId3" display="https://pubs.acs.org/paragonplus/submission/achre4/achre4_authguide.pdf" xr:uid="{00000000-0004-0000-0200-000002000000}"/>
    <hyperlink ref="K16" r:id="rId4" display="https://pubs.acs.org/userimages/ContentEditor/1218054468605/ethics.pdf" xr:uid="{00000000-0004-0000-0200-000003000000}"/>
    <hyperlink ref="L16" r:id="rId5" display="https://application.wiley-vch.de/util/cta/euchems_ethicalguidelines.pdf" xr:uid="{00000000-0004-0000-0200-000004000000}"/>
    <hyperlink ref="M16" r:id="rId6" display="https://application.wiley-vch.de/util/cta/euchems_ethicalguidelines.pdf" xr:uid="{00000000-0004-0000-0200-000005000000}"/>
    <hyperlink ref="N16" r:id="rId7" display="https://wol-prod-cdn.literatumonline.com/pb-assets/assets/15214095/2089_guidelines-1510017322000.pdf" xr:uid="{00000000-0004-0000-0200-000006000000}"/>
    <hyperlink ref="O16" r:id="rId8" display="https://www.aeaweb.org/journals/aer/reviewers" xr:uid="{00000000-0004-0000-0200-000007000000}"/>
    <hyperlink ref="P16" r:id="rId9" display="https://ajps.org/guidelines-for-manuscripts/" xr:uid="{00000000-0004-0000-0200-000008000000}"/>
    <hyperlink ref="Q16" r:id="rId10" display="https://ajph.aphapublications.org/page/authors.html" xr:uid="{00000000-0004-0000-0200-000009000000}"/>
    <hyperlink ref="R16" r:id="rId11" display="https://www.apsanet.org/APSR-Submission-Guidelines" xr:uid="{00000000-0004-0000-0200-00000A000000}"/>
    <hyperlink ref="S16" r:id="rId12" location="submission-guidelines" display="https://us.sagepub.com/en-us/nam/journal/american-sociological-review - submission-guidelines" xr:uid="{00000000-0004-0000-0200-00000B000000}"/>
    <hyperlink ref="U16" r:id="rId13" display="http://annals.org/aim/pages/authors" xr:uid="{00000000-0004-0000-0200-00000C000000}"/>
    <hyperlink ref="V16" r:id="rId14" display="https://academic.oup.com/annonc/pages/General_Instructions" xr:uid="{00000000-0004-0000-0200-00000D000000}"/>
    <hyperlink ref="W16" r:id="rId15" display="https://ard.bmj.com/pages/about/" xr:uid="{00000000-0004-0000-0200-00000E000000}"/>
    <hyperlink ref="X16" r:id="rId16" display="https://www.elsevier.com/journals/annals-of-tourism-research/0160-7383?generatepdf=true" xr:uid="{00000000-0004-0000-0200-00000F000000}"/>
    <hyperlink ref="Y16" r:id="rId17" location="20910" display="https://www.elsevier.com/journals/applied-energy/0306-2619/guide-for-authors - 20910" xr:uid="{00000000-0004-0000-0200-000010000000}"/>
    <hyperlink ref="Z16" r:id="rId18" display="https://academic.oup.com/applij/pages/General_Instructions" xr:uid="{00000000-0004-0000-0200-000011000000}"/>
    <hyperlink ref="AA16" r:id="rId19" display="https://aip.scitation.org/apl/info/policies" xr:uid="{00000000-0004-0000-0200-000012000000}"/>
    <hyperlink ref="AC16" r:id="rId20" display="https://www.elsevier.com/journals/biomaterials/0142-9612?generatepdf=true" xr:uid="{00000000-0004-0000-0200-000013000000}"/>
    <hyperlink ref="AD16" r:id="rId21" display="http://www.bloodjournal.org/page/authors/author-guide/peer-review" xr:uid="{00000000-0004-0000-0200-000014000000}"/>
    <hyperlink ref="AE16" r:id="rId22" display="https://www.bmj.com/about-bmj/resources-reviewers" xr:uid="{00000000-0004-0000-0200-000015000000}"/>
    <hyperlink ref="AF16" r:id="rId23" display="https://www.cell.com/reviewers" xr:uid="{00000000-0004-0000-0200-000016000000}"/>
    <hyperlink ref="AG16" r:id="rId24" location="peerrev" display="http://aacrjournals.org/content/authors/editorial-process - peerrev" xr:uid="{00000000-0004-0000-0200-000017000000}"/>
    <hyperlink ref="AH16" r:id="rId25" display="https://www.cell.com/reviewers" xr:uid="{00000000-0004-0000-0200-000018000000}"/>
    <hyperlink ref="AI16" r:id="rId26" display="https://www.cell.com/reviewers" xr:uid="{00000000-0004-0000-0200-000019000000}"/>
    <hyperlink ref="AJ16" r:id="rId27" display="https://www.cell.com/reviewers" xr:uid="{00000000-0004-0000-0200-00001A000000}"/>
    <hyperlink ref="AK16" r:id="rId28" display="http://www.rsc.org/journals-books-databases/journal-authors-reviewers/reviewer-responsibilities/" xr:uid="{00000000-0004-0000-0200-00001B000000}"/>
    <hyperlink ref="AL16" r:id="rId29" display="https://pubs.acs.org/page/chreay/submission/reviewers.html" xr:uid="{00000000-0004-0000-0200-00001C000000}"/>
    <hyperlink ref="AM16" r:id="rId30" display="http://www.rsc.org/journals-books-databases/journal-authors-reviewers/reviewer-responsibilities/" xr:uid="{00000000-0004-0000-0200-00001D000000}"/>
    <hyperlink ref="AN16" r:id="rId31" display="https://pubs.acs.org/paragonplus/submission/cmatex/cmatex_scope.pdf" xr:uid="{00000000-0004-0000-0200-00001E000000}"/>
    <hyperlink ref="AO16" r:id="rId32" display="https://www.ahajournals.org/pb-assets/Ethical ConductPolicyApril2017finalWeb.pdf" xr:uid="{00000000-0004-0000-0200-00001F000000}"/>
    <hyperlink ref="AP16" r:id="rId33" display="https://www.ahajournals.org/pb-assets/Ethical ConductPolicyApril2017finalWeb.pdf" xr:uid="{00000000-0004-0000-0200-000020000000}"/>
    <hyperlink ref="AQ16" r:id="rId34" location="peerrev" display="http://aacrjournals.org/content/authors/editorial-process - peerrev" xr:uid="{00000000-0004-0000-0200-000021000000}"/>
    <hyperlink ref="AR16" r:id="rId35" display="https://www.elsevier.com/journals/computers-and-education/0360-1315?generatepdf=true" xr:uid="{00000000-0004-0000-0200-000022000000}"/>
    <hyperlink ref="AS16" r:id="rId36" location="peerreview" display="http://www.diabetesjournals.org/content/journal-policies - peerreview" xr:uid="{00000000-0004-0000-0200-000023000000}"/>
    <hyperlink ref="AT16" r:id="rId37" location="Peer_review" display="https://www.tandfonline.com/action/authorSubmission?journalCode=rdij20&amp;page=instructions - Peer_review" xr:uid="{00000000-0004-0000-0200-000024000000}"/>
    <hyperlink ref="AU16" r:id="rId38" location="reviewprocess" display="https://www.econometricsociety.org/publications/econometrica/information-authors/editorial-procedures-and-policies - reviewprocess" xr:uid="{00000000-0004-0000-0200-000025000000}"/>
    <hyperlink ref="AV16" r:id="rId39" location="review-procedure" display="http://www.rsc.org/journals-books-databases/journal-authors-reviewers/reviewer-responsibilities/ - review-procedure" xr:uid="{00000000-0004-0000-0200-000026000000}"/>
    <hyperlink ref="AW16" r:id="rId40" display="https://pubs.acs.org/paragonplus/submission/esthag/esthag_authguide.pdf" xr:uid="{00000000-0004-0000-0200-000027000000}"/>
    <hyperlink ref="AX16" r:id="rId41" location="3.1" display="https://academic.oup.com/eurheartj/pages/General_Instructions - 3.1" xr:uid="{00000000-0004-0000-0200-000028000000}"/>
    <hyperlink ref="AY16" r:id="rId42" display="https://www.europeanurology.com/content/resources-for-authors" xr:uid="{00000000-0004-0000-0200-000029000000}"/>
    <hyperlink ref="AZ16" r:id="rId43" display="https://www.gastrojournal.org/content/authorinfo" xr:uid="{00000000-0004-0000-0200-00002A000000}"/>
    <hyperlink ref="BA16" r:id="rId44" location="submission-guidelines" display="https://uk.sagepub.com/en-gb/eur/gender-society/journal200793 - submission-guidelines" xr:uid="{00000000-0004-0000-0200-00002B000000}"/>
    <hyperlink ref="BB16" r:id="rId45" display="https://publications.agu.org/author-resource-center/steps-to-publication/" xr:uid="{00000000-0004-0000-0200-00002C000000}"/>
    <hyperlink ref="BC16" r:id="rId46" display="https://www.elsevier.com/journals/global-environmental-change/0959-3780/guide-for-authors" xr:uid="{00000000-0004-0000-0200-00002D000000}"/>
    <hyperlink ref="BD16" r:id="rId47" display="https://www.elsevier.com/journals/government-information-quarterly/0740-624X?generatepdf=true" xr:uid="{00000000-0004-0000-0200-00002E000000}"/>
    <hyperlink ref="BE16" r:id="rId48" display="https://authors.bmj.com/policies/peer-review-terms-and-conditions/" xr:uid="{00000000-0004-0000-0200-00002F000000}"/>
    <hyperlink ref="BF16" r:id="rId49" display="https://www.healthaffairs.org/help-for-authors" xr:uid="{00000000-0004-0000-0200-000030000000}"/>
    <hyperlink ref="BG16" r:id="rId50" display="https://aasldpubs.onlinelibrary.wiley.com/hub/journal/15273350/about/author-guidelines" xr:uid="{00000000-0004-0000-0200-000031000000}"/>
    <hyperlink ref="BH16" r:id="rId51" display="https://www.comsoc.org/publications/magazines/ieee-communications-magazine/magazine-reviewer" xr:uid="{00000000-0004-0000-0200-000032000000}"/>
    <hyperlink ref="BI16" r:id="rId52" display="https://www.comsoc.org/publications/journals/ieee-comst/guidelines-reviewers" xr:uid="{00000000-0004-0000-0200-000033000000}"/>
    <hyperlink ref="BJ16" r:id="rId53" display="http://cvpr2019.thecvf.com/" xr:uid="{00000000-0004-0000-0200-000034000000}"/>
    <hyperlink ref="BK16" r:id="rId54" display="http://iccv2019.thecvf.com/submission/timeline" xr:uid="{00000000-0004-0000-0200-000035000000}"/>
    <hyperlink ref="BL16" r:id="rId55" display="https://ieeeauthorcenter.ieee.org/peer-review-at-ieee/" xr:uid="{00000000-0004-0000-0200-000036000000}"/>
    <hyperlink ref="BM16" r:id="rId56" display="https://ieeeauthorcenter.ieee.org/peer-review-at-ieee/" xr:uid="{00000000-0004-0000-0200-000037000000}"/>
    <hyperlink ref="BN16" r:id="rId57" display="https://ieeeauthorcenter.ieee.org/peer-review-at-ieee/" xr:uid="{00000000-0004-0000-0200-000038000000}"/>
    <hyperlink ref="BO16" r:id="rId58" display="https://ieeeauthorcenter.ieee.org/peer-review-at-ieee/ethics-in-peer-review/" xr:uid="{00000000-0004-0000-0200-000039000000}"/>
    <hyperlink ref="BP16" r:id="rId59" display="https://ieeeauthorcenter.ieee.org/peer-review-at-ieee/ethics-in-peer-review/" xr:uid="{00000000-0004-0000-0200-00003A000000}"/>
    <hyperlink ref="BQ16" r:id="rId60" display="https://www.cell.com/reviewers" xr:uid="{00000000-0004-0000-0200-00003B000000}"/>
    <hyperlink ref="BS16" r:id="rId61" display="https://www.elsevier.com/journals/international-journal-of-production-economics/0925-5273?generatepdf=true" xr:uid="{00000000-0004-0000-0200-00003C000000}"/>
    <hyperlink ref="BT16" r:id="rId62" display="https://jamanetwork.com/journals/jama/pages/instructions-for-authors" xr:uid="{00000000-0004-0000-0200-00003D000000}"/>
    <hyperlink ref="BU16" r:id="rId63" display="https://www.jacionline.org/content/authorinfo" xr:uid="{00000000-0004-0000-0200-00003E000000}"/>
    <hyperlink ref="BV16" r:id="rId64" display="https://www.elsevier.com/journals/journal-of-banking-and-finance/0378-4266/guide-for-authors" xr:uid="{00000000-0004-0000-0200-00003F000000}"/>
    <hyperlink ref="BW16" r:id="rId65" display="https://www.springer.com/philosophy/ethics+and+moral+philosophy/journal/10551" xr:uid="{00000000-0004-0000-0200-000040000000}"/>
    <hyperlink ref="BX16" r:id="rId66" display="https://www.elsevier.com/journals/journal-of-business-research/0148-2963/guide-for-authors" xr:uid="{00000000-0004-0000-0200-000041000000}"/>
    <hyperlink ref="BY16" r:id="rId67" display="https://www.elsevier.com/journals/journal-of-cleaner-production/0959-6526/guide-for-authors" xr:uid="{00000000-0004-0000-0200-000042000000}"/>
    <hyperlink ref="BZ16" r:id="rId68" display="http://ascopubs.org/jco/site/ifc/my-article-was-submitted.xhtml" xr:uid="{00000000-0004-0000-0200-000043000000}"/>
    <hyperlink ref="CA16" r:id="rId69" location="Peer%20review" display="https://academic.oup.com/joc/pages/General_Instructions - Peer%20review" xr:uid="{00000000-0004-0000-0200-000044000000}"/>
    <hyperlink ref="CB16" r:id="rId70" display="https://publishingsupport.iopscience.iop.org/becoming-a-journal-reviewer/" xr:uid="{00000000-0004-0000-0200-000045000000}"/>
    <hyperlink ref="CC16" r:id="rId71" display="https://www.aeaweb.org/journals/jep/submissions" xr:uid="{00000000-0004-0000-0200-000046000000}"/>
    <hyperlink ref="CE16" r:id="rId72" display="https://www.elsevier.com/reviewers/how-to-review" xr:uid="{00000000-0004-0000-0200-000047000000}"/>
    <hyperlink ref="CF16" r:id="rId73" display="https://publications.agu.org/reviewer-resources/" xr:uid="{00000000-0004-0000-0200-000048000000}"/>
    <hyperlink ref="CH16" r:id="rId74" display="https://www.springer.com/physics/particle+and+nuclear+physics/journal/13130" xr:uid="{00000000-0004-0000-0200-000049000000}"/>
    <hyperlink ref="CI16" r:id="rId75" display="https://journals.sagepub.com/pb-assets/cmscontent/JOM/JOM_Style_Guide_revised_2017.pdf" xr:uid="{00000000-0004-0000-0200-00004A000000}"/>
    <hyperlink ref="CJ16" r:id="rId76" location="review-procedure" display="http://www.rsc.org/journals-books-databases/journal-authors-reviewers/reviewer-responsibilities/ - review-procedure" xr:uid="{00000000-0004-0000-0200-00004B000000}"/>
    <hyperlink ref="CK16" r:id="rId77" display="https://www.journals.elsevier.com/journal-of-pragmatics/policies/peer-review-policy-for-the-journal-of-pragmatics" xr:uid="{00000000-0004-0000-0200-00004C000000}"/>
    <hyperlink ref="CL16" r:id="rId78" display="http://pubs.acs.org/paragonplus/submission/jacsat/jacsat_authguide.pdf" xr:uid="{00000000-0004-0000-0200-00004D000000}"/>
    <hyperlink ref="CM16" r:id="rId79" display="http://www.onlinejacc.org/content/73/2/A28" xr:uid="{00000000-0004-0000-0200-00004E000000}"/>
    <hyperlink ref="CN16" r:id="rId80" display="https://www.springer.com/psychology/child+%26+school+psychology/journal/10964?detailsPage=pltci_1692324" xr:uid="{00000000-0004-0000-0200-00004F000000}"/>
    <hyperlink ref="CO16" r:id="rId81" location="PeerReviewPolicy" display="https://us.sagepub.com/en-us/nam/journal/journalism - PeerReviewPolicy" xr:uid="{00000000-0004-0000-0200-000050000000}"/>
    <hyperlink ref="CP16" r:id="rId82" location="Peer_review" display="https://www.tandfonline.com/action/authorSubmission?journalCode=rjop20&amp;page=instructions - Peer_review" xr:uid="{00000000-0004-0000-0200-000051000000}"/>
    <hyperlink ref="CQ16" r:id="rId83" location="Peer_review" display="https://www.tandfonline.com/action/authorSubmission?journalCode=rjos20&amp;page=instructions - Peer_review" xr:uid="{00000000-0004-0000-0200-000052000000}"/>
    <hyperlink ref="CR16" r:id="rId84" display="https://www.elsevier.com/journals/land-use-policy/0264-8377?generatepdf=true" xr:uid="{00000000-0004-0000-0200-000053000000}"/>
    <hyperlink ref="CS16" r:id="rId85" display="https://onlinelibrary.wiley.com/page/journal/14679922/homepage/forauthors.html" xr:uid="{00000000-0004-0000-0200-000054000000}"/>
    <hyperlink ref="CT16" r:id="rId86" display="https://www.elsevier.com/journals/lingua/0024-3841/guide-for-authors" xr:uid="{00000000-0004-0000-0200-000055000000}"/>
    <hyperlink ref="CU16" r:id="rId87" display="https://www.misq.org/skin/frontend/default/misq/pdf/ReviewerRole.pdf" xr:uid="{00000000-0004-0000-0200-000056000000}"/>
    <hyperlink ref="CV16" r:id="rId88" display="https://pubsonline.informs.org/page/mnsc/submission-guidelines" xr:uid="{00000000-0004-0000-0200-000057000000}"/>
    <hyperlink ref="CW16" r:id="rId89" location="submission-guidelines" display="https://uk.sagepub.com/en-gb/eur/journal/media-culture-society - submission-guidelines" xr:uid="{00000000-0004-0000-0200-000058000000}"/>
    <hyperlink ref="CX16" r:id="rId90" display="https://www.cell.com/molecular-cell/authors" xr:uid="{00000000-0004-0000-0200-000059000000}"/>
    <hyperlink ref="CY16" r:id="rId91" location="4%20Editorial%20review" display="https://academic.oup.com/mnras/pages/General_Instructions - 4%20Editorial%20review" xr:uid="{00000000-0004-0000-0200-00005A000000}"/>
    <hyperlink ref="CZ16" r:id="rId92" display="https://pubs.acs.org/paragonplus/submission/nalefd/nalefd_authguide.pdf" xr:uid="{00000000-0004-0000-0200-00005B000000}"/>
    <hyperlink ref="DA16" r:id="rId93" location="review-procedure" display="https://www.rsc.org/journals-books-databases/journal-authors-reviewers/reviewer-responsibilities/ - review-procedure" xr:uid="{00000000-0004-0000-0200-00005C000000}"/>
    <hyperlink ref="DB16" r:id="rId94" display="https://www.nature.com/authors/policies/peer_review.html" xr:uid="{00000000-0004-0000-0200-00005D000000}"/>
    <hyperlink ref="DC16" r:id="rId95" display="https://www.nature.com/authors/policies/peer_review.html" xr:uid="{00000000-0004-0000-0200-00005E000000}"/>
    <hyperlink ref="DD16" r:id="rId96" display="https://www.nature.com/authors/policies/peer_review.html" xr:uid="{00000000-0004-0000-0200-00005F000000}"/>
    <hyperlink ref="DE16" r:id="rId97" display="https://www.nature.com/authors/policies/peer_review.html" xr:uid="{00000000-0004-0000-0200-000060000000}"/>
    <hyperlink ref="DF16" r:id="rId98" display="https://www.nature.com/authors/policies/peer_review.html" xr:uid="{00000000-0004-0000-0200-000061000000}"/>
    <hyperlink ref="DG16" r:id="rId99" display="https://www.nature.com/authors/policies/peer_review.html" xr:uid="{00000000-0004-0000-0200-000062000000}"/>
    <hyperlink ref="DH16" r:id="rId100" display="https://www.nature.com/authors/policies/peer_review.html" xr:uid="{00000000-0004-0000-0200-000063000000}"/>
    <hyperlink ref="DI16" r:id="rId101" display="https://www.nature.com/authors/policies/peer_review.html" xr:uid="{00000000-0004-0000-0200-000064000000}"/>
    <hyperlink ref="DJ16" r:id="rId102" display="https://www.nature.com/authors/policies/peer_review.html" xr:uid="{00000000-0004-0000-0200-000065000000}"/>
    <hyperlink ref="DK16" r:id="rId103" display="https://www.nature.com/authors/policies/peer_review.html" xr:uid="{00000000-0004-0000-0200-000066000000}"/>
    <hyperlink ref="DL16" r:id="rId104" display="https://www.nature.com/authors/policies/peer_review.html" xr:uid="{00000000-0004-0000-0200-000067000000}"/>
    <hyperlink ref="DM16" r:id="rId105" display="https://www.nature.com/authors/policies/peer_review.html" xr:uid="{00000000-0004-0000-0200-000068000000}"/>
    <hyperlink ref="DN16" r:id="rId106" display="https://www.nature.com/authors/policies/peer_review.html" xr:uid="{00000000-0004-0000-0200-000069000000}"/>
    <hyperlink ref="DO16" r:id="rId107" display="https://www.nature.com/authors/policies/peer_review.html" xr:uid="{00000000-0004-0000-0200-00006A000000}"/>
    <hyperlink ref="DP16" r:id="rId108" display="https://www.nature.com/authors/policies/peer_review.html" xr:uid="{00000000-0004-0000-0200-00006B000000}"/>
    <hyperlink ref="DQ16" r:id="rId109" display="https://www.nature.com/nrc/for-referees" xr:uid="{00000000-0004-0000-0200-00006C000000}"/>
    <hyperlink ref="DR16" r:id="rId110" display="https://www.nature.com/nrg/for-referees" xr:uid="{00000000-0004-0000-0200-00006D000000}"/>
    <hyperlink ref="DS16" r:id="rId111" display="https://www.nature.com/nrc/for-referees" xr:uid="{00000000-0004-0000-0200-00006E000000}"/>
    <hyperlink ref="DT16" r:id="rId112" display="https://www.nature.com/nrg/for-referees" xr:uid="{00000000-0004-0000-0200-00006F000000}"/>
    <hyperlink ref="DU16" r:id="rId113" display="https://www.nature.com/nrg/for-referees" xr:uid="{00000000-0004-0000-0200-000070000000}"/>
    <hyperlink ref="DV16" r:id="rId114" display="https://www.nature.com/nrg/for-referees" xr:uid="{00000000-0004-0000-0200-000071000000}"/>
    <hyperlink ref="DW16" r:id="rId115" display="https://nips.cc/Conferences/2019/CallForPapers" xr:uid="{00000000-0004-0000-0200-000072000000}"/>
    <hyperlink ref="DX16" r:id="rId116" display="https://www.elsevier.com/journals/neuroimage/1053-8119/guide-for-authors" xr:uid="{00000000-0004-0000-0200-000073000000}"/>
    <hyperlink ref="DY16" r:id="rId117" display="https://www.cell.com/reviewers" xr:uid="{00000000-0004-0000-0200-000074000000}"/>
    <hyperlink ref="DZ16" r:id="rId118" location="PeerReviewPolicy" display="https://us.sagepub.com/en-us/nam/journal/new-media-society - PeerReviewPolicy" xr:uid="{00000000-0004-0000-0200-000075000000}"/>
    <hyperlink ref="EA16" r:id="rId119" display="https://onlinelibrary.wiley.com/page/journal/14680068/homepage/forauthors.html" xr:uid="{00000000-0004-0000-0200-000076000000}"/>
    <hyperlink ref="ED16" r:id="rId120" location="overview" display="https://www.osapublishing.org/submit/review/peer_review.cfm - overview" xr:uid="{00000000-0004-0000-0200-000077000000}"/>
    <hyperlink ref="EE16" r:id="rId121" display="http://www.aappublications.org/content/pediatrics-reviewer-guidelines" xr:uid="{00000000-0004-0000-0200-000078000000}"/>
    <hyperlink ref="EF16" r:id="rId122" display="https://www.springer.com/philosophy/journal/11098" xr:uid="{00000000-0004-0000-0200-000079000000}"/>
    <hyperlink ref="EG16" r:id="rId123" display="https://journals.aps.org/prb/referees/guidelines-for-referees" xr:uid="{00000000-0004-0000-0200-00007A000000}"/>
    <hyperlink ref="EH16" r:id="rId124" location="anonymity" display="https://journals.aps.org/prd/authors/editorial-policies-practices - anonymity" xr:uid="{00000000-0004-0000-0200-00007B000000}"/>
    <hyperlink ref="EI16" r:id="rId125" location="anonymity" display="https://journals.aps.org/prl/authors/editorial-policies-practices - anonymity" xr:uid="{00000000-0004-0000-0200-00007C000000}"/>
    <hyperlink ref="EJ16" r:id="rId126" display="https://journals.aps.org/prx/authors/editorial-policies-practices" xr:uid="{00000000-0004-0000-0200-00007D000000}"/>
    <hyperlink ref="EK16" r:id="rId127" display="https://www.elsevier.com/journals/physics-letters-b/0370-2693/guide-for-authors" xr:uid="{00000000-0004-0000-0200-00007E000000}"/>
    <hyperlink ref="EL16" r:id="rId128" display="https://journals.plos.org/plosone/s/editorial-and-peer-review-process" xr:uid="{00000000-0004-0000-0200-00007F000000}"/>
    <hyperlink ref="EM16" r:id="rId129" display="https://www.pnas.org/page/authors/reviewers" xr:uid="{00000000-0004-0000-0200-000080000000}"/>
    <hyperlink ref="EN16" r:id="rId130" location="EditorialPolicies" display="https://uk.sagepub.com/en-gb/eur/journal/progress-human-geography - EditorialPolicies" xr:uid="{00000000-0004-0000-0200-000081000000}"/>
    <hyperlink ref="EO16" r:id="rId131" display="https://academic.oup.com/poq/pages/general_instructions" xr:uid="{00000000-0004-0000-0200-000082000000}"/>
    <hyperlink ref="EP16" r:id="rId132" display="https://www.tandfonline.com/action/authorSubmission?show=instructions&amp;journalCode=cres20" xr:uid="{00000000-0004-0000-0200-000083000000}"/>
    <hyperlink ref="EQ16" r:id="rId133" display="https://www.elsevier.com/journals/renewable-and-sustainable-energy-reviews/1364-0321/guide-for-authors" xr:uid="{00000000-0004-0000-0200-000084000000}"/>
    <hyperlink ref="ER16" r:id="rId134" display="https://www.elsevier.com/journals/research-policy/0048-7333/guide-for-authors" xr:uid="{00000000-0004-0000-0200-000085000000}"/>
    <hyperlink ref="EU16" r:id="rId135" display="http://www.sciencemag.org/authors/science-information-authors" xr:uid="{00000000-0004-0000-0200-000086000000}"/>
    <hyperlink ref="EV16" r:id="rId136" display="https://stm.sciencemag.org/content/science-translational-medicine-general-policies" xr:uid="{00000000-0004-0000-0200-000087000000}"/>
    <hyperlink ref="EW16" r:id="rId137" display="https://www.nature.com/srep/journal-policies/peer-review" xr:uid="{00000000-0004-0000-0200-000088000000}"/>
    <hyperlink ref="EX16" r:id="rId138" display="https://www.elsevier.com/journals/social-science-and-medicine/0277-9536/guide-for-authors" xr:uid="{00000000-0004-0000-0200-000089000000}"/>
    <hyperlink ref="EZ16" r:id="rId139" display="https://www.springer.com/philosophy/epistemology+and+philosophy+of+science/journal/11229" xr:uid="{00000000-0004-0000-0200-00008A000000}"/>
    <hyperlink ref="FA16" r:id="rId140" display="https://www.journals.elsevier.com/system" xr:uid="{00000000-0004-0000-0200-00008B000000}"/>
    <hyperlink ref="FB16" r:id="rId141" display="https://www.elsevier.com/journals/teaching-and-teacher-education/0742-051x/guide-for-authors" xr:uid="{00000000-0004-0000-0200-00008C000000}"/>
    <hyperlink ref="FC16" r:id="rId142" display="https://www.tesol.org/read-and-publish/journals/tesol-journal" xr:uid="{00000000-0004-0000-0200-00008D000000}"/>
    <hyperlink ref="FF16" r:id="rId143" display="https://community.cochrane.org/editorial-and-publishing-policy-resource/cochrane-review-management/cochrane-peer-review-policy" xr:uid="{00000000-0004-0000-0200-00008E000000}"/>
    <hyperlink ref="FG16" r:id="rId144" display="https://www.springer.com/physics/particle+and+nuclear+physics/journal/10052" xr:uid="{00000000-0004-0000-0200-00008F000000}"/>
    <hyperlink ref="FH16" r:id="rId145" location="Editorial_Policies" display="https://www.jci.org/kiosks/authors - Editorial_Policies" xr:uid="{00000000-0004-0000-0200-000090000000}"/>
    <hyperlink ref="FK16" r:id="rId146" display="https://www.thelancet.com/pb/assets/raw/Lancet/authors/lancet-information-for-authors.pdf" xr:uid="{00000000-0004-0000-0200-000091000000}"/>
    <hyperlink ref="FL16" r:id="rId147" display="https://els-jbs-prod-cdn.literatumonline.com/pb/assets/raw/Lancet/authors/tln-info-for-authors-1541596047120.pdf" xr:uid="{00000000-0004-0000-0200-000092000000}"/>
    <hyperlink ref="FM16" r:id="rId148" display="https://els-jbs-prod-cdn.literatumonline.com/pb/assets/raw/Lancet/authors/tlo-info-for-authors-1541596062097.pdf" xr:uid="{00000000-0004-0000-0200-000093000000}"/>
    <hyperlink ref="FN16" r:id="rId149" location="Manuscript" display="https://onlinelibrary.wiley.com/page/journal/15404781/homepage/forauthors.html - Manuscript" xr:uid="{00000000-0004-0000-0200-000094000000}"/>
    <hyperlink ref="FP16" r:id="rId150" display="https://academic.oup.com/qje/pages/Policies" xr:uid="{00000000-0004-0000-0200-000095000000}"/>
    <hyperlink ref="FS16" r:id="rId151" display="https://www.elsevier.com/journals/tourism-management/0261-5177/guide-for-authors" xr:uid="{00000000-0004-0000-0200-000096000000}"/>
    <hyperlink ref="FT16" r:id="rId152" display="https://www.elsevier.com/journals/world-development/0305-750x/guide-for-authors" xr:uid="{00000000-0004-0000-0200-000097000000}"/>
    <hyperlink ref="E17" r:id="rId153" xr:uid="{00000000-0004-0000-0200-000098000000}"/>
    <hyperlink ref="J17" r:id="rId154" display="http://aom.org/uploadedFiles/Publications/AMJ/07_Colquitt_IrelandApr09FTE.pdf" xr:uid="{00000000-0004-0000-0200-000099000000}"/>
    <hyperlink ref="K17" r:id="rId155" display="https://pubs.acs.org/pb-assets/acspubs/Migrated/ancac3_revguide.pdf" xr:uid="{00000000-0004-0000-0200-00009A000000}"/>
    <hyperlink ref="CF17" r:id="rId156" display="https://publications.agu.org/reviewer-resources/review-criteria" xr:uid="{00000000-0004-0000-0200-00009B000000}"/>
    <hyperlink ref="EI17" r:id="rId157" display="https://journals.aps.org/referees/referee-response-physical-review-letters" xr:uid="{00000000-0004-0000-0200-00009C000000}"/>
    <hyperlink ref="EJ17" r:id="rId158" display="https://journals.aps.org/prx/referees/referee-response-physical-review-x" xr:uid="{00000000-0004-0000-0200-00009D000000}"/>
    <hyperlink ref="E18" r:id="rId159" xr:uid="{00000000-0004-0000-0200-00009E000000}"/>
    <hyperlink ref="S18" r:id="rId160" display="https://us.sagepub.com/en-us/nam/reviewer-rewards" xr:uid="{00000000-0004-0000-0200-00009F000000}"/>
    <hyperlink ref="U18" r:id="rId161" display="http://annals.org/aim/pages/authors" xr:uid="{00000000-0004-0000-0200-0000A0000000}"/>
    <hyperlink ref="W18" r:id="rId162" display="https://authors.bmj.com/policies/peer-review-terms-and-conditions/" xr:uid="{00000000-0004-0000-0200-0000A1000000}"/>
    <hyperlink ref="X18" r:id="rId163" location="recognizing" display="https://www.elsevier.com/reviewers/role - recognizing" xr:uid="{00000000-0004-0000-0200-0000A2000000}"/>
    <hyperlink ref="Y18" r:id="rId164" location="recognizing" display="https://www.elsevier.com/reviewers/role - recognizing" xr:uid="{00000000-0004-0000-0200-0000A3000000}"/>
    <hyperlink ref="AC18" r:id="rId165" location="recognizing" display="https://www.elsevier.com/reviewers/role - recognizing" xr:uid="{00000000-0004-0000-0200-0000A4000000}"/>
    <hyperlink ref="AD18" r:id="rId166" display="http://www.bloodjournal.org/page/authors/author-guide/peer-review" xr:uid="{00000000-0004-0000-0200-0000A5000000}"/>
    <hyperlink ref="AE18" r:id="rId167" display="https://authors.bmj.com/for-reviewers/reviewer-recognition/" xr:uid="{00000000-0004-0000-0200-0000A6000000}"/>
    <hyperlink ref="AG18" r:id="rId168" display="http://aacrjournals.org/site/Info/Reviewers.xhtml" xr:uid="{00000000-0004-0000-0200-0000A7000000}"/>
    <hyperlink ref="AK18" r:id="rId169" location="becoming-reviewer" display="http://www.rsc.org/journals-books-databases/journal-authors-reviewers/reviewer-responsibilities/ - becoming-reviewer" xr:uid="{00000000-0004-0000-0200-0000A8000000}"/>
    <hyperlink ref="AM18" r:id="rId170" location="becoming-reviewer" display="http://www.rsc.org/journals-books-databases/journal-authors-reviewers/reviewer-responsibilities/ - becoming-reviewer" xr:uid="{00000000-0004-0000-0200-0000A9000000}"/>
    <hyperlink ref="AQ18" r:id="rId171" display="http://aacrjournals.org/site/Info/Reviewers.xhtml" xr:uid="{00000000-0004-0000-0200-0000AA000000}"/>
    <hyperlink ref="AR18" r:id="rId172" location="recognizing" display="https://www.elsevier.com/reviewers/role - recognizing" xr:uid="{00000000-0004-0000-0200-0000AB000000}"/>
    <hyperlink ref="AS18" r:id="rId173" display="http://www.diabetesjournals.org/for-reviewers" xr:uid="{00000000-0004-0000-0200-0000AC000000}"/>
    <hyperlink ref="AY18" r:id="rId174" location="RRP" display="https://www.elsevier.com/reviewers/role - RRP" xr:uid="{00000000-0004-0000-0200-0000AD000000}"/>
    <hyperlink ref="AZ18" r:id="rId175" display="https://www.gastrojournal.org/content/authorinfo" xr:uid="{00000000-0004-0000-0200-0000AE000000}"/>
    <hyperlink ref="BA18" r:id="rId176" display="https://uk.sagepub.com/en-gb/eur/online-submission-peer-review-system" xr:uid="{00000000-0004-0000-0200-0000AF000000}"/>
    <hyperlink ref="BB18" r:id="rId177" display="https://publications.agu.org/reviewer-resources/" xr:uid="{00000000-0004-0000-0200-0000B0000000}"/>
    <hyperlink ref="BC18" r:id="rId178" location="recognizing" display="https://www.elsevier.com/reviewers/role - recognizing" xr:uid="{00000000-0004-0000-0200-0000B1000000}"/>
    <hyperlink ref="BF18" r:id="rId179" display="https://www.healthaffairs.org/help-for-reviewers" xr:uid="{00000000-0004-0000-0200-0000B2000000}"/>
    <hyperlink ref="BS18" r:id="rId180" location="RRP" display="https://www.elsevier.com/reviewers/role - RRP" xr:uid="{00000000-0004-0000-0200-0000B3000000}"/>
    <hyperlink ref="BV18" r:id="rId181" location="RRP" display="https://www.elsevier.com/reviewers/role - RRP" xr:uid="{00000000-0004-0000-0200-0000B4000000}"/>
    <hyperlink ref="BW18" r:id="rId182" display="https://www.springer.com/philosophy/ethics+and+moral+philosophy/journal/10551" xr:uid="{00000000-0004-0000-0200-0000B5000000}"/>
    <hyperlink ref="BX18" r:id="rId183" location="recognizing" display="https://www.elsevier.com/reviewers/role - recognizing" xr:uid="{00000000-0004-0000-0200-0000B6000000}"/>
    <hyperlink ref="BY18" r:id="rId184" location="RRP" display="https://www.elsevier.com/reviewers/role - RRP" xr:uid="{00000000-0004-0000-0200-0000B7000000}"/>
    <hyperlink ref="BZ18" r:id="rId185" display="http://ascopubs.org/reviewers" xr:uid="{00000000-0004-0000-0200-0000B8000000}"/>
    <hyperlink ref="CB18" r:id="rId186" display="https://publishingsupport.iopscience.iop.org/becoming-a-journal-reviewer/" xr:uid="{00000000-0004-0000-0200-0000B9000000}"/>
    <hyperlink ref="CE18" r:id="rId187" location="recognizing" display="https://www.elsevier.com/reviewers/role - recognizing" xr:uid="{00000000-0004-0000-0200-0000BA000000}"/>
    <hyperlink ref="CF18" r:id="rId188" display="https://publications.agu.org/reviewer-resources/" xr:uid="{00000000-0004-0000-0200-0000BB000000}"/>
    <hyperlink ref="CG18" r:id="rId189" location="recognizing" display="https://www.elsevier.com/reviewers/role - recognizing" xr:uid="{00000000-0004-0000-0200-0000BC000000}"/>
    <hyperlink ref="CI18" r:id="rId190" display="https://us.sagepub.com/en-us/nam/reviewer-rewards" xr:uid="{00000000-0004-0000-0200-0000BD000000}"/>
    <hyperlink ref="CJ18" r:id="rId191" location="review-procedure" display="http://www.rsc.org/journals-books-databases/journal-authors-reviewers/reviewer-responsibilities/ - review-procedure" xr:uid="{00000000-0004-0000-0200-0000BE000000}"/>
    <hyperlink ref="CO18" r:id="rId192" display="https://us.sagepub.com/en-us/nam/reviewer-rewards" xr:uid="{00000000-0004-0000-0200-0000BF000000}"/>
    <hyperlink ref="CR18" r:id="rId193" location="recognizing" display="https://www.elsevier.com/reviewers/role - recognizing" xr:uid="{00000000-0004-0000-0200-0000C0000000}"/>
    <hyperlink ref="CT18" r:id="rId194" location="RRP" display="https://www.elsevier.com/reviewers/role - RRP" xr:uid="{00000000-0004-0000-0200-0000C1000000}"/>
    <hyperlink ref="CY18" r:id="rId195" location="4%20Editorial%20review" display="https://academic.oup.com/mnras/pages/General_Instructions - 4%20Editorial%20review" xr:uid="{00000000-0004-0000-0200-0000C2000000}"/>
    <hyperlink ref="DA18" r:id="rId196" location="peer-review-help" display="http://www.rsc.org/journals-books-databases/journal-authors-reviewers/reviewer-responsibilities/ - peer-review-help" xr:uid="{00000000-0004-0000-0200-0000C3000000}"/>
    <hyperlink ref="DC18" r:id="rId197" display="https://www.nature.com/authors/policies/peer_review.html" xr:uid="{00000000-0004-0000-0200-0000C4000000}"/>
    <hyperlink ref="DD18" r:id="rId198" display="https://www.nature.com/authors/policies/peer_review.html" xr:uid="{00000000-0004-0000-0200-0000C5000000}"/>
    <hyperlink ref="DE18" r:id="rId199" display="https://www.nature.com/authors/policies/peer_review.html" xr:uid="{00000000-0004-0000-0200-0000C6000000}"/>
    <hyperlink ref="DF18" r:id="rId200" display="https://www.nature.com/authors/policies/peer_review.html" xr:uid="{00000000-0004-0000-0200-0000C7000000}"/>
    <hyperlink ref="DG18" r:id="rId201" display="https://www.nature.com/ncomms/journal-policies/guide-to-referees" xr:uid="{00000000-0004-0000-0200-0000C8000000}"/>
    <hyperlink ref="DH18" r:id="rId202" display="https://www.nature.com/authors/policies/peer_review.html" xr:uid="{00000000-0004-0000-0200-0000C9000000}"/>
    <hyperlink ref="DI18" r:id="rId203" display="https://www.nature.com/authors/policies/peer_review.html" xr:uid="{00000000-0004-0000-0200-0000CA000000}"/>
    <hyperlink ref="DJ18" r:id="rId204" display="https://www.nature.com/authors/policies/peer_review.html" xr:uid="{00000000-0004-0000-0200-0000CB000000}"/>
    <hyperlink ref="DK18" r:id="rId205" display="https://www.nature.com/authors/policies/peer_review.html" xr:uid="{00000000-0004-0000-0200-0000CC000000}"/>
    <hyperlink ref="DL18" r:id="rId206" display="https://www.nature.com/authors/policies/peer_review.html" xr:uid="{00000000-0004-0000-0200-0000CD000000}"/>
    <hyperlink ref="DM18" r:id="rId207" display="https://www.nature.com/authors/policies/peer_review.html" xr:uid="{00000000-0004-0000-0200-0000CE000000}"/>
    <hyperlink ref="DN18" r:id="rId208" display="https://www.nature.com/authors/policies/peer_review.html" xr:uid="{00000000-0004-0000-0200-0000CF000000}"/>
    <hyperlink ref="DO18" r:id="rId209" display="https://www.nature.com/authors/policies/peer_review.html" xr:uid="{00000000-0004-0000-0200-0000D0000000}"/>
    <hyperlink ref="DP18" r:id="rId210" display="https://www.nature.com/authors/policies/peer_review.html" xr:uid="{00000000-0004-0000-0200-0000D1000000}"/>
    <hyperlink ref="DX18" r:id="rId211" location="RRP" display="https://www.elsevier.com/reviewers/role - RRP" xr:uid="{00000000-0004-0000-0200-0000D2000000}"/>
    <hyperlink ref="EA18" r:id="rId212" display="https://authorservices.wiley.com/Reviewers/journal-reviewers/recognition-for-reviewers/index.html" xr:uid="{00000000-0004-0000-0200-0000D3000000}"/>
    <hyperlink ref="ED18" r:id="rId213" display="https://www.osapublishing.org/oe/submit/review/outstandingreviewers.cfm" xr:uid="{00000000-0004-0000-0200-0000D4000000}"/>
    <hyperlink ref="EM18" r:id="rId214" display="https://www.pnas.org/content/115/52/E12466" xr:uid="{00000000-0004-0000-0200-0000D5000000}"/>
    <hyperlink ref="EN18" r:id="rId215" display="https://uk.sagepub.com/en-gb/eur/get-credit-for-your-reviews" xr:uid="{00000000-0004-0000-0200-0000D6000000}"/>
    <hyperlink ref="EQ18" r:id="rId216" location="RRP" display="https://www.elsevier.com/reviewers/role - RRP" xr:uid="{00000000-0004-0000-0200-0000D7000000}"/>
    <hyperlink ref="ER18" r:id="rId217" location="RRP" display="https://www.elsevier.com/reviewers/role - RRP" xr:uid="{00000000-0004-0000-0200-0000D8000000}"/>
    <hyperlink ref="FA18" r:id="rId218" location="recognizing" display="https://www.elsevier.com/reviewers/role - recognizing" xr:uid="{00000000-0004-0000-0200-0000D9000000}"/>
    <hyperlink ref="FC18" r:id="rId219" display="https://authorservices.wiley.com/Reviewers/journal-reviewers/recognition-for-reviewers/index.html" xr:uid="{00000000-0004-0000-0200-0000DA000000}"/>
    <hyperlink ref="FI18" r:id="rId220" display="https://authorservices.wiley.com/Reviewers/journal-reviewers/recognition-for-reviewers/index.html" xr:uid="{00000000-0004-0000-0200-0000DB000000}"/>
    <hyperlink ref="FN18" r:id="rId221" display="https://authorservices.wiley.com/Reviewers/journal-reviewers/recognition-for-reviewers/index.html" xr:uid="{00000000-0004-0000-0200-0000DC000000}"/>
    <hyperlink ref="FS18" r:id="rId222" location="RRP" display="https://www.elsevier.com/reviewers/role - RRP" xr:uid="{00000000-0004-0000-0200-0000DD000000}"/>
    <hyperlink ref="FT18" r:id="rId223" location="recognizing" display="https://www.elsevier.com/reviewers/role - recognizing" xr:uid="{00000000-0004-0000-0200-0000DE000000}"/>
    <hyperlink ref="AE20" r:id="rId224" display="https://authors.bmj.com/policies/peer-review-terms-and-conditions/" xr:uid="{00000000-0004-0000-0200-0000DF000000}"/>
    <hyperlink ref="AR20" r:id="rId225" display="https://www.elsevier.com/authors/journal-authors/submit-your-paper" xr:uid="{00000000-0004-0000-0200-0000E0000000}"/>
    <hyperlink ref="BQ20" r:id="rId226" display="http://www.cell.com/immunity/articletransfer" xr:uid="{00000000-0004-0000-0200-0000E1000000}"/>
    <hyperlink ref="E21" r:id="rId227" xr:uid="{00000000-0004-0000-0200-0000E2000000}"/>
    <hyperlink ref="G21" r:id="rId228" display="https://pubs.acs.org/paragonplus/submission/aamick/aamick_authguide.pdf" xr:uid="{00000000-0004-0000-0200-0000E3000000}"/>
    <hyperlink ref="I21" r:id="rId229" display="https://pubs.acs.org/page/policy/manuscript_transfer/index.html" xr:uid="{00000000-0004-0000-0200-0000E4000000}"/>
    <hyperlink ref="K21" r:id="rId230" display="https://pubs.acs.org/page/policy/manuscript_transfer/index.html" xr:uid="{00000000-0004-0000-0200-0000E5000000}"/>
    <hyperlink ref="W21" r:id="rId231" display="https://authors.bmj.com/policies/peer-review-terms-and-conditions/" xr:uid="{00000000-0004-0000-0200-0000E6000000}"/>
    <hyperlink ref="X21" r:id="rId232" display="https://www.elsevier.com/reviewers/what-is-peer-review" xr:uid="{00000000-0004-0000-0200-0000E7000000}"/>
    <hyperlink ref="Y21" r:id="rId233" display="https://www.elsevier.com/reviewers/what-is-peer-review" xr:uid="{00000000-0004-0000-0200-0000E8000000}"/>
    <hyperlink ref="AA21" r:id="rId234" display="https://aip.scitation.org/apl/info/policies" xr:uid="{00000000-0004-0000-0200-0000E9000000}"/>
    <hyperlink ref="AC21" r:id="rId235" display="https://www.elsevier.com/reviewers/what-is-peer-review" xr:uid="{00000000-0004-0000-0200-0000EA000000}"/>
    <hyperlink ref="AE21" r:id="rId236" display="https://authors.bmj.com/policies/peer-review-terms-and-conditions/" xr:uid="{00000000-0004-0000-0200-0000EB000000}"/>
    <hyperlink ref="AF21" r:id="rId237" display="https://www.cell.com/cancer-cell/articletransfer" xr:uid="{00000000-0004-0000-0200-0000EC000000}"/>
    <hyperlink ref="AG21" r:id="rId238" display="http://aacrjournals.org/content/authors/manuscript-transfer" xr:uid="{00000000-0004-0000-0200-0000ED000000}"/>
    <hyperlink ref="AH21" r:id="rId239" display="https://www.cell.com/cell/articletransfer" xr:uid="{00000000-0004-0000-0200-0000EE000000}"/>
    <hyperlink ref="AI21" r:id="rId240" display="https://www.cell.com/cell-metabolism/articletransfer" xr:uid="{00000000-0004-0000-0200-0000EF000000}"/>
    <hyperlink ref="AJ21" r:id="rId241" display="https://www.cell.com/cell-stem-cell/articletransfer" xr:uid="{00000000-0004-0000-0200-0000F0000000}"/>
    <hyperlink ref="AK21" r:id="rId242" location="transfers" display="http://www.rsc.org/journals-books-databases/journal-authors-reviewers/processes-policies/ - transfers" xr:uid="{00000000-0004-0000-0200-0000F1000000}"/>
    <hyperlink ref="AL21" r:id="rId243" display="https://pubs.acs.org/page/policy/manuscript_transfer/index.html" xr:uid="{00000000-0004-0000-0200-0000F2000000}"/>
    <hyperlink ref="AM21" r:id="rId244" location="transfers" display="http://www.rsc.org/journals-books-databases/journal-authors-reviewers/processes-policies/ - transfers" xr:uid="{00000000-0004-0000-0200-0000F3000000}"/>
    <hyperlink ref="AN21" r:id="rId245" display="https://pubs.acs.org/page/policy/manuscript_transfer/index.html" xr:uid="{00000000-0004-0000-0200-0000F4000000}"/>
    <hyperlink ref="AQ21" r:id="rId246" display="http://aacrjournals.org/content/authors/manuscript-transfer" xr:uid="{00000000-0004-0000-0200-0000F5000000}"/>
    <hyperlink ref="AR21" r:id="rId247" display="https://www.elsevier.com/reviewers/what-is-peer-review" xr:uid="{00000000-0004-0000-0200-0000F6000000}"/>
    <hyperlink ref="AU21" r:id="rId248" location="sharing" display="https://www.econometricsociety.org/publications/econometrica/information-authors/editorial-procedures-and-policies - sharing" xr:uid="{00000000-0004-0000-0200-0000F7000000}"/>
    <hyperlink ref="AV21" r:id="rId249" location="transfers" display="https://www.rsc.org/journals-books-databases/journal-authors-reviewers/processes-policies/ - transfers" xr:uid="{00000000-0004-0000-0200-0000F8000000}"/>
    <hyperlink ref="AW21" r:id="rId250" display="https://pubs.acs.org/paragonplus/submission/esthag/esthag_authguide.pdf" xr:uid="{00000000-0004-0000-0200-0000F9000000}"/>
    <hyperlink ref="AX21" r:id="rId251" display="https://academic.oup.com/eurheartj/pages/Manuscript_Sharing" xr:uid="{00000000-0004-0000-0200-0000FA000000}"/>
    <hyperlink ref="AY21" r:id="rId252" display="https://www.elsevier.com/reviewers/what-is-peer-review" xr:uid="{00000000-0004-0000-0200-0000FB000000}"/>
    <hyperlink ref="AZ21" r:id="rId253" display="https://www.elsevier.com/reviewers/what-is-peer-review" xr:uid="{00000000-0004-0000-0200-0000FC000000}"/>
    <hyperlink ref="BC21" r:id="rId254" display="https://www.elsevier.com/reviewers/what-is-peer-review" xr:uid="{00000000-0004-0000-0200-0000FD000000}"/>
    <hyperlink ref="BD21" r:id="rId255" display="https://www.journals.elsevier.com/government-information-quarterly/announcements" xr:uid="{00000000-0004-0000-0200-0000FE000000}"/>
    <hyperlink ref="BE21" r:id="rId256" location="manuscript_transfer" display="https://gut.bmj.com/pages/authors/ - manuscript_transfer" xr:uid="{00000000-0004-0000-0200-0000FF000000}"/>
    <hyperlink ref="BS21" r:id="rId257" display="https://www.elsevier.com/reviewers/what-is-peer-review" xr:uid="{00000000-0004-0000-0200-000000010000}"/>
    <hyperlink ref="BT21" r:id="rId258" display="https://jamanetwork.com/journals/jama/pages/instructions-for-authors" xr:uid="{00000000-0004-0000-0200-000001010000}"/>
    <hyperlink ref="BU21" r:id="rId259" display="https://www.elsevier.com/authors/journal-authors/submit-your-paper/submit-and-revise/article-transfer-service" xr:uid="{00000000-0004-0000-0200-000002010000}"/>
    <hyperlink ref="BV21" r:id="rId260" display="https://www.elsevier.com/reviewers/what-is-peer-review" xr:uid="{00000000-0004-0000-0200-000003010000}"/>
    <hyperlink ref="BX21" r:id="rId261" display="https://www.elsevier.com/reviewers/what-is-peer-review" xr:uid="{00000000-0004-0000-0200-000004010000}"/>
    <hyperlink ref="BY21" r:id="rId262" display="https://www.elsevier.com/reviewers/what-is-peer-review" xr:uid="{00000000-0004-0000-0200-000005010000}"/>
    <hyperlink ref="CB21" r:id="rId263" display="https://publishingsupport.iopscience.iop.org/questions/article-transfer-service/" xr:uid="{00000000-0004-0000-0200-000006010000}"/>
    <hyperlink ref="CE21" r:id="rId264" display="https://www.elsevier.com/authors/journal-authors/submit-your-paper/submit-and-revise/article-transfer-service" xr:uid="{00000000-0004-0000-0200-000007010000}"/>
    <hyperlink ref="CH21" r:id="rId265" display="https://www.springer.com/us/authors-editors/journal-author/the-springer-transfer-desk" xr:uid="{00000000-0004-0000-0200-000008010000}"/>
    <hyperlink ref="CJ21" r:id="rId266" location="transfers" display="http://www.rsc.org/journals-books-databases/journal-authors-reviewers/processes-policies/ - transfers" xr:uid="{00000000-0004-0000-0200-000009010000}"/>
    <hyperlink ref="CK21" r:id="rId267" display="https://www.elsevier.com/authors/journal-authors/submit-your-paper/submit-and-revise/article-transfer-service" xr:uid="{00000000-0004-0000-0200-00000A010000}"/>
    <hyperlink ref="CL21" r:id="rId268" display="https://pubs.acs.org/page/policy/manuscript_transfer/index.html" xr:uid="{00000000-0004-0000-0200-00000B010000}"/>
    <hyperlink ref="CR21" r:id="rId269" display="https://www.elsevier.com/authors/journal-authors/submit-your-paper/submit-and-revise/article-transfer-service" xr:uid="{00000000-0004-0000-0200-00000C010000}"/>
    <hyperlink ref="CT21" r:id="rId270" display="https://www.elsevier.com/reviewers/what-is-peer-review" xr:uid="{00000000-0004-0000-0200-00000D010000}"/>
    <hyperlink ref="CX21" r:id="rId271" display="https://www.cell.com/molecular-cell/authors" xr:uid="{00000000-0004-0000-0200-00000E010000}"/>
    <hyperlink ref="CZ21" r:id="rId272" display="https://pubs.acs.org/page/policy/manuscript_transfer/index.html" xr:uid="{00000000-0004-0000-0200-00000F010000}"/>
    <hyperlink ref="DB21" r:id="rId273" display="https://www.nature.com/authors/author_resources/transfer_manuscripts.html" xr:uid="{00000000-0004-0000-0200-000010010000}"/>
    <hyperlink ref="DC21" r:id="rId274" display="https://www.nature.com/authors/author_resources/transfer_manuscripts.html" xr:uid="{00000000-0004-0000-0200-000011010000}"/>
    <hyperlink ref="DD21" r:id="rId275" display="https://www.nature.com/authors/author_resources/transfer_manuscripts.html" xr:uid="{00000000-0004-0000-0200-000012010000}"/>
    <hyperlink ref="DE21" r:id="rId276" display="https://www.nature.com/authors/author_resources/transfer_manuscripts.html" xr:uid="{00000000-0004-0000-0200-000013010000}"/>
    <hyperlink ref="DF21" r:id="rId277" display="https://www.nature.com/authors/author_resources/transfer_manuscripts.html" xr:uid="{00000000-0004-0000-0200-000014010000}"/>
    <hyperlink ref="DG21" r:id="rId278" display="https://www.nature.com/authors/author_resources/transfer_manuscripts.html" xr:uid="{00000000-0004-0000-0200-000015010000}"/>
    <hyperlink ref="DH21" r:id="rId279" display="https://www.nature.com/authors/author_resources/transfer_manuscripts.html" xr:uid="{00000000-0004-0000-0200-000016010000}"/>
    <hyperlink ref="DI21" r:id="rId280" display="https://www.nature.com/authors/author_resources/transfer_manuscripts.html" xr:uid="{00000000-0004-0000-0200-000017010000}"/>
    <hyperlink ref="DJ21" r:id="rId281" display="https://www.nature.com/authors/author_resources/transfer_manuscripts.html" xr:uid="{00000000-0004-0000-0200-000018010000}"/>
    <hyperlink ref="DK21" r:id="rId282" display="https://www.nature.com/authors/author_resources/transfer_manuscripts.html" xr:uid="{00000000-0004-0000-0200-000019010000}"/>
    <hyperlink ref="DL21" r:id="rId283" display="https://www.nature.com/authors/author_resources/transfer_manuscripts.html" xr:uid="{00000000-0004-0000-0200-00001A010000}"/>
    <hyperlink ref="DM21" r:id="rId284" display="https://www.nature.com/authors/author_resources/transfer_manuscripts.html" xr:uid="{00000000-0004-0000-0200-00001B010000}"/>
    <hyperlink ref="DN21" r:id="rId285" display="https://www.nature.com/authors/author_resources/transfer_manuscripts.html" xr:uid="{00000000-0004-0000-0200-00001C010000}"/>
    <hyperlink ref="DO21" r:id="rId286" display="https://www.nature.com/authors/author_resources/transfer_manuscripts.html" xr:uid="{00000000-0004-0000-0200-00001D010000}"/>
    <hyperlink ref="DP21" r:id="rId287" display="https://www.nature.com/authors/author_resources/transfer_manuscripts.html" xr:uid="{00000000-0004-0000-0200-00001E010000}"/>
    <hyperlink ref="DX21" r:id="rId288" display="https://www.elsevier.com/reviewers/what-is-peer-review" xr:uid="{00000000-0004-0000-0200-00001F010000}"/>
    <hyperlink ref="DY21" r:id="rId289" display="https://www.cell.com/neuron/authors" xr:uid="{00000000-0004-0000-0200-000020010000}"/>
    <hyperlink ref="EE21" r:id="rId290" display="http://www.aappublications.org/content/pediatrics-author-guidelines" xr:uid="{00000000-0004-0000-0200-000021010000}"/>
    <hyperlink ref="EG21" r:id="rId291" location="guide" display="https://journals.aps.org/prb/authors/editorial-policies-practices - guide" xr:uid="{00000000-0004-0000-0200-000022010000}"/>
    <hyperlink ref="EH21" r:id="rId292" location="sub" display="https://journals.aps.org/prd/authors/editorial-policies-practices - sub" xr:uid="{00000000-0004-0000-0200-000023010000}"/>
    <hyperlink ref="EJ21" r:id="rId293" display="https://journals.aps.org/prx/authors/editorial-policies-practices" xr:uid="{00000000-0004-0000-0200-000024010000}"/>
    <hyperlink ref="EK21" r:id="rId294" display="https://www.elsevier.com/journals/physics-letters-b/0370-2693/guide-for-authors" xr:uid="{00000000-0004-0000-0200-000025010000}"/>
    <hyperlink ref="EL21" r:id="rId295" display="https://journals.plos.org/plosone/s/editorial-and-peer-review-process" xr:uid="{00000000-0004-0000-0200-000026010000}"/>
    <hyperlink ref="EQ21" r:id="rId296" display="https://www.elsevier.com/reviewers/what-is-peer-review" xr:uid="{00000000-0004-0000-0200-000027010000}"/>
    <hyperlink ref="ER21" r:id="rId297" display="https://www.elsevier.com/reviewers/what-is-peer-review" xr:uid="{00000000-0004-0000-0200-000028010000}"/>
    <hyperlink ref="EU21" r:id="rId298" display="https://www.sciencemag.org/authors/science-information-authors" xr:uid="{00000000-0004-0000-0200-000029010000}"/>
    <hyperlink ref="EW21" r:id="rId299" display="https://www.nature.com/authors/author_resources/transfer_manuscripts.html" xr:uid="{00000000-0004-0000-0200-00002A010000}"/>
    <hyperlink ref="EX21" r:id="rId300" display="https://www.elsevier.com/journals/social-science-and-medicine/0277-9536/guide-for-authors" xr:uid="{00000000-0004-0000-0200-00002B010000}"/>
    <hyperlink ref="FB21" r:id="rId301" display="https://www.elsevier.com/journals/teaching-and-teacher-education/0742-051x/guide-for-authors" xr:uid="{00000000-0004-0000-0200-00002C010000}"/>
    <hyperlink ref="FJ21" r:id="rId302" display="http://pubs.acs.org/paragonplus/submission/jpclcd/jpclcd_authguide.pdf" xr:uid="{00000000-0004-0000-0200-00002D010000}"/>
    <hyperlink ref="FK21" r:id="rId303" display="https://www.thelancet.com/pb/assets/raw/Lancet/authors/lancet-information-for-authors.pdf" xr:uid="{00000000-0004-0000-0200-00002E010000}"/>
    <hyperlink ref="FL21" r:id="rId304" display="https://els-jbs-prod-cdn.literatumonline.com/pb/assets/raw/Lancet/authors/tln-info-for-authors-1541596047120.pdf" xr:uid="{00000000-0004-0000-0200-00002F010000}"/>
    <hyperlink ref="FM21" r:id="rId305" display="https://els-jbs-prod-cdn.literatumonline.com/pb/assets/raw/Lancet/authors/tlo-info-for-authors-1541596062097.pdf" xr:uid="{00000000-0004-0000-0200-000030010000}"/>
    <hyperlink ref="FS21" r:id="rId306" display="https://www.elsevier.com/reviewers/what-is-peer-review" xr:uid="{00000000-0004-0000-0200-000031010000}"/>
    <hyperlink ref="FT21" r:id="rId307" display="https://www.elsevier.com/reviewers/what-is-peer-review" xr:uid="{00000000-0004-0000-0200-000032010000}"/>
    <hyperlink ref="AE30" r:id="rId308" display="https://authors.bmj.com/policies/peer-review-terms-and-conditions/" xr:uid="{00000000-0004-0000-0200-000033010000}"/>
    <hyperlink ref="AF30" r:id="rId309" display="https://publons.com/journal/573/cancer-cell" xr:uid="{00000000-0004-0000-0200-000034010000}"/>
    <hyperlink ref="E32" r:id="rId310" xr:uid="{00000000-0004-0000-0200-000035010000}"/>
    <hyperlink ref="J32" r:id="rId311" location="amrR7" display="https://aom.org/Publications/AMR/Frequently-Asked-Questions.aspx - amrR7" xr:uid="{00000000-0004-0000-0200-000036010000}"/>
    <hyperlink ref="O32" r:id="rId312" display="https://www.aeaweb.org/content/file?id=222" xr:uid="{00000000-0004-0000-0200-000037010000}"/>
    <hyperlink ref="P32" r:id="rId313" display="https://ajps.org/ajps-reviewer-instructions/" xr:uid="{00000000-0004-0000-0200-000038010000}"/>
    <hyperlink ref="Q32" r:id="rId314" display="https://ajph.aphapublications.org/page/authors.html" xr:uid="{00000000-0004-0000-0200-000039010000}"/>
    <hyperlink ref="S32" r:id="rId315" display="https://uk.sagepub.com/en-gb/eur/how-to-review-articles" xr:uid="{00000000-0004-0000-0200-00003A010000}"/>
    <hyperlink ref="U32" r:id="rId316" display="http://annals.org/aim/pages/authors" xr:uid="{00000000-0004-0000-0200-00003B010000}"/>
    <hyperlink ref="W32" r:id="rId317" display="https://authors.bmj.com/policies/peer-review-terms-and-conditions/" xr:uid="{00000000-0004-0000-0200-00003C010000}"/>
    <hyperlink ref="Z32" r:id="rId318" display="https://academic.oup.com/journals/pages/authors/ethics" xr:uid="{00000000-0004-0000-0200-00003D010000}"/>
    <hyperlink ref="AC32" r:id="rId319" display="https://www.elsevier.com/reviewers/how-to-review" xr:uid="{00000000-0004-0000-0200-00003E010000}"/>
    <hyperlink ref="AD32" r:id="rId320" display="http://www.bloodjournal.org/page/authors/author-guide/peer-review" xr:uid="{00000000-0004-0000-0200-00003F010000}"/>
    <hyperlink ref="AE32" r:id="rId321" display="https://www.bmj.com/about-bmj/resources-reviewers" xr:uid="{00000000-0004-0000-0200-000040010000}"/>
    <hyperlink ref="AF32" r:id="rId322" display="https://www.cell.com/reviewers" xr:uid="{00000000-0004-0000-0200-000041010000}"/>
    <hyperlink ref="AH32" r:id="rId323" display="https://www.cell.com/reviewers" xr:uid="{00000000-0004-0000-0200-000042010000}"/>
    <hyperlink ref="AI32" r:id="rId324" display="https://www.cell.com/reviewers" xr:uid="{00000000-0004-0000-0200-000043010000}"/>
    <hyperlink ref="AJ32" r:id="rId325" display="https://www.cell.com/reviewers" xr:uid="{00000000-0004-0000-0200-000044010000}"/>
    <hyperlink ref="AM32" r:id="rId326" location="ethical-responsibilities" display="https://www.rsc.org/journals-books-databases/journal-authors-reviewers/reviewer-responsibilities/ - ethical-responsibilities" xr:uid="{00000000-0004-0000-0200-000045010000}"/>
    <hyperlink ref="AP32" r:id="rId327" display="https://www.ahajournals.org/pb-assets/Ethical ConductPolicyApril2017finalWeb.pdf" xr:uid="{00000000-0004-0000-0200-000046010000}"/>
    <hyperlink ref="AQ32" r:id="rId328" display="https://ccr.msubmit.net/cgi-bin/main.plex?form_type=display_rev_instructions" xr:uid="{00000000-0004-0000-0200-000047010000}"/>
    <hyperlink ref="AS32" r:id="rId329" display="http://www.diabetesjournals.org/for-reviewers" xr:uid="{00000000-0004-0000-0200-000048010000}"/>
    <hyperlink ref="AZ32" r:id="rId330" display="https://www.gastrojournal.org/content/authorinfo" xr:uid="{00000000-0004-0000-0200-000049010000}"/>
    <hyperlink ref="BB32" r:id="rId331" display="https://publications.agu.org/reviewer-resources/" xr:uid="{00000000-0004-0000-0200-00004A010000}"/>
    <hyperlink ref="BC32" r:id="rId332" display="https://www.elsevier.com/reviewers/how-to-review" xr:uid="{00000000-0004-0000-0200-00004B010000}"/>
    <hyperlink ref="BD32" r:id="rId333" display="https://www.elsevier.com/reviewers/how-to-review" xr:uid="{00000000-0004-0000-0200-00004C010000}"/>
    <hyperlink ref="BE32" r:id="rId334" display="https://authors.bmj.com/policies/peer-review-terms-and-conditions/" xr:uid="{00000000-0004-0000-0200-00004D010000}"/>
    <hyperlink ref="BF32" r:id="rId335" display="https://www.healthaffairs.org/help-for-reviewers" xr:uid="{00000000-0004-0000-0200-00004E010000}"/>
    <hyperlink ref="BJ32" r:id="rId336" display="http://cvpr2019.thecvf.com/submission/main_conference/reviewer_guidelines" xr:uid="{00000000-0004-0000-0200-00004F010000}"/>
    <hyperlink ref="BK32" r:id="rId337" display="http://iccv2019.thecvf.com/submission/main_conference/reviewer_guidelines" xr:uid="{00000000-0004-0000-0200-000050010000}"/>
    <hyperlink ref="BP32" r:id="rId338" display="https://signalprocessingsociety.org/publications-resources/publications-faq" xr:uid="{00000000-0004-0000-0200-000051010000}"/>
    <hyperlink ref="BS32" r:id="rId339" display="https://www.elsevier.com/reviewers/how-to-review" xr:uid="{00000000-0004-0000-0200-000052010000}"/>
    <hyperlink ref="BV32" r:id="rId340" display="https://www.elsevier.com/reviewers/how-to-review" xr:uid="{00000000-0004-0000-0200-000053010000}"/>
    <hyperlink ref="BX32" r:id="rId341" display="https://www.elsevier.com/reviewers/how-to-review" xr:uid="{00000000-0004-0000-0200-000054010000}"/>
    <hyperlink ref="BY32" r:id="rId342" display="https://www.elsevier.com/reviewers/how-to-review" xr:uid="{00000000-0004-0000-0200-000055010000}"/>
    <hyperlink ref="CB32" r:id="rId343" display="https://publishingsupport.iopscience.iop.org/questions/ethics-for-reviewers/" xr:uid="{00000000-0004-0000-0200-000056010000}"/>
    <hyperlink ref="CD32" r:id="rId344" display="https://www.apa.org/pubs/journals/reviewer-instructions.pdf" xr:uid="{00000000-0004-0000-0200-000057010000}"/>
    <hyperlink ref="CE32" r:id="rId345" display="https://www.elsevier.com/reviewers/how-to-review" xr:uid="{00000000-0004-0000-0200-000058010000}"/>
    <hyperlink ref="CI32" r:id="rId346" display="https://us.sagepub.com/en-us/nam/how-to-review-articles" xr:uid="{00000000-0004-0000-0200-000059010000}"/>
    <hyperlink ref="CJ32" r:id="rId347" location="review-procedure" display="http://www.rsc.org/journals-books-databases/journal-authors-reviewers/reviewer-responsibilities/ - review-procedure" xr:uid="{00000000-0004-0000-0200-00005A010000}"/>
    <hyperlink ref="CO32" r:id="rId348" display="https://us.sagepub.com/en-us/nam/how-to-review-articles" xr:uid="{00000000-0004-0000-0200-00005B010000}"/>
    <hyperlink ref="CT32" r:id="rId349" display="https://www.elsevier.com/reviewers/how-to-review" xr:uid="{00000000-0004-0000-0200-00005C010000}"/>
    <hyperlink ref="CZ32" r:id="rId350" display="https://pubs.acs.org/userimages/ContentEditor/1218054468605/ethics.pdf" xr:uid="{00000000-0004-0000-0200-00005D010000}"/>
    <hyperlink ref="DA32" r:id="rId351" location="ethical-responsibilities" display="https://www.rsc.org/journals-books-databases/journal-authors-reviewers/reviewer-responsibilities/ - ethical-responsibilities" xr:uid="{00000000-0004-0000-0200-00005E010000}"/>
    <hyperlink ref="DB32" r:id="rId352" display="https://www.nature.com/nature/for-referees/policies-and-processes" xr:uid="{00000000-0004-0000-0200-00005F010000}"/>
    <hyperlink ref="DC32" r:id="rId353" display="https://www.nature.com/nbt/for-referees/policies-and-processes" xr:uid="{00000000-0004-0000-0200-000060010000}"/>
    <hyperlink ref="DD32" r:id="rId354" display="https://www.nature.com/ncb/for-referees/policies-and-processes" xr:uid="{00000000-0004-0000-0200-000061010000}"/>
    <hyperlink ref="DE32" r:id="rId355" display="https://www.nature.com/nchem/for-referees/policies-and-processes" xr:uid="{00000000-0004-0000-0200-000062010000}"/>
    <hyperlink ref="DF32" r:id="rId356" display="https://www.nature.com/nclimate/for-referees/policies-and-processes" xr:uid="{00000000-0004-0000-0200-000063010000}"/>
    <hyperlink ref="DG32" r:id="rId357" display="https://www.nature.com/ncomms/journal-policies/guide-to-referees" xr:uid="{00000000-0004-0000-0200-000064010000}"/>
    <hyperlink ref="DH32" r:id="rId358" display="https://www.nature.com/ng/for-referees/policies-and-processes" xr:uid="{00000000-0004-0000-0200-000065010000}"/>
    <hyperlink ref="DI32" r:id="rId359" display="https://www.nature.com/ni/for-referees/policies-and-processes" xr:uid="{00000000-0004-0000-0200-000066010000}"/>
    <hyperlink ref="DJ32" r:id="rId360" display="https://www.nature.com/nmat/for-referees/policies-and-processes" xr:uid="{00000000-0004-0000-0200-000067010000}"/>
    <hyperlink ref="DK32" r:id="rId361" display="https://www.nature.com/nm/for-referees/policies-and-processes" xr:uid="{00000000-0004-0000-0200-000068010000}"/>
    <hyperlink ref="DL32" r:id="rId362" display="https://www.nature.com/nmeth/for-referees/policies-and-processes" xr:uid="{00000000-0004-0000-0200-000069010000}"/>
    <hyperlink ref="DM32" r:id="rId363" display="https://www.nature.com/nnano/for-referees/policies-and-processes" xr:uid="{00000000-0004-0000-0200-00006A010000}"/>
    <hyperlink ref="DN32" r:id="rId364" display="https://www.nature.com/neuro/for-referees/policies-and-processes" xr:uid="{00000000-0004-0000-0200-00006B010000}"/>
    <hyperlink ref="DO32" r:id="rId365" display="https://www.nature.com/nphoton/for-referees/policies-and-processes" xr:uid="{00000000-0004-0000-0200-00006C010000}"/>
    <hyperlink ref="DP32" r:id="rId366" display="https://www.nature.com/nphys/for-referees/policies-and-processes" xr:uid="{00000000-0004-0000-0200-00006D010000}"/>
    <hyperlink ref="DQ32" r:id="rId367" display="https://www.nature.com/nrc/for-referees" xr:uid="{00000000-0004-0000-0200-00006E010000}"/>
    <hyperlink ref="DR32" r:id="rId368" display="https://www.nature.com/nrg/for-referees" xr:uid="{00000000-0004-0000-0200-00006F010000}"/>
    <hyperlink ref="DS32" r:id="rId369" display="https://www.nature.com/nrc/for-referees" xr:uid="{00000000-0004-0000-0200-000070010000}"/>
    <hyperlink ref="DT32" r:id="rId370" display="https://www.nature.com/nrg/for-referees" xr:uid="{00000000-0004-0000-0200-000071010000}"/>
    <hyperlink ref="DU32" r:id="rId371" display="https://www.nature.com/nrg/for-referees" xr:uid="{00000000-0004-0000-0200-000072010000}"/>
    <hyperlink ref="DV32" r:id="rId372" display="https://www.nature.com/nrg/for-referees" xr:uid="{00000000-0004-0000-0200-000073010000}"/>
    <hyperlink ref="DX32" r:id="rId373" display="https://www.elsevier.com/reviewers/how-to-review" xr:uid="{00000000-0004-0000-0200-000074010000}"/>
    <hyperlink ref="DY32" r:id="rId374" display="https://www.cell.com/reviewers" xr:uid="{00000000-0004-0000-0200-000075010000}"/>
    <hyperlink ref="EA32" r:id="rId375" display="https://authorservices.wiley.com/Reviewers/journal-reviewers/how-to-perform-a-peer-review/general-and-ethical-guidelines.html" xr:uid="{00000000-0004-0000-0200-000076010000}"/>
    <hyperlink ref="ED32" r:id="rId376" location="overview" display="https://www.osapublishing.org/submit/review/peer_review.cfm - overview" xr:uid="{00000000-0004-0000-0200-000077010000}"/>
    <hyperlink ref="EE32" r:id="rId377" display="http://www.aappublications.org/content/pediatrics-reviewer-guidelines" xr:uid="{00000000-0004-0000-0200-000078010000}"/>
    <hyperlink ref="EG32" r:id="rId378" location="anonymity" display="https://journals.aps.org/prb/authors/editorial-policies-practices - anonymity" xr:uid="{00000000-0004-0000-0200-000079010000}"/>
    <hyperlink ref="EH32" r:id="rId379" location="anonymity" display="https://journals.aps.org/prd/authors/editorial-policies-practices - anonymity" xr:uid="{00000000-0004-0000-0200-00007A010000}"/>
    <hyperlink ref="EI32" r:id="rId380" location="anonymity" display="https://journals.aps.org/prl/authors/editorial-policies-practices - anonymity" xr:uid="{00000000-0004-0000-0200-00007B010000}"/>
    <hyperlink ref="EJ32" r:id="rId381" display="https://journals.aps.org/prx/authors/editorial-policies-practices" xr:uid="{00000000-0004-0000-0200-00007C010000}"/>
    <hyperlink ref="EL32" r:id="rId382" display="https://journals.plos.org/plosone/s/reviewer-guidelines" xr:uid="{00000000-0004-0000-0200-00007D010000}"/>
    <hyperlink ref="EM32" r:id="rId383" display="https://www.pnas.org/page/authors/reviewers" xr:uid="{00000000-0004-0000-0200-00007E010000}"/>
    <hyperlink ref="EN32" r:id="rId384" display="https://uk.sagepub.com/en-gb/eur/how-to-review-articles" xr:uid="{00000000-0004-0000-0200-00007F010000}"/>
    <hyperlink ref="EQ32" r:id="rId385" display="https://www.elsevier.com/reviewers/how-to-review" xr:uid="{00000000-0004-0000-0200-000080010000}"/>
    <hyperlink ref="ER32" r:id="rId386" display="https://www.elsevier.com/reviewers/how-to-review" xr:uid="{00000000-0004-0000-0200-000081010000}"/>
    <hyperlink ref="ET32" r:id="rId387" display="https://journals.aps.org/rmp/info/procedures.html" xr:uid="{00000000-0004-0000-0200-000082010000}"/>
    <hyperlink ref="EU32" r:id="rId388" display="https://www.sciencemag.org/authors/peer-review-science-publications" xr:uid="{00000000-0004-0000-0200-000083010000}"/>
    <hyperlink ref="EV32" r:id="rId389" display="https://stm.sciencemag.org/content/information-reviewers" xr:uid="{00000000-0004-0000-0200-000084010000}"/>
    <hyperlink ref="EW32" r:id="rId390" location="confidentiality" display="https://www.nature.com/srep/journal-policies/referees - confidentiality" xr:uid="{00000000-0004-0000-0200-000085010000}"/>
    <hyperlink ref="EY32" r:id="rId391" display="https://authorservices.wiley.com/Reviewers/journal-reviewers/how-to-perform-a-peer-review/general-and-ethical-guidelines.html" xr:uid="{00000000-0004-0000-0200-000086010000}"/>
    <hyperlink ref="FH32" r:id="rId392" location="Editorial_Policies" display="https://www.jci.org/kiosks/authors - Editorial_Policies" xr:uid="{00000000-0004-0000-0200-000087010000}"/>
    <hyperlink ref="FI32" r:id="rId393" display="https://authorservices.wiley.com/Reviewers/journal-reviewers/how-to-perform-a-peer-review/general-and-ethical-guidelines.html" xr:uid="{00000000-0004-0000-0200-000088010000}"/>
    <hyperlink ref="FS32" r:id="rId394" display="https://www.elsevier.com/reviewers/how-to-review" xr:uid="{00000000-0004-0000-0200-000089010000}"/>
    <hyperlink ref="FT32" r:id="rId395" display="https://www.elsevier.com/reviewers/how-to-review" xr:uid="{00000000-0004-0000-0200-00008A010000}"/>
    <hyperlink ref="H36" r:id="rId396" display="https://pubs.acs.org/paragonplus/submission/achre4/achre4_authguide.pdf" xr:uid="{00000000-0004-0000-0200-00008B010000}"/>
    <hyperlink ref="I36" r:id="rId397" display="https://pubs.acs.org/page/accacs/submission/prior.htmlhttps:/pubs.acs.org/page/policy/authorchoice/index.html" xr:uid="{00000000-0004-0000-0200-00008C010000}"/>
    <hyperlink ref="J36" r:id="rId398" display="http://aom.org/Publications/AMJ/Information-for-Contributors.aspx" xr:uid="{00000000-0004-0000-0200-00008D010000}"/>
    <hyperlink ref="K36" r:id="rId399" display="https://pubs.acs.org/page/ancac3/submission/prior.html" xr:uid="{00000000-0004-0000-0200-00008E010000}"/>
    <hyperlink ref="M36" r:id="rId400" display="https://wol-prod-cdn.literatumonline.com/pb-assets/assets/16163028/AFM-guide-for-authors-may-2018-1526994585463.pdf" xr:uid="{00000000-0004-0000-0200-00008F010000}"/>
    <hyperlink ref="N36" r:id="rId401" display="https://onlinelibrary.wiley.com/pb-assets/assets/15214095/2089_guidelines.pdf" xr:uid="{00000000-0004-0000-0200-000090010000}"/>
    <hyperlink ref="O36" r:id="rId402" display="https://www.aeaweb.org/journals/policies/copyright" xr:uid="{00000000-0004-0000-0200-000091010000}"/>
    <hyperlink ref="P36" r:id="rId403" display="https://ajpsblogging.files.wordpress.com/2015/09/ajps-author-resources-ver-1-0.pdf" xr:uid="{00000000-0004-0000-0200-000092010000}"/>
    <hyperlink ref="S36" r:id="rId404" display="https://us.sagepub.com/en-us/nam/prior-publication" xr:uid="{00000000-0004-0000-0200-000093010000}"/>
    <hyperlink ref="T36" r:id="rId405" display="https://onlinelibrary.wiley.com/page/journal/15213773/homepage/notice-to-authors" xr:uid="{00000000-0004-0000-0200-000094010000}"/>
    <hyperlink ref="U36" r:id="rId406" display="http://annals.org/aim/pages/authors" xr:uid="{00000000-0004-0000-0200-000095010000}"/>
    <hyperlink ref="V36" r:id="rId407" display="https://academic.oup.com/journals/pages/access_purchase/rights_and_permissions/author_self_archiving_policy" xr:uid="{00000000-0004-0000-0200-000096010000}"/>
    <hyperlink ref="W36" r:id="rId408" display="https://authors.bmj.com/policies/preprints/" xr:uid="{00000000-0004-0000-0200-000097010000}"/>
    <hyperlink ref="X36" r:id="rId409" display="https://www.elsevier.com/about/policies/sharing" xr:uid="{00000000-0004-0000-0200-000098010000}"/>
    <hyperlink ref="Y36" r:id="rId410" display="https://www.elsevier.com/about/policies/sharing" xr:uid="{00000000-0004-0000-0200-000099010000}"/>
    <hyperlink ref="Z36" r:id="rId411" display="https://academic.oup.com/journals/pages/access_purchase/rights_and_permissions/author_self_archiving_policy" xr:uid="{00000000-0004-0000-0200-00009A010000}"/>
    <hyperlink ref="AB36" r:id="rId412" display="https://www.aanda.org/author-information" xr:uid="{00000000-0004-0000-0200-00009B010000}"/>
    <hyperlink ref="AD36" r:id="rId413" display="http://www.bloodjournal.org/page/authors/author-guide/Editorial-policies-for-authors" xr:uid="{00000000-0004-0000-0200-00009C010000}"/>
    <hyperlink ref="AE36" r:id="rId414" display="https://authors.bmj.com/policies/preprints/" xr:uid="{00000000-0004-0000-0200-00009D010000}"/>
    <hyperlink ref="AF36" r:id="rId415" display="https://www.cell.com/cancer-cell/authors" xr:uid="{00000000-0004-0000-0200-00009E010000}"/>
    <hyperlink ref="AG36" r:id="rId416" display="http://aacrjournals.org/content/authors/editorial-policies" xr:uid="{00000000-0004-0000-0200-00009F010000}"/>
    <hyperlink ref="AH36" r:id="rId417" display="https://www.cell.com/cell/authors" xr:uid="{00000000-0004-0000-0200-0000A0010000}"/>
    <hyperlink ref="AI36" r:id="rId418" display="https://www.cell.com/cell-metabolism/authors" xr:uid="{00000000-0004-0000-0200-0000A1010000}"/>
    <hyperlink ref="AJ36" r:id="rId419" display="https://www.cell.com/cell-stem-cell/authors" xr:uid="{00000000-0004-0000-0200-0000A2010000}"/>
    <hyperlink ref="AK36" r:id="rId420" location="prior-publication" display="http://www.rsc.org/journals-books-databases/journal-authors-reviewers/processes-policies/ - prior-publication" xr:uid="{00000000-0004-0000-0200-0000A3010000}"/>
    <hyperlink ref="AL36" r:id="rId421" display="https://pubs.acs.org/page/chreay/submission/prior.html" xr:uid="{00000000-0004-0000-0200-0000A4010000}"/>
    <hyperlink ref="AM36" r:id="rId422" location="prior-publication" display="http://www.rsc.org/journals-books-databases/journal-authors-reviewers/processes-policies/ - prior-publication" xr:uid="{00000000-0004-0000-0200-0000A5010000}"/>
    <hyperlink ref="AN36" r:id="rId423" display="https://pubs.acs.org/page/cmatex/submission/prior.html" xr:uid="{00000000-0004-0000-0200-0000A6010000}"/>
    <hyperlink ref="AO36" r:id="rId424" display="https://www.ahajournals.org/prior-publication-policy" xr:uid="{00000000-0004-0000-0200-0000A7010000}"/>
    <hyperlink ref="AP36" r:id="rId425" display="https://www.ahajournals.org/prior-publication-policy" xr:uid="{00000000-0004-0000-0200-0000A8010000}"/>
    <hyperlink ref="AQ36" r:id="rId426" display="http://aacrjournals.org/content/authors/editorial-policies" xr:uid="{00000000-0004-0000-0200-0000A9010000}"/>
    <hyperlink ref="AR36" r:id="rId427" display="https://www.elsevier.com/journals/computers-and-education/0360-1315?generatepdf=true" xr:uid="{00000000-0004-0000-0200-0000AA010000}"/>
    <hyperlink ref="AS36" r:id="rId428" location="originality" display="http://www.diabetesjournals.org/content/journal-policies - originality" xr:uid="{00000000-0004-0000-0200-0000AB010000}"/>
    <hyperlink ref="AU36" r:id="rId429" location="priorpublication" display="https://www.econometricsociety.org/publications/econometrica/information-authors/editorial-procedures-and-policies - priorpublication" xr:uid="{00000000-0004-0000-0200-0000AC010000}"/>
    <hyperlink ref="AV36" r:id="rId430" location="prior-publication" display="https://www.rsc.org/journals-books-databases/journal-authors-reviewers/processes-policies/ - prior-publication" xr:uid="{00000000-0004-0000-0200-0000AD010000}"/>
    <hyperlink ref="AW36" r:id="rId431" display="https://pubs.acs.org/page/esthag/submission/prior.html" xr:uid="{00000000-0004-0000-0200-0000AE010000}"/>
    <hyperlink ref="AX36" r:id="rId432" display="https://academic.oup.com/journals/pages/access_purchase/rights_and_permissions/self_archiving_policy_b" xr:uid="{00000000-0004-0000-0200-0000AF010000}"/>
    <hyperlink ref="AZ36" r:id="rId433" display="https://www.gastrojournal.org/content/authorinfo" xr:uid="{00000000-0004-0000-0200-0000B0010000}"/>
    <hyperlink ref="BA36" r:id="rId434" display="https://uk.sagepub.com/en-gb/eur/prior-publication" xr:uid="{00000000-0004-0000-0200-0000B1010000}"/>
    <hyperlink ref="BB36" r:id="rId435" display="https://publications.agu.org/author-resource-center/publication-policies/dual-publication-policy/" xr:uid="{00000000-0004-0000-0200-0000B2010000}"/>
    <hyperlink ref="BC36" r:id="rId436" display="https://www.elsevier.com/about/policies/sharing" xr:uid="{00000000-0004-0000-0200-0000B3010000}"/>
    <hyperlink ref="BD36" r:id="rId437" display="https://www.elsevier.com/about/policies/sharing" xr:uid="{00000000-0004-0000-0200-0000B4010000}"/>
    <hyperlink ref="BE36" r:id="rId438" display="https://authors.bmj.com/policies/preprints/" xr:uid="{00000000-0004-0000-0200-0000B5010000}"/>
    <hyperlink ref="BF36" r:id="rId439" display="https://www.healthaffairs.org/help-for-authors" xr:uid="{00000000-0004-0000-0200-0000B6010000}"/>
    <hyperlink ref="BG36" r:id="rId440" display="https://aasldpubs.onlinelibrary.wiley.com/hub/journal/15273350/about/author-guidelines" xr:uid="{00000000-0004-0000-0200-0000B7010000}"/>
    <hyperlink ref="BH36" r:id="rId441" display="https://pspb.ieee.org/images/files/files/opsmanual.pdf" xr:uid="{00000000-0004-0000-0200-0000B8010000}"/>
    <hyperlink ref="BI36" r:id="rId442" display="https://pspb.ieee.org/images/files/files/opsmanual.pdf" xr:uid="{00000000-0004-0000-0200-0000B9010000}"/>
    <hyperlink ref="BJ36" r:id="rId443" display="http://cvpr2019.thecvf.com/submission/main_conference/author_guidelines" xr:uid="{00000000-0004-0000-0200-0000BA010000}"/>
    <hyperlink ref="BK36" r:id="rId444" display="http://iccv2019.thecvf.com/submission/main_conference/author_guidelines" xr:uid="{00000000-0004-0000-0200-0000BB010000}"/>
    <hyperlink ref="BL36" r:id="rId445" display="https://ieeeauthorcenter.ieee.org/publishing-ethics/guidelines-and-policies/policy-posting-your-article/" xr:uid="{00000000-0004-0000-0200-0000BC010000}"/>
    <hyperlink ref="BM36" r:id="rId446" display="https://ieeeauthorcenter.ieee.org/publishing-ethics/guidelines-and-policies/policy-posting-your-article/" xr:uid="{00000000-0004-0000-0200-0000BD010000}"/>
    <hyperlink ref="BN36" r:id="rId447" display="https://ieeeauthorcenter.ieee.org/publishing-ethics/guidelines-and-policies/policy-posting-your-article/" xr:uid="{00000000-0004-0000-0200-0000BE010000}"/>
    <hyperlink ref="BO36" r:id="rId448" display="https://ieeeauthorcenter.ieee.org/publishing-ethics/guidelines-and-policies/policy-posting-your-article/" xr:uid="{00000000-0004-0000-0200-0000BF010000}"/>
    <hyperlink ref="BP36" r:id="rId449" display="https://ieeeauthorcenter.ieee.org/publishing-ethics/guidelines-and-policies/policy-posting-your-article/" xr:uid="{00000000-0004-0000-0200-0000C0010000}"/>
    <hyperlink ref="BQ36" r:id="rId450" display="https://www.cell.com/immunity/authors" xr:uid="{00000000-0004-0000-0200-0000C1010000}"/>
    <hyperlink ref="BS36" r:id="rId451" display="https://www.elsevier.com/journals/international-journal-of-production-economics/0925-5273/guide-for-authors" xr:uid="{00000000-0004-0000-0200-0000C2010000}"/>
    <hyperlink ref="BT36" r:id="rId452" location="SecPreviousorPlannedPresentationorReleaseofInformation" display="https://jamanetwork.com/journals/jama/pages/instructions-for-authors - SecPreviousorPlannedPresentationorReleaseofInformation" xr:uid="{00000000-0004-0000-0200-0000C3010000}"/>
    <hyperlink ref="BU36" r:id="rId453" display="https://www.elsevier.com/about/policies/sharing" xr:uid="{00000000-0004-0000-0200-0000C4010000}"/>
    <hyperlink ref="BV36" r:id="rId454" display="https://www.elsevier.com/about/policies/sharing" xr:uid="{00000000-0004-0000-0200-0000C5010000}"/>
    <hyperlink ref="BX36" r:id="rId455" display="https://www.elsevier.com/about/policies/sharing" xr:uid="{00000000-0004-0000-0200-0000C6010000}"/>
    <hyperlink ref="BY36" r:id="rId456" display="https://www.elsevier.com/about/policies/sharing" xr:uid="{00000000-0004-0000-0200-0000C7010000}"/>
    <hyperlink ref="BZ36" r:id="rId457" display="http://ascopubs.org/jco/site/ifc/journal-policies.xhtml" xr:uid="{00000000-0004-0000-0200-0000C8010000}"/>
    <hyperlink ref="CA36" r:id="rId458" display="https://academic.oup.com/journals/pages/access_purchase/rights_and_permissions/self_archiving_policy_f" xr:uid="{00000000-0004-0000-0200-0000C9010000}"/>
    <hyperlink ref="CB36" r:id="rId459" display="https://jcap.sissa.it/jcap/help/helpLoader.jsp?pgType=flow" xr:uid="{00000000-0004-0000-0200-0000CA010000}"/>
    <hyperlink ref="CD36" r:id="rId460" display="https://www.apa.org/pubs/journals/resources/open-science.aspx" xr:uid="{00000000-0004-0000-0200-0000CB010000}"/>
    <hyperlink ref="CG36" r:id="rId461" display="https://www.elsevier.com/about/policies/sharing" xr:uid="{00000000-0004-0000-0200-0000CC010000}"/>
    <hyperlink ref="CH36" r:id="rId462" location="arXiv" display="https://jhep.sissa.it/jhep/help/helpLoader.jsp?pgType=author - arXiv" xr:uid="{00000000-0004-0000-0200-0000CD010000}"/>
    <hyperlink ref="CI36" r:id="rId463" display="https://us.sagepub.com/en-us/nam/prior-publication" xr:uid="{00000000-0004-0000-0200-0000CE010000}"/>
    <hyperlink ref="CJ36" r:id="rId464" location="prior-publication" display="http://www.rsc.org/journals-books-databases/journal-authors-reviewers/processes-policies/ - prior-publication" xr:uid="{00000000-0004-0000-0200-0000CF010000}"/>
    <hyperlink ref="CL36" r:id="rId465" display="http://pubs.acs.org/paragonplus/submission/jacsat/jacsat_authguide.pdf" xr:uid="{00000000-0004-0000-0200-0000D0010000}"/>
    <hyperlink ref="CM36" r:id="rId466" display="http://www.onlinejacc.org/content/73/2/A28" xr:uid="{00000000-0004-0000-0200-0000D1010000}"/>
    <hyperlink ref="CO36" r:id="rId467" display="https://us.sagepub.com/en-us/nam/prior-publication" xr:uid="{00000000-0004-0000-0200-0000D2010000}"/>
    <hyperlink ref="CR36" r:id="rId468" display="https://www.elsevier.com/about/policies/copyright/permissions" xr:uid="{00000000-0004-0000-0200-0000D3010000}"/>
    <hyperlink ref="CW36" r:id="rId469" display="https://uk.sagepub.com/en-gb/eur/journal-author-archiving-policies-and-re-use" xr:uid="{00000000-0004-0000-0200-0000D4010000}"/>
    <hyperlink ref="CX36" r:id="rId470" display="https://www.cell.com/molecular-cell/authors" xr:uid="{00000000-0004-0000-0200-0000D5010000}"/>
    <hyperlink ref="CZ36" r:id="rId471" display="https://pubs.acs.org/page/nalefd/submission/prior.html" xr:uid="{00000000-0004-0000-0200-0000D6010000}"/>
    <hyperlink ref="DA36" r:id="rId472" location="prior-publication" display="http://www.rsc.org/journals-books-databases/journal-authors-reviewers/processes-policies/ - prior-publication" xr:uid="{00000000-0004-0000-0200-0000D7010000}"/>
    <hyperlink ref="DB36" r:id="rId473" display="https://www.nature.com/authors/policies/preprints.html" xr:uid="{00000000-0004-0000-0200-0000D8010000}"/>
    <hyperlink ref="DC36" r:id="rId474" display="https://www.nature.com/authors/policies/preprints.html" xr:uid="{00000000-0004-0000-0200-0000D9010000}"/>
    <hyperlink ref="DD36" r:id="rId475" display="https://www.nature.com/authors/policies/preprints.html" xr:uid="{00000000-0004-0000-0200-0000DA010000}"/>
    <hyperlink ref="DE36" r:id="rId476" display="https://www.nature.com/authors/policies/preprints.html" xr:uid="{00000000-0004-0000-0200-0000DB010000}"/>
    <hyperlink ref="DF36" r:id="rId477" display="https://www.nature.com/authors/policies/preprints.html" xr:uid="{00000000-0004-0000-0200-0000DC010000}"/>
    <hyperlink ref="DG36" r:id="rId478" display="https://www.nature.com/authors/policies/preprints.html" xr:uid="{00000000-0004-0000-0200-0000DD010000}"/>
    <hyperlink ref="DH36" r:id="rId479" display="https://www.nature.com/authors/policies/preprints.html" xr:uid="{00000000-0004-0000-0200-0000DE010000}"/>
    <hyperlink ref="DI36" r:id="rId480" display="https://www.nature.com/authors/policies/preprints.html" xr:uid="{00000000-0004-0000-0200-0000DF010000}"/>
    <hyperlink ref="DJ36" r:id="rId481" display="https://www.nature.com/authors/policies/preprints.html" xr:uid="{00000000-0004-0000-0200-0000E0010000}"/>
    <hyperlink ref="DK36" r:id="rId482" display="https://www.nature.com/authors/policies/preprints.html" xr:uid="{00000000-0004-0000-0200-0000E1010000}"/>
    <hyperlink ref="DL36" r:id="rId483" display="https://www.nature.com/authors/policies/preprints.html" xr:uid="{00000000-0004-0000-0200-0000E2010000}"/>
    <hyperlink ref="DM36" r:id="rId484" display="https://www.nature.com/authors/policies/preprints.html" xr:uid="{00000000-0004-0000-0200-0000E3010000}"/>
    <hyperlink ref="DN36" r:id="rId485" display="https://www.nature.com/authors/policies/preprints.html" xr:uid="{00000000-0004-0000-0200-0000E4010000}"/>
    <hyperlink ref="DO36" r:id="rId486" display="https://www.nature.com/authors/policies/preprints.html" xr:uid="{00000000-0004-0000-0200-0000E5010000}"/>
    <hyperlink ref="DP36" r:id="rId487" display="https://www.nature.com/authors/policies/preprints.html" xr:uid="{00000000-0004-0000-0200-0000E6010000}"/>
    <hyperlink ref="DW36" r:id="rId488" display="https://nips.cc/Conferences/2019/CallForPapers" xr:uid="{00000000-0004-0000-0200-0000E7010000}"/>
    <hyperlink ref="DX36" r:id="rId489" display="https://www.elsevier.com/about/policies/sharing" xr:uid="{00000000-0004-0000-0200-0000E8010000}"/>
    <hyperlink ref="DY36" r:id="rId490" display="https://www.cell.com/neuron/authors" xr:uid="{00000000-0004-0000-0200-0000E9010000}"/>
    <hyperlink ref="EA36" r:id="rId491" display="https://authorservices.wiley.com/author-resources/Journal-Authors/open-access/preprints-policy.html" xr:uid="{00000000-0004-0000-0200-0000EA010000}"/>
    <hyperlink ref="EB36" r:id="rId492" location="Prior%20Publication" display="https://academic.oup.com/nar/pages/Policies - Prior%20Publication" xr:uid="{00000000-0004-0000-0200-0000EB010000}"/>
    <hyperlink ref="EK36" r:id="rId493" display="https://www.elsevier.com/journals/physics-letters-b/0370-2693/guide-for-authors" xr:uid="{00000000-0004-0000-0200-0000EC010000}"/>
    <hyperlink ref="EL36" r:id="rId494" display="https://journals.plos.org/plosone/s/preprints" xr:uid="{00000000-0004-0000-0200-0000ED010000}"/>
    <hyperlink ref="EO36" r:id="rId495" display="https://academic.oup.com/journals/pages/access_purchase/rights_and_permissions/self_archiving_policy_a" xr:uid="{00000000-0004-0000-0200-0000EE010000}"/>
    <hyperlink ref="ES36" r:id="rId496" location="authorposting" display="https://www.mitpressjournals.org/for_authors - authorposting" xr:uid="{00000000-0004-0000-0200-0000EF010000}"/>
    <hyperlink ref="ET36" r:id="rId497" display="https://journals.aps.org/rmp/info/procedures.html" xr:uid="{00000000-0004-0000-0200-0000F0010000}"/>
    <hyperlink ref="EU36" r:id="rId498" display="http://www.sciencemag.org/authors/science-journals-editorial-policies" xr:uid="{00000000-0004-0000-0200-0000F1010000}"/>
    <hyperlink ref="EV36" r:id="rId499" display="https://stm.sciencemag.org/content/science-translational-medicine-general-policies" xr:uid="{00000000-0004-0000-0200-0000F2010000}"/>
    <hyperlink ref="EW36" r:id="rId500" location="confidentiality" display="https://www.nature.com/srep/journal-policies/editorial-policies?draft=journal&amp;target=content - confidentiality" xr:uid="{00000000-0004-0000-0200-0000F3010000}"/>
    <hyperlink ref="EZ36" r:id="rId501" display="https://www.springer.com/philosophy/epistemology+and+philosophy+of+science/journal/11229" xr:uid="{00000000-0004-0000-0200-0000F4010000}"/>
    <hyperlink ref="FC36" r:id="rId502" display="https://onlinelibrary.wiley.com/page/journal/15457249/homepage/forauthors.html" xr:uid="{00000000-0004-0000-0200-0000F5010000}"/>
    <hyperlink ref="FF36" r:id="rId503" display="http://ideas.cochrane.org/forums/326856-cochrane-style-manual/suggestions/18762079-referencing-preprints" xr:uid="{00000000-0004-0000-0200-0000F6010000}"/>
    <hyperlink ref="FG36" r:id="rId504" location="preprintservers" display="https://epjc.epj.org/epjc-faq - preprintservers" xr:uid="{00000000-0004-0000-0200-0000F7010000}"/>
    <hyperlink ref="FH36" r:id="rId505" location="Editorial_Policies" display="https://www.jci.org/kiosks/authors - Editorial_Policies" xr:uid="{00000000-0004-0000-0200-0000F8010000}"/>
    <hyperlink ref="FI36" r:id="rId506" display="https://cdn.ymaws.com/www.afajof.org/resource/resmgr/files/Submission_docs/JF_Submission_Guidelines-Feb.pdf" xr:uid="{00000000-0004-0000-0200-0000F9010000}"/>
    <hyperlink ref="FJ36" r:id="rId507" display="http://pubs.acs.org/paragonplus/submission/jpclcd/jpclcd_authguide.pdf" xr:uid="{00000000-0004-0000-0200-0000FA010000}"/>
    <hyperlink ref="FL36" r:id="rId508" display="https://els-jbs-prod-cdn.literatumonline.com/pb/assets/raw/Lancet/authors/tln-info-for-authors-1541596047120.pdf" xr:uid="{00000000-0004-0000-0200-0000FB010000}"/>
    <hyperlink ref="FO36" r:id="rId509" display="https://www.nejm.org/about-nejm/editorial-policies" xr:uid="{00000000-0004-0000-0200-0000FC010000}"/>
    <hyperlink ref="FP36" r:id="rId510" display="https://academic.oup.com/journals/pages/access_purchase/rights_and_permissions/self_archiving_policy_f" xr:uid="{00000000-0004-0000-0200-0000FD010000}"/>
    <hyperlink ref="FQ36" r:id="rId511" display="https://academic.oup.com/journals/pages/access_purchase/rights_and_permissions/self_archiving_policy_f" xr:uid="{00000000-0004-0000-0200-0000FE010000}"/>
    <hyperlink ref="FS36" r:id="rId512" display="https://www.elsevier.com/about/policies/sharing" xr:uid="{00000000-0004-0000-0200-0000FF010000}"/>
    <hyperlink ref="FT36" r:id="rId513" display="https://www.elsevier.com/about/policies/sharing" xr:uid="{00000000-0004-0000-0200-000000020000}"/>
    <hyperlink ref="AF38" r:id="rId514" display="https://arxiv.org/" xr:uid="{00000000-0004-0000-0200-000001020000}"/>
    <hyperlink ref="AH38" r:id="rId515" display="https://arxiv.org/" xr:uid="{00000000-0004-0000-0200-000002020000}"/>
    <hyperlink ref="AI38" r:id="rId516" display="https://arxiv.org/" xr:uid="{00000000-0004-0000-0200-000003020000}"/>
    <hyperlink ref="AJ38" r:id="rId517" display="https://arxiv.org/" xr:uid="{00000000-0004-0000-0200-000004020000}"/>
    <hyperlink ref="EB38" r:id="rId518" display="http://arxiv.org/" xr:uid="{00000000-0004-0000-0200-000005020000}"/>
    <hyperlink ref="AF41" r:id="rId519" location="prepub" display="https://www.cell.com/cancer-cell/authors - prepub" xr:uid="{00000000-0004-0000-0200-000006020000}"/>
    <hyperlink ref="AS41" r:id="rId520" display="http://care.diabetesjournals.org/content/early/recent" xr:uid="{00000000-0004-0000-0200-000007020000}"/>
    <hyperlink ref="DY41" r:id="rId521" location="prepub" display="https://www.cell.com/neuron/authors?code=cell-site - prepub" xr:uid="{00000000-0004-0000-0200-00000802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T1008"/>
  <sheetViews>
    <sheetView workbookViewId="0">
      <pane xSplit="2" ySplit="9" topLeftCell="C10" activePane="bottomRight" state="frozen"/>
      <selection pane="topRight" activeCell="C1" sqref="C1"/>
      <selection pane="bottomLeft" activeCell="A10" sqref="A10"/>
      <selection pane="bottomRight" activeCell="C10" sqref="C10"/>
    </sheetView>
  </sheetViews>
  <sheetFormatPr baseColWidth="10" defaultColWidth="14.5" defaultRowHeight="15.75" customHeight="1"/>
  <cols>
    <col min="3" max="3" width="21.83203125" customWidth="1"/>
    <col min="6" max="13" width="14.5" hidden="1"/>
    <col min="14" max="14" width="3" customWidth="1"/>
    <col min="18" max="18" width="3" customWidth="1"/>
    <col min="22" max="22" width="3" customWidth="1"/>
    <col min="26" max="26" width="3" customWidth="1"/>
    <col min="30" max="30" width="3" customWidth="1"/>
    <col min="34" max="34" width="3" customWidth="1"/>
    <col min="38" max="38" width="3" customWidth="1"/>
    <col min="42" max="42" width="3" customWidth="1"/>
  </cols>
  <sheetData>
    <row r="1" spans="1:46" ht="15.75" customHeight="1">
      <c r="A1" s="445" t="s">
        <v>1435</v>
      </c>
      <c r="B1" s="445" t="s">
        <v>1436</v>
      </c>
      <c r="C1" s="446"/>
      <c r="D1" s="447"/>
      <c r="E1" s="446" t="s">
        <v>1437</v>
      </c>
      <c r="F1" s="447"/>
      <c r="G1" s="446"/>
      <c r="H1" s="447"/>
      <c r="I1" s="447"/>
      <c r="J1" s="447"/>
      <c r="K1" s="447"/>
      <c r="L1" s="447"/>
      <c r="M1" s="447"/>
      <c r="N1" s="448"/>
      <c r="O1" s="449"/>
      <c r="P1" s="446"/>
      <c r="Q1" s="450" t="s">
        <v>524</v>
      </c>
      <c r="R1" s="448"/>
      <c r="S1" s="451"/>
      <c r="T1" s="452"/>
      <c r="U1" s="450" t="s">
        <v>469</v>
      </c>
      <c r="V1" s="448"/>
      <c r="W1" s="451"/>
      <c r="X1" s="453"/>
      <c r="Y1" s="450" t="s">
        <v>1350</v>
      </c>
      <c r="Z1" s="448"/>
      <c r="AA1" s="451"/>
      <c r="AB1" s="453"/>
      <c r="AC1" s="450" t="s">
        <v>876</v>
      </c>
      <c r="AD1" s="448"/>
      <c r="AE1" s="451"/>
      <c r="AF1" s="453"/>
      <c r="AG1" s="450" t="s">
        <v>786</v>
      </c>
      <c r="AH1" s="448"/>
      <c r="AI1" s="451"/>
      <c r="AJ1" s="447"/>
      <c r="AK1" s="450" t="s">
        <v>994</v>
      </c>
      <c r="AL1" s="448"/>
      <c r="AM1" s="447"/>
      <c r="AN1" s="447"/>
      <c r="AO1" s="450" t="s">
        <v>851</v>
      </c>
      <c r="AP1" s="448"/>
      <c r="AQ1" s="447"/>
      <c r="AR1" s="447"/>
      <c r="AS1" s="454" t="s">
        <v>368</v>
      </c>
      <c r="AT1" s="447"/>
    </row>
    <row r="2" spans="1:46" ht="15.75" customHeight="1">
      <c r="A2" s="455" t="s">
        <v>386</v>
      </c>
      <c r="B2" s="455" t="s">
        <v>1439</v>
      </c>
      <c r="C2" s="446"/>
      <c r="D2" s="447"/>
      <c r="E2" s="447">
        <f t="shared" ref="E2:E6" ca="1" si="0">COUNTIF(E$10:E$200, $B2)</f>
        <v>2</v>
      </c>
      <c r="F2" s="447"/>
      <c r="G2" s="446"/>
      <c r="H2" s="447"/>
      <c r="I2" s="447"/>
      <c r="J2" s="447"/>
      <c r="K2" s="447"/>
      <c r="L2" s="447"/>
      <c r="M2" s="447"/>
      <c r="N2" s="448"/>
      <c r="O2" s="449"/>
      <c r="P2" s="447"/>
      <c r="Q2" s="447">
        <f t="shared" ref="Q2:Q6" ca="1" si="1">COUNTIF(Q$10:Q$200, $B2)</f>
        <v>0</v>
      </c>
      <c r="R2" s="448"/>
      <c r="S2" s="451"/>
      <c r="T2" s="447"/>
      <c r="U2" s="447">
        <f t="shared" ref="U2:U6" ca="1" si="2">COUNTIF(U$10:U$200, $B2)</f>
        <v>0</v>
      </c>
      <c r="V2" s="448"/>
      <c r="W2" s="451"/>
      <c r="X2" s="447"/>
      <c r="Y2" s="447">
        <f t="shared" ref="Y2:Y6" ca="1" si="3">COUNTIF(Y$10:Y$200, $B2)</f>
        <v>0</v>
      </c>
      <c r="Z2" s="448"/>
      <c r="AA2" s="451"/>
      <c r="AB2" s="447"/>
      <c r="AC2" s="447">
        <f t="shared" ref="AC2:AC6" ca="1" si="4">COUNTIF(AC$10:AC$200, $B2)</f>
        <v>2</v>
      </c>
      <c r="AD2" s="448"/>
      <c r="AE2" s="451"/>
      <c r="AF2" s="447"/>
      <c r="AG2" s="447">
        <f t="shared" ref="AG2:AG6" ca="1" si="5">COUNTIF(AG$10:AG$200, $B2)</f>
        <v>0</v>
      </c>
      <c r="AH2" s="448"/>
      <c r="AI2" s="451"/>
      <c r="AJ2" s="447"/>
      <c r="AK2" s="447">
        <f t="shared" ref="AK2:AK6" ca="1" si="6">COUNTIF(AK$10:AK$200, $B2)</f>
        <v>0</v>
      </c>
      <c r="AL2" s="448"/>
      <c r="AM2" s="447"/>
      <c r="AN2" s="447"/>
      <c r="AO2" s="447">
        <f t="shared" ref="AO2:AO6" ca="1" si="7">COUNTIF(AO$10:AO$200, $B2)</f>
        <v>0</v>
      </c>
      <c r="AP2" s="448"/>
      <c r="AQ2" s="447"/>
      <c r="AR2" s="447"/>
      <c r="AS2" s="447">
        <f t="shared" ref="AS2:AS6" ca="1" si="8">COUNTIF(AS$10:AS$200, $B2)</f>
        <v>0</v>
      </c>
      <c r="AT2" s="447"/>
    </row>
    <row r="3" spans="1:46" ht="15.75" customHeight="1">
      <c r="A3" s="455" t="s">
        <v>374</v>
      </c>
      <c r="B3" s="455" t="s">
        <v>1443</v>
      </c>
      <c r="C3" s="446"/>
      <c r="D3" s="447"/>
      <c r="E3" s="447">
        <f t="shared" ca="1" si="0"/>
        <v>51</v>
      </c>
      <c r="F3" s="447"/>
      <c r="G3" s="446"/>
      <c r="H3" s="447"/>
      <c r="I3" s="447"/>
      <c r="J3" s="447"/>
      <c r="K3" s="447"/>
      <c r="L3" s="447"/>
      <c r="M3" s="447"/>
      <c r="N3" s="448"/>
      <c r="O3" s="449"/>
      <c r="P3" s="447"/>
      <c r="Q3" s="447">
        <f t="shared" ca="1" si="1"/>
        <v>0</v>
      </c>
      <c r="R3" s="448"/>
      <c r="S3" s="451"/>
      <c r="T3" s="447"/>
      <c r="U3" s="447">
        <f t="shared" ca="1" si="2"/>
        <v>9</v>
      </c>
      <c r="V3" s="448"/>
      <c r="W3" s="451"/>
      <c r="X3" s="447"/>
      <c r="Y3" s="447">
        <f t="shared" ca="1" si="3"/>
        <v>6</v>
      </c>
      <c r="Z3" s="448"/>
      <c r="AA3" s="451"/>
      <c r="AB3" s="447"/>
      <c r="AC3" s="447">
        <f t="shared" ca="1" si="4"/>
        <v>12</v>
      </c>
      <c r="AD3" s="448"/>
      <c r="AE3" s="451"/>
      <c r="AF3" s="447"/>
      <c r="AG3" s="447">
        <f t="shared" ca="1" si="5"/>
        <v>0</v>
      </c>
      <c r="AH3" s="448"/>
      <c r="AI3" s="451"/>
      <c r="AJ3" s="447"/>
      <c r="AK3" s="447">
        <f t="shared" ca="1" si="6"/>
        <v>7</v>
      </c>
      <c r="AL3" s="448"/>
      <c r="AM3" s="447"/>
      <c r="AN3" s="447"/>
      <c r="AO3" s="447">
        <f t="shared" ca="1" si="7"/>
        <v>13</v>
      </c>
      <c r="AP3" s="448"/>
      <c r="AQ3" s="447"/>
      <c r="AR3" s="447"/>
      <c r="AS3" s="447">
        <f t="shared" ca="1" si="8"/>
        <v>1</v>
      </c>
      <c r="AT3" s="447"/>
    </row>
    <row r="4" spans="1:46" ht="15.75" customHeight="1">
      <c r="A4" s="455" t="s">
        <v>382</v>
      </c>
      <c r="B4" s="455" t="s">
        <v>1445</v>
      </c>
      <c r="C4" s="446"/>
      <c r="D4" s="447"/>
      <c r="E4" s="447">
        <f t="shared" ca="1" si="0"/>
        <v>46</v>
      </c>
      <c r="F4" s="447"/>
      <c r="G4" s="446"/>
      <c r="H4" s="447"/>
      <c r="I4" s="447"/>
      <c r="J4" s="447"/>
      <c r="K4" s="447"/>
      <c r="L4" s="447"/>
      <c r="M4" s="447"/>
      <c r="N4" s="448"/>
      <c r="O4" s="449"/>
      <c r="P4" s="447"/>
      <c r="Q4" s="447">
        <f t="shared" ca="1" si="1"/>
        <v>11</v>
      </c>
      <c r="R4" s="448"/>
      <c r="S4" s="451"/>
      <c r="T4" s="447"/>
      <c r="U4" s="447">
        <f t="shared" ca="1" si="2"/>
        <v>0</v>
      </c>
      <c r="V4" s="448"/>
      <c r="W4" s="451"/>
      <c r="X4" s="447"/>
      <c r="Y4" s="447">
        <f t="shared" ca="1" si="3"/>
        <v>3</v>
      </c>
      <c r="Z4" s="448"/>
      <c r="AA4" s="451"/>
      <c r="AB4" s="447"/>
      <c r="AC4" s="447">
        <f t="shared" ca="1" si="4"/>
        <v>0</v>
      </c>
      <c r="AD4" s="448"/>
      <c r="AE4" s="451"/>
      <c r="AF4" s="447"/>
      <c r="AG4" s="447">
        <f t="shared" ca="1" si="5"/>
        <v>15</v>
      </c>
      <c r="AH4" s="448"/>
      <c r="AI4" s="451"/>
      <c r="AJ4" s="447"/>
      <c r="AK4" s="447">
        <f t="shared" ca="1" si="6"/>
        <v>0</v>
      </c>
      <c r="AL4" s="448"/>
      <c r="AM4" s="447"/>
      <c r="AN4" s="447"/>
      <c r="AO4" s="447">
        <f t="shared" ca="1" si="7"/>
        <v>0</v>
      </c>
      <c r="AP4" s="448"/>
      <c r="AQ4" s="447"/>
      <c r="AR4" s="447"/>
      <c r="AS4" s="447">
        <f t="shared" ca="1" si="8"/>
        <v>17</v>
      </c>
      <c r="AT4" s="447"/>
    </row>
    <row r="5" spans="1:46" ht="15.75" customHeight="1">
      <c r="A5" s="455" t="s">
        <v>385</v>
      </c>
      <c r="B5" s="455" t="s">
        <v>1446</v>
      </c>
      <c r="C5" s="446"/>
      <c r="D5" s="447"/>
      <c r="E5" s="447">
        <f t="shared" ca="1" si="0"/>
        <v>54</v>
      </c>
      <c r="F5" s="447"/>
      <c r="G5" s="446"/>
      <c r="H5" s="447"/>
      <c r="I5" s="447"/>
      <c r="J5" s="447"/>
      <c r="K5" s="447"/>
      <c r="L5" s="447"/>
      <c r="M5" s="447"/>
      <c r="N5" s="448"/>
      <c r="O5" s="449"/>
      <c r="P5" s="447"/>
      <c r="Q5" s="447">
        <f t="shared" ca="1" si="1"/>
        <v>9</v>
      </c>
      <c r="R5" s="448"/>
      <c r="S5" s="451"/>
      <c r="T5" s="447"/>
      <c r="U5" s="447">
        <f t="shared" ca="1" si="2"/>
        <v>8</v>
      </c>
      <c r="V5" s="448"/>
      <c r="W5" s="451"/>
      <c r="X5" s="447"/>
      <c r="Y5" s="447">
        <f t="shared" ca="1" si="3"/>
        <v>8</v>
      </c>
      <c r="Z5" s="448"/>
      <c r="AA5" s="451"/>
      <c r="AB5" s="447"/>
      <c r="AC5" s="447">
        <f t="shared" ca="1" si="4"/>
        <v>3</v>
      </c>
      <c r="AD5" s="448"/>
      <c r="AE5" s="451"/>
      <c r="AF5" s="447"/>
      <c r="AG5" s="447">
        <f t="shared" ca="1" si="5"/>
        <v>3</v>
      </c>
      <c r="AH5" s="448"/>
      <c r="AI5" s="451"/>
      <c r="AJ5" s="447"/>
      <c r="AK5" s="447">
        <f t="shared" ca="1" si="6"/>
        <v>6</v>
      </c>
      <c r="AL5" s="448"/>
      <c r="AM5" s="447"/>
      <c r="AN5" s="447"/>
      <c r="AO5" s="447">
        <f t="shared" ca="1" si="7"/>
        <v>5</v>
      </c>
      <c r="AP5" s="448"/>
      <c r="AQ5" s="447"/>
      <c r="AR5" s="447"/>
      <c r="AS5" s="447">
        <f t="shared" ca="1" si="8"/>
        <v>0</v>
      </c>
      <c r="AT5" s="447"/>
    </row>
    <row r="6" spans="1:46" ht="15.75" customHeight="1">
      <c r="A6" s="455" t="s">
        <v>1036</v>
      </c>
      <c r="B6" s="455" t="s">
        <v>1447</v>
      </c>
      <c r="C6" s="446"/>
      <c r="D6" s="447"/>
      <c r="E6" s="447">
        <f t="shared" ca="1" si="0"/>
        <v>18</v>
      </c>
      <c r="F6" s="447"/>
      <c r="G6" s="446"/>
      <c r="H6" s="447"/>
      <c r="I6" s="447"/>
      <c r="J6" s="447"/>
      <c r="K6" s="447"/>
      <c r="L6" s="447"/>
      <c r="M6" s="447"/>
      <c r="N6" s="448"/>
      <c r="O6" s="449"/>
      <c r="P6" s="447"/>
      <c r="Q6" s="447">
        <f t="shared" ca="1" si="1"/>
        <v>0</v>
      </c>
      <c r="R6" s="448"/>
      <c r="S6" s="451"/>
      <c r="T6" s="447"/>
      <c r="U6" s="447">
        <f t="shared" ca="1" si="2"/>
        <v>3</v>
      </c>
      <c r="V6" s="448"/>
      <c r="W6" s="451"/>
      <c r="X6" s="447"/>
      <c r="Y6" s="447">
        <f t="shared" ca="1" si="3"/>
        <v>3</v>
      </c>
      <c r="Z6" s="448"/>
      <c r="AA6" s="451"/>
      <c r="AB6" s="447"/>
      <c r="AC6" s="447">
        <f t="shared" ca="1" si="4"/>
        <v>3</v>
      </c>
      <c r="AD6" s="448"/>
      <c r="AE6" s="451"/>
      <c r="AF6" s="447"/>
      <c r="AG6" s="447">
        <f t="shared" ca="1" si="5"/>
        <v>2</v>
      </c>
      <c r="AH6" s="448"/>
      <c r="AI6" s="451"/>
      <c r="AJ6" s="447"/>
      <c r="AK6" s="447">
        <f t="shared" ca="1" si="6"/>
        <v>7</v>
      </c>
      <c r="AL6" s="448"/>
      <c r="AM6" s="447"/>
      <c r="AN6" s="447"/>
      <c r="AO6" s="447">
        <f t="shared" ca="1" si="7"/>
        <v>2</v>
      </c>
      <c r="AP6" s="448"/>
      <c r="AQ6" s="447"/>
      <c r="AR6" s="447"/>
      <c r="AS6" s="447">
        <f t="shared" ca="1" si="8"/>
        <v>2</v>
      </c>
      <c r="AT6" s="447"/>
    </row>
    <row r="7" spans="1:46" ht="15.75" customHeight="1">
      <c r="A7" s="455" t="s">
        <v>1451</v>
      </c>
      <c r="B7" s="455"/>
      <c r="C7" s="446"/>
      <c r="D7" s="447"/>
      <c r="E7" s="447">
        <f ca="1">COUNTA(E$10:E$200)</f>
        <v>185</v>
      </c>
      <c r="F7" s="447"/>
      <c r="G7" s="446"/>
      <c r="H7" s="447"/>
      <c r="I7" s="447"/>
      <c r="J7" s="447"/>
      <c r="K7" s="447"/>
      <c r="L7" s="447"/>
      <c r="M7" s="447"/>
      <c r="N7" s="448"/>
      <c r="O7" s="449"/>
      <c r="P7" s="447"/>
      <c r="Q7" s="447">
        <f ca="1">COUNTA(Q$10:Q$200)</f>
        <v>20</v>
      </c>
      <c r="R7" s="448"/>
      <c r="S7" s="451"/>
      <c r="T7" s="447"/>
      <c r="U7" s="447">
        <f ca="1">COUNTA(U$10:U$200)</f>
        <v>20</v>
      </c>
      <c r="V7" s="448"/>
      <c r="W7" s="451"/>
      <c r="X7" s="447"/>
      <c r="Y7" s="447">
        <f ca="1">COUNTA(Y$10:Y$200)</f>
        <v>20</v>
      </c>
      <c r="Z7" s="448"/>
      <c r="AA7" s="451"/>
      <c r="AB7" s="447"/>
      <c r="AC7" s="447">
        <f ca="1">COUNTA(AC$10:AC$200)</f>
        <v>20</v>
      </c>
      <c r="AD7" s="448"/>
      <c r="AE7" s="451"/>
      <c r="AF7" s="447"/>
      <c r="AG7" s="447">
        <f ca="1">COUNTA(AG$10:AG$200)</f>
        <v>20</v>
      </c>
      <c r="AH7" s="448"/>
      <c r="AI7" s="451"/>
      <c r="AJ7" s="447"/>
      <c r="AK7" s="447">
        <f ca="1">COUNTA(AK$10:AK$200)</f>
        <v>20</v>
      </c>
      <c r="AL7" s="448"/>
      <c r="AM7" s="447"/>
      <c r="AN7" s="447"/>
      <c r="AO7" s="447">
        <f ca="1">COUNTA(AO$10:AO$200)</f>
        <v>20</v>
      </c>
      <c r="AP7" s="448"/>
      <c r="AQ7" s="447"/>
      <c r="AR7" s="447"/>
      <c r="AS7" s="447">
        <f ca="1">COUNTA(AS$10:AS$200)</f>
        <v>20</v>
      </c>
      <c r="AT7" s="447"/>
    </row>
    <row r="8" spans="1:46" ht="15.75" customHeight="1">
      <c r="A8" s="455"/>
      <c r="B8" s="455"/>
      <c r="C8" s="446"/>
      <c r="D8" s="446" t="s">
        <v>1452</v>
      </c>
      <c r="E8" s="447">
        <f ca="1">SUM(E2:E6)</f>
        <v>171</v>
      </c>
      <c r="F8" s="447"/>
      <c r="G8" s="446"/>
      <c r="H8" s="447"/>
      <c r="I8" s="447"/>
      <c r="J8" s="447"/>
      <c r="K8" s="447"/>
      <c r="L8" s="447"/>
      <c r="M8" s="447"/>
      <c r="N8" s="448"/>
      <c r="O8" s="449"/>
      <c r="P8" s="446" t="s">
        <v>1452</v>
      </c>
      <c r="Q8" s="447">
        <f ca="1">SUM(Q2:Q6)</f>
        <v>20</v>
      </c>
      <c r="R8" s="448"/>
      <c r="S8" s="451"/>
      <c r="T8" s="446" t="s">
        <v>1452</v>
      </c>
      <c r="U8" s="447">
        <f ca="1">SUM(U2:U6)</f>
        <v>20</v>
      </c>
      <c r="V8" s="448"/>
      <c r="W8" s="451"/>
      <c r="X8" s="446" t="s">
        <v>1452</v>
      </c>
      <c r="Y8" s="447">
        <f ca="1">SUM(Y2:Y6)</f>
        <v>20</v>
      </c>
      <c r="Z8" s="448"/>
      <c r="AA8" s="451"/>
      <c r="AB8" s="446" t="s">
        <v>1452</v>
      </c>
      <c r="AC8" s="447">
        <f ca="1">SUM(AC2:AC6)</f>
        <v>20</v>
      </c>
      <c r="AD8" s="448"/>
      <c r="AE8" s="451"/>
      <c r="AF8" s="446" t="s">
        <v>1452</v>
      </c>
      <c r="AG8" s="447">
        <f ca="1">SUM(AG2:AG6)</f>
        <v>20</v>
      </c>
      <c r="AH8" s="448"/>
      <c r="AI8" s="451"/>
      <c r="AJ8" s="446" t="s">
        <v>1452</v>
      </c>
      <c r="AK8" s="447">
        <f ca="1">SUM(AK2:AK6)</f>
        <v>20</v>
      </c>
      <c r="AL8" s="448"/>
      <c r="AM8" s="447"/>
      <c r="AN8" s="446" t="s">
        <v>1452</v>
      </c>
      <c r="AO8" s="447">
        <f ca="1">SUM(AO2:AO6)</f>
        <v>20</v>
      </c>
      <c r="AP8" s="448"/>
      <c r="AQ8" s="447"/>
      <c r="AR8" s="446" t="s">
        <v>1452</v>
      </c>
      <c r="AS8" s="447">
        <f ca="1">SUM(AS2:AS6)</f>
        <v>20</v>
      </c>
      <c r="AT8" s="447"/>
    </row>
    <row r="9" spans="1:46" ht="15.75" customHeight="1">
      <c r="A9" s="458"/>
      <c r="B9" s="458"/>
      <c r="C9" s="459" t="str">
        <f>Filtered!I1</f>
        <v>title</v>
      </c>
      <c r="D9" s="459" t="str">
        <f>Filtered!J1</f>
        <v>Top journals in</v>
      </c>
      <c r="E9" s="459" t="str">
        <f>Filtered!L1</f>
        <v>pr-type</v>
      </c>
      <c r="F9" s="450" t="s">
        <v>524</v>
      </c>
      <c r="G9" s="450" t="s">
        <v>469</v>
      </c>
      <c r="H9" s="450" t="s">
        <v>1350</v>
      </c>
      <c r="I9" s="450" t="s">
        <v>876</v>
      </c>
      <c r="J9" s="450" t="s">
        <v>786</v>
      </c>
      <c r="K9" s="450" t="s">
        <v>994</v>
      </c>
      <c r="L9" s="450" t="s">
        <v>851</v>
      </c>
      <c r="M9" s="454" t="s">
        <v>368</v>
      </c>
      <c r="N9" s="460"/>
      <c r="O9" s="450" t="s">
        <v>524</v>
      </c>
      <c r="P9" s="459"/>
      <c r="Q9" s="459"/>
      <c r="R9" s="460"/>
      <c r="S9" s="450" t="s">
        <v>469</v>
      </c>
      <c r="T9" s="459"/>
      <c r="U9" s="459"/>
      <c r="V9" s="460"/>
      <c r="W9" s="450" t="s">
        <v>1350</v>
      </c>
      <c r="X9" s="459"/>
      <c r="Y9" s="450"/>
      <c r="Z9" s="460"/>
      <c r="AA9" s="450" t="s">
        <v>876</v>
      </c>
      <c r="AB9" s="459"/>
      <c r="AC9" s="459"/>
      <c r="AD9" s="460"/>
      <c r="AE9" s="450" t="s">
        <v>786</v>
      </c>
      <c r="AF9" s="450"/>
      <c r="AG9" s="450"/>
      <c r="AH9" s="461"/>
      <c r="AI9" s="450" t="s">
        <v>994</v>
      </c>
      <c r="AJ9" s="450"/>
      <c r="AK9" s="450"/>
      <c r="AL9" s="461"/>
      <c r="AM9" s="450" t="s">
        <v>851</v>
      </c>
      <c r="AN9" s="450"/>
      <c r="AO9" s="450"/>
      <c r="AP9" s="461"/>
      <c r="AQ9" s="454" t="s">
        <v>368</v>
      </c>
      <c r="AR9" s="450"/>
      <c r="AS9" s="450"/>
      <c r="AT9" s="450"/>
    </row>
    <row r="10" spans="1:46" ht="15.75" customHeight="1">
      <c r="A10" s="462"/>
      <c r="B10" s="462"/>
      <c r="C10" t="str">
        <f ca="1">Filtered!I2</f>
        <v>Academic Medicine</v>
      </c>
      <c r="D10" t="str">
        <f ca="1">Filtered!J2</f>
        <v>Social Sciences</v>
      </c>
      <c r="E10" t="str">
        <f ca="1">Filtered!L2</f>
        <v>Single blind</v>
      </c>
      <c r="F10" t="b">
        <f t="shared" ref="F10:F180" ca="1" si="9">IF(ISERROR(SEARCH("bus",$D10)),FALSE,TRUE)</f>
        <v>0</v>
      </c>
      <c r="G10" t="b">
        <f t="shared" ref="G10:G180" ca="1" si="10">IF(ISERROR(SEARCH("chem",$D10)),FALSE,TRUE)</f>
        <v>0</v>
      </c>
      <c r="H10" t="b">
        <f t="shared" ref="H10:H180" ca="1" si="11">IF(ISERROR(SEARCH("computer",$D10)),FALSE,TRUE)</f>
        <v>0</v>
      </c>
      <c r="I10" t="b">
        <f t="shared" ref="I10:I180" ca="1" si="12">IF(ISERROR(SEARCH("health",$D10)),FALSE,TRUE)</f>
        <v>0</v>
      </c>
      <c r="J10" t="b">
        <f t="shared" ref="J10:J180" ca="1" si="13">IF(ISERROR(SEARCH("humanities",$D10)),FALSE,TRUE)</f>
        <v>0</v>
      </c>
      <c r="K10" t="b">
        <f t="shared" ref="K10:K180" ca="1" si="14">IF(ISERROR(SEARCH("life",$D10)),FALSE,TRUE)</f>
        <v>0</v>
      </c>
      <c r="L10" t="b">
        <f t="shared" ref="L10:L180" ca="1" si="15">IF(ISERROR(SEARCH("physics",$D10)),FALSE,TRUE)</f>
        <v>0</v>
      </c>
      <c r="M10" t="b">
        <f t="shared" ref="M10:M180" ca="1" si="16">IF(ISERROR(SEARCH("social",$D10)),FALSE,TRUE)</f>
        <v>1</v>
      </c>
      <c r="N10" s="448"/>
      <c r="O10" s="464" t="str">
        <f ca="1">IFERROR(__xludf.DUMMYFUNCTION("filter($C:$E,F:F)"),"Academy of Management Journal")</f>
        <v>Academy of Management Journal</v>
      </c>
      <c r="P10" t="str">
        <f ca="1">IFERROR(__xludf.DUMMYFUNCTION("""COMPUTED_VALUE"""),"Business, Economics &amp; Management")</f>
        <v>Business, Economics &amp; Management</v>
      </c>
      <c r="Q10" s="41" t="str">
        <f ca="1">IFERROR(__xludf.DUMMYFUNCTION("""COMPUTED_VALUE"""),"Double blind")</f>
        <v>Double blind</v>
      </c>
      <c r="R10" s="448"/>
      <c r="S10" s="464" t="str">
        <f ca="1">IFERROR(__xludf.DUMMYFUNCTION("filter($C:$E,G:G)"),"ACS Applied Materials &amp; Interfaces")</f>
        <v>ACS Applied Materials &amp; Interfaces</v>
      </c>
      <c r="T10" t="str">
        <f ca="1">IFERROR(__xludf.DUMMYFUNCTION("""COMPUTED_VALUE"""),"Chemical &amp; Materials Sciences, Engineering &amp; Computer Science")</f>
        <v>Chemical &amp; Materials Sciences, Engineering &amp; Computer Science</v>
      </c>
      <c r="U10" t="str">
        <f ca="1">IFERROR(__xludf.DUMMYFUNCTION("""COMPUTED_VALUE"""),"Single Blind")</f>
        <v>Single Blind</v>
      </c>
      <c r="V10" s="448"/>
      <c r="W10" s="464" t="str">
        <f ca="1">IFERROR(__xludf.DUMMYFUNCTION("filter($C:$E,H:H)"),"ACS Applied Materials &amp; Interfaces")</f>
        <v>ACS Applied Materials &amp; Interfaces</v>
      </c>
      <c r="X10" t="str">
        <f ca="1">IFERROR(__xludf.DUMMYFUNCTION("""COMPUTED_VALUE"""),"Chemical &amp; Materials Sciences, Engineering &amp; Computer Science")</f>
        <v>Chemical &amp; Materials Sciences, Engineering &amp; Computer Science</v>
      </c>
      <c r="Y10" t="str">
        <f ca="1">IFERROR(__xludf.DUMMYFUNCTION("""COMPUTED_VALUE"""),"Single Blind")</f>
        <v>Single Blind</v>
      </c>
      <c r="Z10" s="448"/>
      <c r="AA10" s="466" t="str">
        <f ca="1">IFERROR(__xludf.DUMMYFUNCTION("filter($C:$E,I:I)"),"Blood")</f>
        <v>Blood</v>
      </c>
      <c r="AB10" t="str">
        <f ca="1">IFERROR(__xludf.DUMMYFUNCTION("""COMPUTED_VALUE"""),"Health &amp; Medical Sciences")</f>
        <v>Health &amp; Medical Sciences</v>
      </c>
      <c r="AC10" t="str">
        <f ca="1">IFERROR(__xludf.DUMMYFUNCTION("""COMPUTED_VALUE"""),"Single blind")</f>
        <v>Single blind</v>
      </c>
      <c r="AD10" s="448"/>
      <c r="AE10" s="466" t="str">
        <f ca="1">IFERROR(__xludf.DUMMYFUNCTION("filter($C:$E,J:J)"),"Applied Linguistics")</f>
        <v>Applied Linguistics</v>
      </c>
      <c r="AF10" t="str">
        <f ca="1">IFERROR(__xludf.DUMMYFUNCTION("""COMPUTED_VALUE"""),"Humanities, Literature &amp; Arts")</f>
        <v>Humanities, Literature &amp; Arts</v>
      </c>
      <c r="AG10" t="str">
        <f ca="1">IFERROR(__xludf.DUMMYFUNCTION("""COMPUTED_VALUE"""),"Double blind")</f>
        <v>Double blind</v>
      </c>
      <c r="AH10" s="448"/>
      <c r="AI10" s="464" t="str">
        <f ca="1">IFERROR(__xludf.DUMMYFUNCTION("filter($C:$E,K:K)"),"Cell")</f>
        <v>Cell</v>
      </c>
      <c r="AJ10" t="str">
        <f ca="1">IFERROR(__xludf.DUMMYFUNCTION("""COMPUTED_VALUE"""),"Health &amp; Medical Sciences, Life Sciences &amp; Earth Sciences")</f>
        <v>Health &amp; Medical Sciences, Life Sciences &amp; Earth Sciences</v>
      </c>
      <c r="AK10" t="str">
        <f ca="1">IFERROR(__xludf.DUMMYFUNCTION("""COMPUTED_VALUE"""),"Single blind")</f>
        <v>Single blind</v>
      </c>
      <c r="AL10" s="448"/>
      <c r="AM10" t="str">
        <f ca="1">IFERROR(__xludf.DUMMYFUNCTION("filter($C:$E,L:L)"),"Astronomy &amp; Astrophysics")</f>
        <v>Astronomy &amp; Astrophysics</v>
      </c>
      <c r="AN10" t="str">
        <f ca="1">IFERROR(__xludf.DUMMYFUNCTION("""COMPUTED_VALUE"""),"Physics &amp; Mathematics")</f>
        <v>Physics &amp; Mathematics</v>
      </c>
      <c r="AO10" t="str">
        <f ca="1">IFERROR(__xludf.DUMMYFUNCTION("""COMPUTED_VALUE"""),"Unsure")</f>
        <v>Unsure</v>
      </c>
      <c r="AP10" s="448"/>
      <c r="AQ10" t="str">
        <f ca="1">IFERROR(__xludf.DUMMYFUNCTION("filter($C:$E,M:M)"),"Academic Medicine")</f>
        <v>Academic Medicine</v>
      </c>
      <c r="AR10" t="str">
        <f ca="1">IFERROR(__xludf.DUMMYFUNCTION("""COMPUTED_VALUE"""),"Social Sciences")</f>
        <v>Social Sciences</v>
      </c>
      <c r="AS10" t="str">
        <f ca="1">IFERROR(__xludf.DUMMYFUNCTION("""COMPUTED_VALUE"""),"Single blind")</f>
        <v>Single blind</v>
      </c>
    </row>
    <row r="11" spans="1:46" ht="15.75" customHeight="1">
      <c r="A11" s="462"/>
      <c r="B11" s="462"/>
      <c r="C11" t="str">
        <f ca="1">Filtered!I3</f>
        <v>ACS Applied Materials &amp; Interfaces</v>
      </c>
      <c r="D11" t="str">
        <f ca="1">Filtered!J3</f>
        <v>Chemical &amp; Materials Sciences, Engineering &amp; Computer Science</v>
      </c>
      <c r="E11" t="str">
        <f ca="1">Filtered!L3</f>
        <v>Single Blind</v>
      </c>
      <c r="F11" t="b">
        <f t="shared" ca="1" si="9"/>
        <v>0</v>
      </c>
      <c r="G11" t="b">
        <f t="shared" ca="1" si="10"/>
        <v>1</v>
      </c>
      <c r="H11" t="b">
        <f t="shared" ca="1" si="11"/>
        <v>1</v>
      </c>
      <c r="I11" t="b">
        <f t="shared" ca="1" si="12"/>
        <v>0</v>
      </c>
      <c r="J11" t="b">
        <f t="shared" ca="1" si="13"/>
        <v>0</v>
      </c>
      <c r="K11" t="b">
        <f t="shared" ca="1" si="14"/>
        <v>0</v>
      </c>
      <c r="L11" t="b">
        <f t="shared" ca="1" si="15"/>
        <v>0</v>
      </c>
      <c r="M11" t="b">
        <f t="shared" ca="1" si="16"/>
        <v>0</v>
      </c>
      <c r="N11" s="448"/>
      <c r="O11" s="464" t="str">
        <f ca="1">IFERROR(__xludf.DUMMYFUNCTION("""COMPUTED_VALUE"""),"American Economic Review")</f>
        <v>American Economic Review</v>
      </c>
      <c r="P11" t="str">
        <f ca="1">IFERROR(__xludf.DUMMYFUNCTION("""COMPUTED_VALUE"""),"Business, Economics &amp; Management")</f>
        <v>Business, Economics &amp; Management</v>
      </c>
      <c r="Q11" t="str">
        <f ca="1">IFERROR(__xludf.DUMMYFUNCTION("""COMPUTED_VALUE"""),"Double blind")</f>
        <v>Double blind</v>
      </c>
      <c r="R11" s="448"/>
      <c r="S11" s="464" t="str">
        <f ca="1">IFERROR(__xludf.DUMMYFUNCTION("""COMPUTED_VALUE"""),"Accounts of Chemical Research")</f>
        <v>Accounts of Chemical Research</v>
      </c>
      <c r="T11" t="str">
        <f ca="1">IFERROR(__xludf.DUMMYFUNCTION("""COMPUTED_VALUE"""),"Chemical &amp; Materials Sciences")</f>
        <v>Chemical &amp; Materials Sciences</v>
      </c>
      <c r="U11" t="str">
        <f ca="1">IFERROR(__xludf.DUMMYFUNCTION("""COMPUTED_VALUE"""),"Single Blind")</f>
        <v>Single Blind</v>
      </c>
      <c r="V11" s="448"/>
      <c r="W11" s="464" t="str">
        <f ca="1">IFERROR(__xludf.DUMMYFUNCTION("""COMPUTED_VALUE"""),"ACS Nano")</f>
        <v>ACS Nano</v>
      </c>
      <c r="X11" t="str">
        <f ca="1">IFERROR(__xludf.DUMMYFUNCTION("""COMPUTED_VALUE"""),"Chemical &amp; Materials Sciences, Engineering &amp; Computer Science")</f>
        <v>Chemical &amp; Materials Sciences, Engineering &amp; Computer Science</v>
      </c>
      <c r="Y11" s="41" t="str">
        <f ca="1">IFERROR(__xludf.DUMMYFUNCTION("""COMPUTED_VALUE"""),"Single blind")</f>
        <v>Single blind</v>
      </c>
      <c r="Z11" s="448"/>
      <c r="AA11" s="464" t="str">
        <f ca="1">IFERROR(__xludf.DUMMYFUNCTION("""COMPUTED_VALUE"""),"BMJ")</f>
        <v>BMJ</v>
      </c>
      <c r="AB11" t="str">
        <f ca="1">IFERROR(__xludf.DUMMYFUNCTION("""COMPUTED_VALUE"""),"Health &amp; Medical Sciences")</f>
        <v>Health &amp; Medical Sciences</v>
      </c>
      <c r="AC11" t="str">
        <f ca="1">IFERROR(__xludf.DUMMYFUNCTION("""COMPUTED_VALUE"""),"Not blinded")</f>
        <v>Not blinded</v>
      </c>
      <c r="AD11" s="448"/>
      <c r="AE11" s="464" t="str">
        <f ca="1">IFERROR(__xludf.DUMMYFUNCTION("""COMPUTED_VALUE"""),"Digital Journalism")</f>
        <v>Digital Journalism</v>
      </c>
      <c r="AF11" t="str">
        <f ca="1">IFERROR(__xludf.DUMMYFUNCTION("""COMPUTED_VALUE"""),"Humanities, Literature &amp; Arts")</f>
        <v>Humanities, Literature &amp; Arts</v>
      </c>
      <c r="AG11" t="str">
        <f ca="1">IFERROR(__xludf.DUMMYFUNCTION("""COMPUTED_VALUE"""),"Double blind")</f>
        <v>Double blind</v>
      </c>
      <c r="AH11" s="448"/>
      <c r="AI11" s="464" t="str">
        <f ca="1">IFERROR(__xludf.DUMMYFUNCTION("""COMPUTED_VALUE"""),"Cell Metabolism")</f>
        <v>Cell Metabolism</v>
      </c>
      <c r="AJ11" t="str">
        <f ca="1">IFERROR(__xludf.DUMMYFUNCTION("""COMPUTED_VALUE"""),"Life Sciences &amp; Earth Sciences")</f>
        <v>Life Sciences &amp; Earth Sciences</v>
      </c>
      <c r="AK11" t="str">
        <f ca="1">IFERROR(__xludf.DUMMYFUNCTION("""COMPUTED_VALUE"""),"Single blind")</f>
        <v>Single blind</v>
      </c>
      <c r="AL11" s="448"/>
      <c r="AM11" t="str">
        <f ca="1">IFERROR(__xludf.DUMMYFUNCTION("""COMPUTED_VALUE"""),"Geophysical Research Letters")</f>
        <v>Geophysical Research Letters</v>
      </c>
      <c r="AN11" t="str">
        <f ca="1">IFERROR(__xludf.DUMMYFUNCTION("""COMPUTED_VALUE"""),"Physics &amp; Mathematics")</f>
        <v>Physics &amp; Mathematics</v>
      </c>
      <c r="AO11" t="str">
        <f ca="1">IFERROR(__xludf.DUMMYFUNCTION("""COMPUTED_VALUE"""),"Unsure")</f>
        <v>Unsure</v>
      </c>
      <c r="AP11" s="448"/>
      <c r="AQ11" t="str">
        <f ca="1">IFERROR(__xludf.DUMMYFUNCTION("""COMPUTED_VALUE"""),"American Journal of Political Science")</f>
        <v>American Journal of Political Science</v>
      </c>
      <c r="AR11" t="str">
        <f ca="1">IFERROR(__xludf.DUMMYFUNCTION("""COMPUTED_VALUE"""),"Social Sciences")</f>
        <v>Social Sciences</v>
      </c>
      <c r="AS11" t="str">
        <f ca="1">IFERROR(__xludf.DUMMYFUNCTION("""COMPUTED_VALUE"""),"Double blind")</f>
        <v>Double blind</v>
      </c>
    </row>
    <row r="12" spans="1:46" ht="15.75" customHeight="1">
      <c r="A12" s="462"/>
      <c r="B12" s="462"/>
      <c r="C12" t="str">
        <f ca="1">Filtered!I4</f>
        <v>Accounts of Chemical Research</v>
      </c>
      <c r="D12" t="str">
        <f ca="1">Filtered!J4</f>
        <v>Chemical &amp; Materials Sciences</v>
      </c>
      <c r="E12" t="str">
        <f ca="1">Filtered!L4</f>
        <v>Single Blind</v>
      </c>
      <c r="F12" t="b">
        <f t="shared" ca="1" si="9"/>
        <v>0</v>
      </c>
      <c r="G12" t="b">
        <f t="shared" ca="1" si="10"/>
        <v>1</v>
      </c>
      <c r="H12" t="b">
        <f t="shared" ca="1" si="11"/>
        <v>0</v>
      </c>
      <c r="I12" t="b">
        <f t="shared" ca="1" si="12"/>
        <v>0</v>
      </c>
      <c r="J12" t="b">
        <f t="shared" ca="1" si="13"/>
        <v>0</v>
      </c>
      <c r="K12" t="b">
        <f t="shared" ca="1" si="14"/>
        <v>0</v>
      </c>
      <c r="L12" t="b">
        <f t="shared" ca="1" si="15"/>
        <v>0</v>
      </c>
      <c r="M12" t="b">
        <f t="shared" ca="1" si="16"/>
        <v>0</v>
      </c>
      <c r="N12" s="448"/>
      <c r="O12" s="464" t="str">
        <f ca="1">IFERROR(__xludf.DUMMYFUNCTION("""COMPUTED_VALUE"""),"Econometrica")</f>
        <v>Econometrica</v>
      </c>
      <c r="P12" t="str">
        <f ca="1">IFERROR(__xludf.DUMMYFUNCTION("""COMPUTED_VALUE"""),"Business, Economics &amp; Management")</f>
        <v>Business, Economics &amp; Management</v>
      </c>
      <c r="Q12" t="str">
        <f ca="1">IFERROR(__xludf.DUMMYFUNCTION("""COMPUTED_VALUE"""),"Unsure")</f>
        <v>Unsure</v>
      </c>
      <c r="R12" s="448"/>
      <c r="S12" s="464" t="str">
        <f ca="1">IFERROR(__xludf.DUMMYFUNCTION("""COMPUTED_VALUE"""),"ACS Nano")</f>
        <v>ACS Nano</v>
      </c>
      <c r="T12" t="str">
        <f ca="1">IFERROR(__xludf.DUMMYFUNCTION("""COMPUTED_VALUE"""),"Chemical &amp; Materials Sciences, Engineering &amp; Computer Science")</f>
        <v>Chemical &amp; Materials Sciences, Engineering &amp; Computer Science</v>
      </c>
      <c r="U12" s="41" t="str">
        <f ca="1">IFERROR(__xludf.DUMMYFUNCTION("""COMPUTED_VALUE"""),"Single blind")</f>
        <v>Single blind</v>
      </c>
      <c r="V12" s="448"/>
      <c r="W12" s="464" t="str">
        <f ca="1">IFERROR(__xludf.DUMMYFUNCTION("""COMPUTED_VALUE"""),"Advanced Energy Materials")</f>
        <v>Advanced Energy Materials</v>
      </c>
      <c r="X12" t="str">
        <f ca="1">IFERROR(__xludf.DUMMYFUNCTION("""COMPUTED_VALUE"""),"Chemical &amp; Materials Sciences, Engineering &amp; Computer Science")</f>
        <v>Chemical &amp; Materials Sciences, Engineering &amp; Computer Science</v>
      </c>
      <c r="Y12" t="str">
        <f ca="1">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Z12" s="448"/>
      <c r="AA12" s="464" t="str">
        <f ca="1">IFERROR(__xludf.DUMMYFUNCTION("""COMPUTED_VALUE"""),"Cell")</f>
        <v>Cell</v>
      </c>
      <c r="AB12" t="str">
        <f ca="1">IFERROR(__xludf.DUMMYFUNCTION("""COMPUTED_VALUE"""),"Health &amp; Medical Sciences, Life Sciences &amp; Earth Sciences")</f>
        <v>Health &amp; Medical Sciences, Life Sciences &amp; Earth Sciences</v>
      </c>
      <c r="AC12" t="str">
        <f ca="1">IFERROR(__xludf.DUMMYFUNCTION("""COMPUTED_VALUE"""),"Single blind")</f>
        <v>Single blind</v>
      </c>
      <c r="AD12" s="448"/>
      <c r="AE12" s="464" t="str">
        <f ca="1">IFERROR(__xludf.DUMMYFUNCTION("""COMPUTED_VALUE"""),"Gender &amp; Society")</f>
        <v>Gender &amp; Society</v>
      </c>
      <c r="AF12" t="str">
        <f ca="1">IFERROR(__xludf.DUMMYFUNCTION("""COMPUTED_VALUE"""),"Humanities, Literature &amp; Arts")</f>
        <v>Humanities, Literature &amp; Arts</v>
      </c>
      <c r="AG12" t="str">
        <f ca="1">IFERROR(__xludf.DUMMYFUNCTION("""COMPUTED_VALUE"""),"Double blind")</f>
        <v>Double blind</v>
      </c>
      <c r="AH12" s="448"/>
      <c r="AI12" s="464" t="str">
        <f ca="1">IFERROR(__xludf.DUMMYFUNCTION("""COMPUTED_VALUE"""),"Cell Stem Cell")</f>
        <v>Cell Stem Cell</v>
      </c>
      <c r="AJ12" t="str">
        <f ca="1">IFERROR(__xludf.DUMMYFUNCTION("""COMPUTED_VALUE"""),"Life Sciences &amp; Earth Sciences")</f>
        <v>Life Sciences &amp; Earth Sciences</v>
      </c>
      <c r="AK12" t="str">
        <f ca="1">IFERROR(__xludf.DUMMYFUNCTION("""COMPUTED_VALUE"""),"Single blind")</f>
        <v>Single blind</v>
      </c>
      <c r="AL12" s="448"/>
      <c r="AM12" t="str">
        <f ca="1">IFERROR(__xludf.DUMMYFUNCTION("""COMPUTED_VALUE"""),"IEEE Transactions on Automatic Control")</f>
        <v>IEEE Transactions on Automatic Control</v>
      </c>
      <c r="AN12" t="str">
        <f ca="1">IFERROR(__xludf.DUMMYFUNCTION("""COMPUTED_VALUE"""),"Physics &amp; Mathematics")</f>
        <v>Physics &amp; Mathematics</v>
      </c>
      <c r="AO12" t="str">
        <f ca="1">IFERROR(__xludf.DUMMYFUNCTION("""COMPUTED_VALUE"""),"Unsure")</f>
        <v>Unsure</v>
      </c>
      <c r="AP12" s="448"/>
      <c r="AQ12" t="str">
        <f ca="1">IFERROR(__xludf.DUMMYFUNCTION("""COMPUTED_VALUE"""),"American Journal of Public Health")</f>
        <v>American Journal of Public Health</v>
      </c>
      <c r="AR12" t="str">
        <f ca="1">IFERROR(__xludf.DUMMYFUNCTION("""COMPUTED_VALUE"""),"Social Sciences")</f>
        <v>Social Sciences</v>
      </c>
      <c r="AS12" t="str">
        <f ca="1">IFERROR(__xludf.DUMMYFUNCTION("""COMPUTED_VALUE"""),"Double blind")</f>
        <v>Double blind</v>
      </c>
    </row>
    <row r="13" spans="1:46" ht="15.75" customHeight="1">
      <c r="A13" s="462"/>
      <c r="B13" s="462"/>
      <c r="C13" t="str">
        <f ca="1">Filtered!I5</f>
        <v>ACS Catalysis</v>
      </c>
      <c r="D13" t="str">
        <f ca="1">Filtered!J5</f>
        <v/>
      </c>
      <c r="E13" t="str">
        <f ca="1">Filtered!L5</f>
        <v>Single blind</v>
      </c>
      <c r="F13" t="b">
        <f t="shared" ca="1" si="9"/>
        <v>0</v>
      </c>
      <c r="G13" t="b">
        <f t="shared" ca="1" si="10"/>
        <v>0</v>
      </c>
      <c r="H13" t="b">
        <f t="shared" ca="1" si="11"/>
        <v>0</v>
      </c>
      <c r="I13" t="b">
        <f t="shared" ca="1" si="12"/>
        <v>0</v>
      </c>
      <c r="J13" t="b">
        <f t="shared" ca="1" si="13"/>
        <v>0</v>
      </c>
      <c r="K13" t="b">
        <f t="shared" ca="1" si="14"/>
        <v>0</v>
      </c>
      <c r="L13" t="b">
        <f t="shared" ca="1" si="15"/>
        <v>0</v>
      </c>
      <c r="M13" t="b">
        <f t="shared" ca="1" si="16"/>
        <v>0</v>
      </c>
      <c r="N13" s="448"/>
      <c r="O13" s="464" t="str">
        <f ca="1">IFERROR(__xludf.DUMMYFUNCTION("""COMPUTED_VALUE"""),"International Journal of Production Economics")</f>
        <v>International Journal of Production Economics</v>
      </c>
      <c r="P13" t="str">
        <f ca="1">IFERROR(__xludf.DUMMYFUNCTION("""COMPUTED_VALUE"""),"Business, Economics &amp; Management")</f>
        <v>Business, Economics &amp; Management</v>
      </c>
      <c r="Q13" t="str">
        <f ca="1">IFERROR(__xludf.DUMMYFUNCTION("""COMPUTED_VALUE"""),"Double blind")</f>
        <v>Double blind</v>
      </c>
      <c r="R13" s="448"/>
      <c r="S13" s="464" t="str">
        <f ca="1">IFERROR(__xludf.DUMMYFUNCTION("""COMPUTED_VALUE"""),"Advanced Energy Materials")</f>
        <v>Advanced Energy Materials</v>
      </c>
      <c r="T13" t="str">
        <f ca="1">IFERROR(__xludf.DUMMYFUNCTION("""COMPUTED_VALUE"""),"Chemical &amp; Materials Sciences, Engineering &amp; Computer Science")</f>
        <v>Chemical &amp; Materials Sciences, Engineering &amp; Computer Science</v>
      </c>
      <c r="U13" t="str">
        <f ca="1">IFERROR(__xludf.DUMMYFUNCTION("""COMPUTED_VALUE"""),"Unsure: at least single blind ""2.10 To ensure the confidentiality of the names and other details of referees; adjudication and
appeal referees may be informed of the names of prior referees, if appropriate.""")</f>
        <v>Unsure: at least single blind "2.10 To ensure the confidentiality of the names and other details of referees; adjudication and
appeal referees may be informed of the names of prior referees, if appropriate."</v>
      </c>
      <c r="V13" s="448"/>
      <c r="W13" s="464" t="str">
        <f ca="1">IFERROR(__xludf.DUMMYFUNCTION("""COMPUTED_VALUE"""),"Advanced Functional Materials")</f>
        <v>Advanced Functional Materials</v>
      </c>
      <c r="X13" t="str">
        <f ca="1">IFERROR(__xludf.DUMMYFUNCTION("""COMPUTED_VALUE"""),"Chemical &amp; Materials Sciences, Engineering &amp; Computer Science")</f>
        <v>Chemical &amp; Materials Sciences, Engineering &amp; Computer Science</v>
      </c>
      <c r="Y13" t="str">
        <f ca="1">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Z13" s="448"/>
      <c r="AA13" s="464" t="str">
        <f ca="1">IFERROR(__xludf.DUMMYFUNCTION("""COMPUTED_VALUE"""),"Circulation")</f>
        <v>Circulation</v>
      </c>
      <c r="AB13" t="str">
        <f ca="1">IFERROR(__xludf.DUMMYFUNCTION("""COMPUTED_VALUE"""),"Health &amp; Medical Sciences")</f>
        <v>Health &amp; Medical Sciences</v>
      </c>
      <c r="AC13" t="str">
        <f ca="1">IFERROR(__xludf.DUMMYFUNCTION("""COMPUTED_VALUE"""),"Single blind")</f>
        <v>Single blind</v>
      </c>
      <c r="AD13" s="448"/>
      <c r="AE13" s="464" t="str">
        <f ca="1">IFERROR(__xludf.DUMMYFUNCTION("""COMPUTED_VALUE"""),"International Journal of Communication")</f>
        <v>International Journal of Communication</v>
      </c>
      <c r="AF13" t="str">
        <f ca="1">IFERROR(__xludf.DUMMYFUNCTION("""COMPUTED_VALUE"""),"Humanities, Literature &amp; Arts")</f>
        <v>Humanities, Literature &amp; Arts</v>
      </c>
      <c r="AG13" t="str">
        <f ca="1">IFERROR(__xludf.DUMMYFUNCTION("""COMPUTED_VALUE"""),"Unsure")</f>
        <v>Unsure</v>
      </c>
      <c r="AH13" s="448"/>
      <c r="AI13" s="464" t="str">
        <f ca="1">IFERROR(__xludf.DUMMYFUNCTION("""COMPUTED_VALUE"""),"Environmental Science &amp; Technology")</f>
        <v>Environmental Science &amp; Technology</v>
      </c>
      <c r="AJ13" t="str">
        <f ca="1">IFERROR(__xludf.DUMMYFUNCTION("""COMPUTED_VALUE"""),"Life Sciences &amp; Earth Sciences")</f>
        <v>Life Sciences &amp; Earth Sciences</v>
      </c>
      <c r="AK13" t="str">
        <f ca="1">IFERROR(__xludf.DUMMYFUNCTION("""COMPUTED_VALUE"""),"Unsure")</f>
        <v>Unsure</v>
      </c>
      <c r="AL13" s="448"/>
      <c r="AM13" t="str">
        <f ca="1">IFERROR(__xludf.DUMMYFUNCTION("""COMPUTED_VALUE"""),"IEEE Transactions on Signal Processing")</f>
        <v>IEEE Transactions on Signal Processing</v>
      </c>
      <c r="AN13" t="str">
        <f ca="1">IFERROR(__xludf.DUMMYFUNCTION("""COMPUTED_VALUE"""),"Physics &amp; Mathematics")</f>
        <v>Physics &amp; Mathematics</v>
      </c>
      <c r="AO13" t="str">
        <f ca="1">IFERROR(__xludf.DUMMYFUNCTION("""COMPUTED_VALUE"""),"Single blind")</f>
        <v>Single blind</v>
      </c>
      <c r="AP13" s="448"/>
      <c r="AQ13" t="str">
        <f ca="1">IFERROR(__xludf.DUMMYFUNCTION("""COMPUTED_VALUE"""),"American Political Science Review")</f>
        <v>American Political Science Review</v>
      </c>
      <c r="AR13" t="str">
        <f ca="1">IFERROR(__xludf.DUMMYFUNCTION("""COMPUTED_VALUE"""),"Social Sciences")</f>
        <v>Social Sciences</v>
      </c>
      <c r="AS13" t="str">
        <f ca="1">IFERROR(__xludf.DUMMYFUNCTION("""COMPUTED_VALUE"""),"Double blind")</f>
        <v>Double blind</v>
      </c>
    </row>
    <row r="14" spans="1:46" ht="15.75" customHeight="1">
      <c r="A14" s="462"/>
      <c r="B14" s="462"/>
      <c r="C14" t="str">
        <f ca="1">Filtered!I6</f>
        <v>Academy of Management Journal</v>
      </c>
      <c r="D14" t="str">
        <f ca="1">Filtered!J6</f>
        <v>Business, Economics &amp; Management</v>
      </c>
      <c r="E14" s="41" t="str">
        <f ca="1">Filtered!L6</f>
        <v>Double blind</v>
      </c>
      <c r="F14" t="b">
        <f t="shared" ca="1" si="9"/>
        <v>1</v>
      </c>
      <c r="G14" t="b">
        <f t="shared" ca="1" si="10"/>
        <v>0</v>
      </c>
      <c r="H14" t="b">
        <f t="shared" ca="1" si="11"/>
        <v>0</v>
      </c>
      <c r="I14" t="b">
        <f t="shared" ca="1" si="12"/>
        <v>0</v>
      </c>
      <c r="J14" t="b">
        <f t="shared" ca="1" si="13"/>
        <v>0</v>
      </c>
      <c r="K14" t="b">
        <f t="shared" ca="1" si="14"/>
        <v>0</v>
      </c>
      <c r="L14" t="b">
        <f t="shared" ca="1" si="15"/>
        <v>0</v>
      </c>
      <c r="M14" t="b">
        <f t="shared" ca="1" si="16"/>
        <v>0</v>
      </c>
      <c r="N14" s="448"/>
      <c r="O14" s="464" t="str">
        <f ca="1">IFERROR(__xludf.DUMMYFUNCTION("""COMPUTED_VALUE"""),"Journal of Banking &amp; Finance")</f>
        <v>Journal of Banking &amp; Finance</v>
      </c>
      <c r="P14" t="str">
        <f ca="1">IFERROR(__xludf.DUMMYFUNCTION("""COMPUTED_VALUE"""),"Business, Economics &amp; Management")</f>
        <v>Business, Economics &amp; Management</v>
      </c>
      <c r="Q14" t="str">
        <f ca="1">IFERROR(__xludf.DUMMYFUNCTION("""COMPUTED_VALUE"""),"Double blind")</f>
        <v>Double blind</v>
      </c>
      <c r="R14" s="448"/>
      <c r="S14" s="464" t="str">
        <f ca="1">IFERROR(__xludf.DUMMYFUNCTION("""COMPUTED_VALUE"""),"Advanced Functional Materials")</f>
        <v>Advanced Functional Materials</v>
      </c>
      <c r="T14" t="str">
        <f ca="1">IFERROR(__xludf.DUMMYFUNCTION("""COMPUTED_VALUE"""),"Chemical &amp; Materials Sciences, Engineering &amp; Computer Science")</f>
        <v>Chemical &amp; Materials Sciences, Engineering &amp; Computer Science</v>
      </c>
      <c r="U14" t="str">
        <f ca="1">IFERROR(__xludf.DUMMYFUNCTION("""COMPUTED_VALUE"""),"Unsure - at least single blind ""2.10 To ensure the confidentiality of the names and other details of referees; adjudication and
appeal referees may be informed of the names of prior referees, if appropriate.""")</f>
        <v>Unsure - at least single blind "2.10 To ensure the confidentiality of the names and other details of referees; adjudication and
appeal referees may be informed of the names of prior referees, if appropriate."</v>
      </c>
      <c r="V14" s="448"/>
      <c r="W14" s="464" t="str">
        <f ca="1">IFERROR(__xludf.DUMMYFUNCTION("""COMPUTED_VALUE"""),"Advanced Materials")</f>
        <v>Advanced Materials</v>
      </c>
      <c r="X14" t="str">
        <f ca="1">IFERROR(__xludf.DUMMYFUNCTION("""COMPUTED_VALUE"""),"Chemical &amp; Materials Sciences, Engineering &amp; Computer Science")</f>
        <v>Chemical &amp; Materials Sciences, Engineering &amp; Computer Science</v>
      </c>
      <c r="Y14" t="str">
        <f ca="1">IFERROR(__xludf.DUMMYFUNCTION("""COMPUTED_VALUE"""),"Unsure")</f>
        <v>Unsure</v>
      </c>
      <c r="Z14" s="448"/>
      <c r="AA14" s="464" t="str">
        <f ca="1">IFERROR(__xludf.DUMMYFUNCTION("""COMPUTED_VALUE"""),"European Heart Journal")</f>
        <v>European Heart Journal</v>
      </c>
      <c r="AB14" t="str">
        <f ca="1">IFERROR(__xludf.DUMMYFUNCTION("""COMPUTED_VALUE"""),"Health &amp; Medical Sciences")</f>
        <v>Health &amp; Medical Sciences</v>
      </c>
      <c r="AC14" t="str">
        <f ca="1">IFERROR(__xludf.DUMMYFUNCTION("""COMPUTED_VALUE"""),"Unsure")</f>
        <v>Unsure</v>
      </c>
      <c r="AD14" s="448"/>
      <c r="AE14" s="464" t="str">
        <f ca="1">IFERROR(__xludf.DUMMYFUNCTION("""COMPUTED_VALUE"""),"Journal of Communication")</f>
        <v>Journal of Communication</v>
      </c>
      <c r="AF14" t="str">
        <f ca="1">IFERROR(__xludf.DUMMYFUNCTION("""COMPUTED_VALUE"""),"Humanities, Literature &amp; Arts")</f>
        <v>Humanities, Literature &amp; Arts</v>
      </c>
      <c r="AG14" t="str">
        <f ca="1">IFERROR(__xludf.DUMMYFUNCTION("""COMPUTED_VALUE"""),"Unsure")</f>
        <v>Unsure</v>
      </c>
      <c r="AH14" s="448"/>
      <c r="AI14" s="464" t="str">
        <f ca="1">IFERROR(__xludf.DUMMYFUNCTION("""COMPUTED_VALUE"""),"Molecular Cell")</f>
        <v>Molecular Cell</v>
      </c>
      <c r="AJ14" t="str">
        <f ca="1">IFERROR(__xludf.DUMMYFUNCTION("""COMPUTED_VALUE"""),"Life Sciences &amp; Earth Sciences")</f>
        <v>Life Sciences &amp; Earth Sciences</v>
      </c>
      <c r="AK14" t="str">
        <f ca="1">IFERROR(__xludf.DUMMYFUNCTION("""COMPUTED_VALUE"""),"Unsure")</f>
        <v>Unsure</v>
      </c>
      <c r="AL14" s="448"/>
      <c r="AM14" t="str">
        <f ca="1">IFERROR(__xludf.DUMMYFUNCTION("""COMPUTED_VALUE"""),"Journal of Cosmology and Astroparticle Physics")</f>
        <v>Journal of Cosmology and Astroparticle Physics</v>
      </c>
      <c r="AN14" t="str">
        <f ca="1">IFERROR(__xludf.DUMMYFUNCTION("""COMPUTED_VALUE"""),"Physics &amp; Mathematics")</f>
        <v>Physics &amp; Mathematics</v>
      </c>
      <c r="AO14" t="str">
        <f ca="1">IFERROR(__xludf.DUMMYFUNCTION("""COMPUTED_VALUE"""),"Single blind")</f>
        <v>Single blind</v>
      </c>
      <c r="AP14" s="448"/>
      <c r="AQ14" t="str">
        <f ca="1">IFERROR(__xludf.DUMMYFUNCTION("""COMPUTED_VALUE"""),"American Sociological Review")</f>
        <v>American Sociological Review</v>
      </c>
      <c r="AR14" t="str">
        <f ca="1">IFERROR(__xludf.DUMMYFUNCTION("""COMPUTED_VALUE"""),"Social Sciences")</f>
        <v>Social Sciences</v>
      </c>
      <c r="AS14" t="str">
        <f ca="1">IFERROR(__xludf.DUMMYFUNCTION("""COMPUTED_VALUE"""),"Double blind")</f>
        <v>Double blind</v>
      </c>
    </row>
    <row r="15" spans="1:46" ht="15.75" customHeight="1">
      <c r="A15" s="462"/>
      <c r="B15" s="462"/>
      <c r="C15" t="str">
        <f ca="1">Filtered!I7</f>
        <v>ACS Nano</v>
      </c>
      <c r="D15" t="str">
        <f ca="1">Filtered!J7</f>
        <v>Chemical &amp; Materials Sciences, Engineering &amp; Computer Science</v>
      </c>
      <c r="E15" s="41" t="str">
        <f ca="1">Filtered!L7</f>
        <v>Single blind</v>
      </c>
      <c r="F15" t="b">
        <f t="shared" ca="1" si="9"/>
        <v>0</v>
      </c>
      <c r="G15" t="b">
        <f t="shared" ca="1" si="10"/>
        <v>1</v>
      </c>
      <c r="H15" t="b">
        <f t="shared" ca="1" si="11"/>
        <v>1</v>
      </c>
      <c r="I15" t="b">
        <f t="shared" ca="1" si="12"/>
        <v>0</v>
      </c>
      <c r="J15" t="b">
        <f t="shared" ca="1" si="13"/>
        <v>0</v>
      </c>
      <c r="K15" t="b">
        <f t="shared" ca="1" si="14"/>
        <v>0</v>
      </c>
      <c r="L15" t="b">
        <f t="shared" ca="1" si="15"/>
        <v>0</v>
      </c>
      <c r="M15" t="b">
        <f t="shared" ca="1" si="16"/>
        <v>0</v>
      </c>
      <c r="N15" s="448"/>
      <c r="O15" s="464" t="str">
        <f ca="1">IFERROR(__xludf.DUMMYFUNCTION("""COMPUTED_VALUE"""),"Journal of Business Ethics")</f>
        <v>Journal of Business Ethics</v>
      </c>
      <c r="P15" t="str">
        <f ca="1">IFERROR(__xludf.DUMMYFUNCTION("""COMPUTED_VALUE"""),"Business, Economics &amp; Management,
Social Sciences")</f>
        <v>Business, Economics &amp; Management,
Social Sciences</v>
      </c>
      <c r="Q15" t="str">
        <f ca="1">IFERROR(__xludf.DUMMYFUNCTION("""COMPUTED_VALUE"""),"Double blind")</f>
        <v>Double blind</v>
      </c>
      <c r="R15" s="448"/>
      <c r="S15" s="464" t="str">
        <f ca="1">IFERROR(__xludf.DUMMYFUNCTION("""COMPUTED_VALUE"""),"Advanced Materials")</f>
        <v>Advanced Materials</v>
      </c>
      <c r="T15" t="str">
        <f ca="1">IFERROR(__xludf.DUMMYFUNCTION("""COMPUTED_VALUE"""),"Chemical &amp; Materials Sciences, Engineering &amp; Computer Science")</f>
        <v>Chemical &amp; Materials Sciences, Engineering &amp; Computer Science</v>
      </c>
      <c r="U15" t="str">
        <f ca="1">IFERROR(__xludf.DUMMYFUNCTION("""COMPUTED_VALUE"""),"Unsure")</f>
        <v>Unsure</v>
      </c>
      <c r="V15" s="448"/>
      <c r="W15" s="464" t="str">
        <f ca="1">IFERROR(__xludf.DUMMYFUNCTION("""COMPUTED_VALUE"""),"Chemistry of Materials")</f>
        <v>Chemistry of Materials</v>
      </c>
      <c r="X15" t="str">
        <f ca="1">IFERROR(__xludf.DUMMYFUNCTION("""COMPUTED_VALUE"""),"Chemical &amp; Materials Sciences,
Engineering &amp; Computer Science")</f>
        <v>Chemical &amp; Materials Sciences,
Engineering &amp; Computer Science</v>
      </c>
      <c r="Y15" t="str">
        <f ca="1">IFERROR(__xludf.DUMMYFUNCTION("""COMPUTED_VALUE"""),"Unsure")</f>
        <v>Unsure</v>
      </c>
      <c r="Z15" s="448"/>
      <c r="AA15" s="464" t="str">
        <f ca="1">IFERROR(__xludf.DUMMYFUNCTION("""COMPUTED_VALUE"""),"Gastroenterology")</f>
        <v>Gastroenterology</v>
      </c>
      <c r="AB15" t="str">
        <f ca="1">IFERROR(__xludf.DUMMYFUNCTION("""COMPUTED_VALUE"""),"Health &amp; Medical Sciences")</f>
        <v>Health &amp; Medical Sciences</v>
      </c>
      <c r="AC15" t="str">
        <f ca="1">IFERROR(__xludf.DUMMYFUNCTION("""COMPUTED_VALUE"""),"Single blind")</f>
        <v>Single blind</v>
      </c>
      <c r="AD15" s="448"/>
      <c r="AE15" s="464" t="str">
        <f ca="1">IFERROR(__xludf.DUMMYFUNCTION("""COMPUTED_VALUE"""),"Journal of Pragmatics")</f>
        <v>Journal of Pragmatics</v>
      </c>
      <c r="AF15" t="str">
        <f ca="1">IFERROR(__xludf.DUMMYFUNCTION("""COMPUTED_VALUE"""),"Humanities, Literature &amp; Arts")</f>
        <v>Humanities, Literature &amp; Arts</v>
      </c>
      <c r="AG15" t="str">
        <f ca="1">IFERROR(__xludf.DUMMYFUNCTION("""COMPUTED_VALUE"""),"Double blind")</f>
        <v>Double blind</v>
      </c>
      <c r="AH15" s="448"/>
      <c r="AI15" s="464" t="str">
        <f ca="1">IFERROR(__xludf.DUMMYFUNCTION("""COMPUTED_VALUE"""),"Nature")</f>
        <v>Nature</v>
      </c>
      <c r="AJ15" t="str">
        <f ca="1">IFERROR(__xludf.DUMMYFUNCTION("""COMPUTED_VALUE"""),"Life Sciences &amp; Earth Sciences")</f>
        <v>Life Sciences &amp; Earth Sciences</v>
      </c>
      <c r="AK1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5" s="448"/>
      <c r="AM15" t="str">
        <f ca="1">IFERROR(__xludf.DUMMYFUNCTION("""COMPUTED_VALUE"""),"Journal of Geophysical Research")</f>
        <v>Journal of Geophysical Research</v>
      </c>
      <c r="AN15" t="str">
        <f ca="1">IFERROR(__xludf.DUMMYFUNCTION("""COMPUTED_VALUE"""),"Physics &amp; Mathematics")</f>
        <v>Physics &amp; Mathematics</v>
      </c>
      <c r="AO15" t="str">
        <f ca="1">IFERROR(__xludf.DUMMYFUNCTION("""COMPUTED_VALUE"""),"Unsure")</f>
        <v>Unsure</v>
      </c>
      <c r="AP15" s="448"/>
      <c r="AQ15" t="str">
        <f ca="1">IFERROR(__xludf.DUMMYFUNCTION("""COMPUTED_VALUE"""),"Annals of Tourism Research")</f>
        <v>Annals of Tourism Research</v>
      </c>
      <c r="AR15" t="str">
        <f ca="1">IFERROR(__xludf.DUMMYFUNCTION("""COMPUTED_VALUE"""),"Social Sciences")</f>
        <v>Social Sciences</v>
      </c>
      <c r="AS15" t="str">
        <f ca="1">IFERROR(__xludf.DUMMYFUNCTION("""COMPUTED_VALUE"""),"Double blind")</f>
        <v>Double blind</v>
      </c>
    </row>
    <row r="16" spans="1:46" ht="15.75" customHeight="1">
      <c r="A16" s="462"/>
      <c r="B16" s="462"/>
      <c r="C16" t="str">
        <f ca="1">Filtered!I8</f>
        <v>Advanced Energy Materials</v>
      </c>
      <c r="D16" t="str">
        <f ca="1">Filtered!J8</f>
        <v>Chemical &amp; Materials Sciences, Engineering &amp; Computer Science</v>
      </c>
      <c r="E16" t="str">
        <f ca="1">Filtered!L8</f>
        <v>Unsure: at least single blind "2.10 To ensure the confidentiality of the names and other details of referees; adjudication and
appeal referees may be informed of the names of prior referees, if appropriate."</v>
      </c>
      <c r="F16" t="b">
        <f t="shared" ca="1" si="9"/>
        <v>0</v>
      </c>
      <c r="G16" t="b">
        <f t="shared" ca="1" si="10"/>
        <v>1</v>
      </c>
      <c r="H16" t="b">
        <f t="shared" ca="1" si="11"/>
        <v>1</v>
      </c>
      <c r="I16" t="b">
        <f t="shared" ca="1" si="12"/>
        <v>0</v>
      </c>
      <c r="J16" t="b">
        <f t="shared" ca="1" si="13"/>
        <v>0</v>
      </c>
      <c r="K16" t="b">
        <f t="shared" ca="1" si="14"/>
        <v>0</v>
      </c>
      <c r="L16" t="b">
        <f t="shared" ca="1" si="15"/>
        <v>0</v>
      </c>
      <c r="M16" t="b">
        <f t="shared" ca="1" si="16"/>
        <v>0</v>
      </c>
      <c r="N16" s="448"/>
      <c r="O16" s="464" t="str">
        <f ca="1">IFERROR(__xludf.DUMMYFUNCTION("""COMPUTED_VALUE"""),"Journal of Business Research")</f>
        <v>Journal of Business Research</v>
      </c>
      <c r="P16" t="str">
        <f ca="1">IFERROR(__xludf.DUMMYFUNCTION("""COMPUTED_VALUE"""),"Business, Economics &amp; Management")</f>
        <v>Business, Economics &amp; Management</v>
      </c>
      <c r="Q16" t="str">
        <f ca="1">IFERROR(__xludf.DUMMYFUNCTION("""COMPUTED_VALUE"""),"Double blind")</f>
        <v>Double blind</v>
      </c>
      <c r="R16" s="448"/>
      <c r="S16" s="464" t="str">
        <f ca="1">IFERROR(__xludf.DUMMYFUNCTION("""COMPUTED_VALUE"""),"Angewandte Chemie International Edition")</f>
        <v>Angewandte Chemie International Edition</v>
      </c>
      <c r="T16" t="str">
        <f ca="1">IFERROR(__xludf.DUMMYFUNCTION("""COMPUTED_VALUE"""),"Chemical &amp; Materials Sciences")</f>
        <v>Chemical &amp; Materials Sciences</v>
      </c>
      <c r="U16" t="str">
        <f ca="1">IFERROR(__xludf.DUMMYFUNCTION("""COMPUTED_VALUE"""),"Single blind")</f>
        <v>Single blind</v>
      </c>
      <c r="V16" s="448"/>
      <c r="W16" s="464" t="str">
        <f ca="1">IFERROR(__xludf.DUMMYFUNCTION("""COMPUTED_VALUE"""),"Energy and Environmental Science")</f>
        <v>Energy and Environmental Science</v>
      </c>
      <c r="X16" t="str">
        <f ca="1">IFERROR(__xludf.DUMMYFUNCTION("""COMPUTED_VALUE"""),"Chemical &amp; Materials Sciences, Engineering &amp; Computer Science")</f>
        <v>Chemical &amp; Materials Sciences, Engineering &amp; Computer Science</v>
      </c>
      <c r="Y16" t="str">
        <f ca="1">IFERROR(__xludf.DUMMYFUNCTION("""COMPUTED_VALUE"""),"Single blind")</f>
        <v>Single blind</v>
      </c>
      <c r="Z16" s="448"/>
      <c r="AA16" s="464" t="str">
        <f ca="1">IFERROR(__xludf.DUMMYFUNCTION("""COMPUTED_VALUE"""),"Immunity")</f>
        <v>Immunity</v>
      </c>
      <c r="AB16" t="str">
        <f ca="1">IFERROR(__xludf.DUMMYFUNCTION("""COMPUTED_VALUE"""),"Health &amp; Medical Sciences")</f>
        <v>Health &amp; Medical Sciences</v>
      </c>
      <c r="AC16" t="str">
        <f ca="1">IFERROR(__xludf.DUMMYFUNCTION("""COMPUTED_VALUE"""),"Single blind")</f>
        <v>Single blind</v>
      </c>
      <c r="AD16" s="448"/>
      <c r="AE16" s="464" t="str">
        <f ca="1">IFERROR(__xludf.DUMMYFUNCTION("""COMPUTED_VALUE"""),"Journalism")</f>
        <v>Journalism</v>
      </c>
      <c r="AF16" t="str">
        <f ca="1">IFERROR(__xludf.DUMMYFUNCTION("""COMPUTED_VALUE"""),"Humanities, Literature &amp; Arts")</f>
        <v>Humanities, Literature &amp; Arts</v>
      </c>
      <c r="AG16" t="str">
        <f ca="1">IFERROR(__xludf.DUMMYFUNCTION("""COMPUTED_VALUE"""),"Double blind")</f>
        <v>Double blind</v>
      </c>
      <c r="AH16" s="448"/>
      <c r="AI16" s="464" t="str">
        <f ca="1">IFERROR(__xludf.DUMMYFUNCTION("""COMPUTED_VALUE"""),"Nature Biotechnology")</f>
        <v>Nature Biotechnology</v>
      </c>
      <c r="AJ16" t="str">
        <f ca="1">IFERROR(__xludf.DUMMYFUNCTION("""COMPUTED_VALUE"""),"Life Sciences &amp; Earth Sciences")</f>
        <v>Life Sciences &amp; Earth Sciences</v>
      </c>
      <c r="AK1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6" s="448"/>
      <c r="AM16" t="str">
        <f ca="1">IFERROR(__xludf.DUMMYFUNCTION("""COMPUTED_VALUE"""),"Journal of High Energy Physics")</f>
        <v>Journal of High Energy Physics</v>
      </c>
      <c r="AN16" t="str">
        <f ca="1">IFERROR(__xludf.DUMMYFUNCTION("""COMPUTED_VALUE"""),"Physics &amp; Mathematics")</f>
        <v>Physics &amp; Mathematics</v>
      </c>
      <c r="AO16" t="str">
        <f ca="1">IFERROR(__xludf.DUMMYFUNCTION("""COMPUTED_VALUE"""),"Single-blind")</f>
        <v>Single-blind</v>
      </c>
      <c r="AP16" s="448"/>
      <c r="AQ16" t="str">
        <f ca="1">IFERROR(__xludf.DUMMYFUNCTION("""COMPUTED_VALUE"""),"Global Environmental Change")</f>
        <v>Global Environmental Change</v>
      </c>
      <c r="AR16" t="str">
        <f ca="1">IFERROR(__xludf.DUMMYFUNCTION("""COMPUTED_VALUE"""),"Social Sciences")</f>
        <v>Social Sciences</v>
      </c>
      <c r="AS16" t="str">
        <f ca="1">IFERROR(__xludf.DUMMYFUNCTION("""COMPUTED_VALUE"""),"Double blind")</f>
        <v>Double blind</v>
      </c>
    </row>
    <row r="17" spans="1:45" ht="15.75" customHeight="1">
      <c r="A17" s="462"/>
      <c r="B17" s="462"/>
      <c r="C17" t="str">
        <f ca="1">Filtered!I9</f>
        <v>Advanced Functional Materials</v>
      </c>
      <c r="D17" t="str">
        <f ca="1">Filtered!J9</f>
        <v>Chemical &amp; Materials Sciences, Engineering &amp; Computer Science</v>
      </c>
      <c r="E17" t="str">
        <f ca="1">Filtered!L9</f>
        <v>Unsure - at least single blind "2.10 To ensure the confidentiality of the names and other details of referees; adjudication and
appeal referees may be informed of the names of prior referees, if appropriate."</v>
      </c>
      <c r="F17" t="b">
        <f t="shared" ca="1" si="9"/>
        <v>0</v>
      </c>
      <c r="G17" t="b">
        <f t="shared" ca="1" si="10"/>
        <v>1</v>
      </c>
      <c r="H17" t="b">
        <f t="shared" ca="1" si="11"/>
        <v>1</v>
      </c>
      <c r="I17" t="b">
        <f t="shared" ca="1" si="12"/>
        <v>0</v>
      </c>
      <c r="J17" t="b">
        <f t="shared" ca="1" si="13"/>
        <v>0</v>
      </c>
      <c r="K17" t="b">
        <f t="shared" ca="1" si="14"/>
        <v>0</v>
      </c>
      <c r="L17" t="b">
        <f t="shared" ca="1" si="15"/>
        <v>0</v>
      </c>
      <c r="M17" t="b">
        <f t="shared" ca="1" si="16"/>
        <v>0</v>
      </c>
      <c r="N17" s="448"/>
      <c r="O17" s="464" t="str">
        <f ca="1">IFERROR(__xludf.DUMMYFUNCTION("""COMPUTED_VALUE"""),"Journal of Economic Perspectives")</f>
        <v>Journal of Economic Perspectives</v>
      </c>
      <c r="P17" t="str">
        <f ca="1">IFERROR(__xludf.DUMMYFUNCTION("""COMPUTED_VALUE"""),"Business, Economics &amp; Management")</f>
        <v>Business, Economics &amp; Management</v>
      </c>
      <c r="Q17" t="str">
        <f ca="1">IFERROR(__xludf.DUMMYFUNCTION("""COMPUTED_VALUE"""),"Unsure")</f>
        <v>Unsure</v>
      </c>
      <c r="R17" s="448"/>
      <c r="S17" s="464" t="str">
        <f ca="1">IFERROR(__xludf.DUMMYFUNCTION("""COMPUTED_VALUE"""),"Chemical communications (Cambridge, England)")</f>
        <v>Chemical communications (Cambridge, England)</v>
      </c>
      <c r="T17" t="str">
        <f ca="1">IFERROR(__xludf.DUMMYFUNCTION("""COMPUTED_VALUE"""),"Chemical &amp; Materials Sciences")</f>
        <v>Chemical &amp; Materials Sciences</v>
      </c>
      <c r="U17" t="str">
        <f ca="1">IFERROR(__xludf.DUMMYFUNCTION("""COMPUTED_VALUE"""),"Single blind, Double blind (optional)")</f>
        <v>Single blind, Double blind (optional)</v>
      </c>
      <c r="V17" s="448"/>
      <c r="W17" s="464" t="str">
        <f ca="1">IFERROR(__xludf.DUMMYFUNCTION("""COMPUTED_VALUE"""),"IEEE Communications Surveys &amp; Tutorials")</f>
        <v>IEEE Communications Surveys &amp; Tutorials</v>
      </c>
      <c r="X17" t="str">
        <f ca="1">IFERROR(__xludf.DUMMYFUNCTION("""COMPUTED_VALUE"""),"Engineering &amp; Computer Science")</f>
        <v>Engineering &amp; Computer Science</v>
      </c>
      <c r="Y17" t="str">
        <f ca="1">IFERROR(__xludf.DUMMYFUNCTION("""COMPUTED_VALUE"""),"Unsure")</f>
        <v>Unsure</v>
      </c>
      <c r="Z17" s="448"/>
      <c r="AA17" s="464" t="str">
        <f ca="1">IFERROR(__xludf.DUMMYFUNCTION("""COMPUTED_VALUE"""),"Journal of the American Medical Association")</f>
        <v>Journal of the American Medical Association</v>
      </c>
      <c r="AB17" t="str">
        <f ca="1">IFERROR(__xludf.DUMMYFUNCTION("""COMPUTED_VALUE"""),"Health &amp; Medical Sciences")</f>
        <v>Health &amp; Medical Sciences</v>
      </c>
      <c r="AC17" t="str">
        <f ca="1">IFERROR(__xludf.DUMMYFUNCTION("""COMPUTED_VALUE"""),"Single blind")</f>
        <v>Single blind</v>
      </c>
      <c r="AD17" s="448"/>
      <c r="AE17" s="464" t="str">
        <f ca="1">IFERROR(__xludf.DUMMYFUNCTION("""COMPUTED_VALUE"""),"Journalism Practice")</f>
        <v>Journalism Practice</v>
      </c>
      <c r="AF17" t="str">
        <f ca="1">IFERROR(__xludf.DUMMYFUNCTION("""COMPUTED_VALUE"""),"Humanities, Literature &amp; Arts")</f>
        <v>Humanities, Literature &amp; Arts</v>
      </c>
      <c r="AG17" t="str">
        <f ca="1">IFERROR(__xludf.DUMMYFUNCTION("""COMPUTED_VALUE"""),"Double blind")</f>
        <v>Double blind</v>
      </c>
      <c r="AH17" s="448"/>
      <c r="AI17" s="464" t="str">
        <f ca="1">IFERROR(__xludf.DUMMYFUNCTION("""COMPUTED_VALUE"""),"Nature Cell Biology")</f>
        <v>Nature Cell Biology</v>
      </c>
      <c r="AJ17" t="str">
        <f ca="1">IFERROR(__xludf.DUMMYFUNCTION("""COMPUTED_VALUE"""),"Life Sciences &amp; Earth Sciences")</f>
        <v>Life Sciences &amp; Earth Sciences</v>
      </c>
      <c r="AK1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7" s="448"/>
      <c r="AM17" t="str">
        <f ca="1">IFERROR(__xludf.DUMMYFUNCTION("""COMPUTED_VALUE"""),"Monthly Notices of the Royal Astronomical Society")</f>
        <v>Monthly Notices of the Royal Astronomical Society</v>
      </c>
      <c r="AN17" t="str">
        <f ca="1">IFERROR(__xludf.DUMMYFUNCTION("""COMPUTED_VALUE"""),"Physics &amp; Mathematics")</f>
        <v>Physics &amp; Mathematics</v>
      </c>
      <c r="AO17" t="str">
        <f ca="1">IFERROR(__xludf.DUMMYFUNCTION("""COMPUTED_VALUE"""),"Single blind")</f>
        <v>Single blind</v>
      </c>
      <c r="AP17" s="448"/>
      <c r="AQ17" t="str">
        <f ca="1">IFERROR(__xludf.DUMMYFUNCTION("""COMPUTED_VALUE"""),"Government Information Quarterly")</f>
        <v>Government Information Quarterly</v>
      </c>
      <c r="AR17" t="str">
        <f ca="1">IFERROR(__xludf.DUMMYFUNCTION("""COMPUTED_VALUE"""),"Social Sciences")</f>
        <v>Social Sciences</v>
      </c>
      <c r="AS17" t="str">
        <f ca="1">IFERROR(__xludf.DUMMYFUNCTION("""COMPUTED_VALUE"""),"Other (apppears to offer choice of single blind or double blind)")</f>
        <v>Other (apppears to offer choice of single blind or double blind)</v>
      </c>
    </row>
    <row r="18" spans="1:45" ht="15.75" customHeight="1">
      <c r="A18" s="462"/>
      <c r="B18" s="462"/>
      <c r="C18" t="str">
        <f ca="1">Filtered!I10</f>
        <v>Advanced Materials</v>
      </c>
      <c r="D18" t="str">
        <f ca="1">Filtered!J10</f>
        <v>Chemical &amp; Materials Sciences, Engineering &amp; Computer Science</v>
      </c>
      <c r="E18" t="str">
        <f ca="1">Filtered!L10</f>
        <v>Unsure</v>
      </c>
      <c r="F18" t="b">
        <f t="shared" ca="1" si="9"/>
        <v>0</v>
      </c>
      <c r="G18" t="b">
        <f t="shared" ca="1" si="10"/>
        <v>1</v>
      </c>
      <c r="H18" t="b">
        <f t="shared" ca="1" si="11"/>
        <v>1</v>
      </c>
      <c r="I18" t="b">
        <f t="shared" ca="1" si="12"/>
        <v>0</v>
      </c>
      <c r="J18" t="b">
        <f t="shared" ca="1" si="13"/>
        <v>0</v>
      </c>
      <c r="K18" t="b">
        <f t="shared" ca="1" si="14"/>
        <v>0</v>
      </c>
      <c r="L18" t="b">
        <f t="shared" ca="1" si="15"/>
        <v>0</v>
      </c>
      <c r="M18" t="b">
        <f t="shared" ca="1" si="16"/>
        <v>0</v>
      </c>
      <c r="N18" s="448"/>
      <c r="O18" s="464" t="str">
        <f ca="1">IFERROR(__xludf.DUMMYFUNCTION("""COMPUTED_VALUE"""),"Journal of Financial Economics")</f>
        <v>Journal of Financial Economics</v>
      </c>
      <c r="P18" t="str">
        <f ca="1">IFERROR(__xludf.DUMMYFUNCTION("""COMPUTED_VALUE"""),"Business, Economics &amp; Management")</f>
        <v>Business, Economics &amp; Management</v>
      </c>
      <c r="Q18" t="str">
        <f ca="1">IFERROR(__xludf.DUMMYFUNCTION("""COMPUTED_VALUE"""),"Unsure")</f>
        <v>Unsure</v>
      </c>
      <c r="R18" s="448"/>
      <c r="S18" s="464" t="str">
        <f ca="1">IFERROR(__xludf.DUMMYFUNCTION("""COMPUTED_VALUE"""),"Chemical Reviews")</f>
        <v>Chemical Reviews</v>
      </c>
      <c r="T18" t="str">
        <f ca="1">IFERROR(__xludf.DUMMYFUNCTION("""COMPUTED_VALUE"""),"Chemical &amp; Materials Sciences")</f>
        <v>Chemical &amp; Materials Sciences</v>
      </c>
      <c r="U18" t="str">
        <f ca="1">IFERROR(__xludf.DUMMYFUNCTION("""COMPUTED_VALUE"""),"Unsure")</f>
        <v>Unsure</v>
      </c>
      <c r="V18" s="448"/>
      <c r="W18" s="464" t="str">
        <f ca="1">IFERROR(__xludf.DUMMYFUNCTION("""COMPUTED_VALUE"""),"IEEE Conference on Computer Vision and Pattern Recognition, CVPR")</f>
        <v>IEEE Conference on Computer Vision and Pattern Recognition, CVPR</v>
      </c>
      <c r="X18" t="str">
        <f ca="1">IFERROR(__xludf.DUMMYFUNCTION("""COMPUTED_VALUE"""),"Engineering &amp; Computer Science")</f>
        <v>Engineering &amp; Computer Science</v>
      </c>
      <c r="Y18" t="str">
        <f ca="1">IFERROR(__xludf.DUMMYFUNCTION("""COMPUTED_VALUE"""),"Double blind")</f>
        <v>Double blind</v>
      </c>
      <c r="Z18" s="448"/>
      <c r="AA18" s="464" t="str">
        <f ca="1">IFERROR(__xludf.DUMMYFUNCTION("""COMPUTED_VALUE"""),"Journal of Clinical Oncology")</f>
        <v>Journal of Clinical Oncology</v>
      </c>
      <c r="AB18" t="str">
        <f ca="1">IFERROR(__xludf.DUMMYFUNCTION("""COMPUTED_VALUE"""),"Health &amp; Medical Sciences")</f>
        <v>Health &amp; Medical Sciences</v>
      </c>
      <c r="AC18" t="str">
        <f ca="1">IFERROR(__xludf.DUMMYFUNCTION("""COMPUTED_VALUE"""),"Single blind")</f>
        <v>Single blind</v>
      </c>
      <c r="AD18" s="448"/>
      <c r="AE18" s="464" t="str">
        <f ca="1">IFERROR(__xludf.DUMMYFUNCTION("""COMPUTED_VALUE"""),"Journalism Studies")</f>
        <v>Journalism Studies</v>
      </c>
      <c r="AF18" t="str">
        <f ca="1">IFERROR(__xludf.DUMMYFUNCTION("""COMPUTED_VALUE"""),"Humanities, Literature &amp; Arts")</f>
        <v>Humanities, Literature &amp; Arts</v>
      </c>
      <c r="AG18" t="str">
        <f ca="1">IFERROR(__xludf.DUMMYFUNCTION("""COMPUTED_VALUE"""),"Double blind")</f>
        <v>Double blind</v>
      </c>
      <c r="AH18" s="448"/>
      <c r="AI18" s="464" t="str">
        <f ca="1">IFERROR(__xludf.DUMMYFUNCTION("""COMPUTED_VALUE"""),"Nature Climate Change")</f>
        <v>Nature Climate Change</v>
      </c>
      <c r="AJ18" t="str">
        <f ca="1">IFERROR(__xludf.DUMMYFUNCTION("""COMPUTED_VALUE"""),"Life Sciences &amp; Earth Sciences")</f>
        <v>Life Sciences &amp; Earth Sciences</v>
      </c>
      <c r="AK1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8" s="448"/>
      <c r="AM18" t="str">
        <f ca="1">IFERROR(__xludf.DUMMYFUNCTION("""COMPUTED_VALUE"""),"Nature Photonics")</f>
        <v>Nature Photonics</v>
      </c>
      <c r="AN18" t="str">
        <f ca="1">IFERROR(__xludf.DUMMYFUNCTION("""COMPUTED_VALUE"""),"Engineering &amp; Computer Science,
Physics &amp; Mathematics")</f>
        <v>Engineering &amp; Computer Science,
Physics &amp; Mathematics</v>
      </c>
      <c r="AO1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P18" s="448"/>
      <c r="AQ18" t="str">
        <f ca="1">IFERROR(__xludf.DUMMYFUNCTION("""COMPUTED_VALUE"""),"Health Affairs")</f>
        <v>Health Affairs</v>
      </c>
      <c r="AR18" t="str">
        <f ca="1">IFERROR(__xludf.DUMMYFUNCTION("""COMPUTED_VALUE"""),"Social Sciences")</f>
        <v>Social Sciences</v>
      </c>
      <c r="AS18" t="str">
        <f ca="1">IFERROR(__xludf.DUMMYFUNCTION("""COMPUTED_VALUE"""),"Double blind")</f>
        <v>Double blind</v>
      </c>
    </row>
    <row r="19" spans="1:45" ht="15.75" customHeight="1">
      <c r="A19" s="462"/>
      <c r="B19" s="462"/>
      <c r="C19" t="str">
        <f ca="1">Filtered!I11</f>
        <v>American Economic Review</v>
      </c>
      <c r="D19" t="str">
        <f ca="1">Filtered!J11</f>
        <v>Business, Economics &amp; Management</v>
      </c>
      <c r="E19" t="str">
        <f ca="1">Filtered!L11</f>
        <v>Double blind</v>
      </c>
      <c r="F19" t="b">
        <f t="shared" ca="1" si="9"/>
        <v>1</v>
      </c>
      <c r="G19" t="b">
        <f t="shared" ca="1" si="10"/>
        <v>0</v>
      </c>
      <c r="H19" t="b">
        <f t="shared" ca="1" si="11"/>
        <v>0</v>
      </c>
      <c r="I19" t="b">
        <f t="shared" ca="1" si="12"/>
        <v>0</v>
      </c>
      <c r="J19" t="b">
        <f t="shared" ca="1" si="13"/>
        <v>0</v>
      </c>
      <c r="K19" t="b">
        <f t="shared" ca="1" si="14"/>
        <v>0</v>
      </c>
      <c r="L19" t="b">
        <f t="shared" ca="1" si="15"/>
        <v>0</v>
      </c>
      <c r="M19" t="b">
        <f t="shared" ca="1" si="16"/>
        <v>0</v>
      </c>
      <c r="N19" s="448"/>
      <c r="O19" s="464" t="str">
        <f ca="1">IFERROR(__xludf.DUMMYFUNCTION("""COMPUTED_VALUE"""),"Journal of Management")</f>
        <v>Journal of Management</v>
      </c>
      <c r="P19" t="str">
        <f ca="1">IFERROR(__xludf.DUMMYFUNCTION("""COMPUTED_VALUE"""),"Business, Economics &amp; Management")</f>
        <v>Business, Economics &amp; Management</v>
      </c>
      <c r="Q19" t="str">
        <f ca="1">IFERROR(__xludf.DUMMYFUNCTION("""COMPUTED_VALUE"""),"Double blind")</f>
        <v>Double blind</v>
      </c>
      <c r="R19" s="448"/>
      <c r="S19" s="464" t="str">
        <f ca="1">IFERROR(__xludf.DUMMYFUNCTION("""COMPUTED_VALUE"""),"Chemical Society reviews")</f>
        <v>Chemical Society reviews</v>
      </c>
      <c r="T19" t="str">
        <f ca="1">IFERROR(__xludf.DUMMYFUNCTION("""COMPUTED_VALUE"""),"Chemical &amp; Materials Sciences")</f>
        <v>Chemical &amp; Materials Sciences</v>
      </c>
      <c r="U19" t="str">
        <f ca="1">IFERROR(__xludf.DUMMYFUNCTION("""COMPUTED_VALUE"""),"Unsure")</f>
        <v>Unsure</v>
      </c>
      <c r="V19" s="448"/>
      <c r="W19" s="464" t="str">
        <f ca="1">IFERROR(__xludf.DUMMYFUNCTION("""COMPUTED_VALUE"""),"IEEE International Conference on Computer Vision")</f>
        <v>IEEE International Conference on Computer Vision</v>
      </c>
      <c r="X19" t="str">
        <f ca="1">IFERROR(__xludf.DUMMYFUNCTION("""COMPUTED_VALUE"""),"Engineering &amp; Computer Science")</f>
        <v>Engineering &amp; Computer Science</v>
      </c>
      <c r="Y19" t="str">
        <f ca="1">IFERROR(__xludf.DUMMYFUNCTION("""COMPUTED_VALUE"""),"Double blind")</f>
        <v>Double blind</v>
      </c>
      <c r="Z19" s="448"/>
      <c r="AA19" s="464" t="str">
        <f ca="1">IFERROR(__xludf.DUMMYFUNCTION("""COMPUTED_VALUE"""),"Journal of the American College of Cardiology")</f>
        <v>Journal of the American College of Cardiology</v>
      </c>
      <c r="AB19" t="str">
        <f ca="1">IFERROR(__xludf.DUMMYFUNCTION("""COMPUTED_VALUE"""),"Health &amp; Medical Sciences")</f>
        <v>Health &amp; Medical Sciences</v>
      </c>
      <c r="AC19" t="str">
        <f ca="1">IFERROR(__xludf.DUMMYFUNCTION("""COMPUTED_VALUE"""),"Single blind")</f>
        <v>Single blind</v>
      </c>
      <c r="AD19" s="448"/>
      <c r="AE19" s="464" t="str">
        <f ca="1">IFERROR(__xludf.DUMMYFUNCTION("""COMPUTED_VALUE"""),"Language Learning")</f>
        <v>Language Learning</v>
      </c>
      <c r="AF19" t="str">
        <f ca="1">IFERROR(__xludf.DUMMYFUNCTION("""COMPUTED_VALUE"""),"Humanities, Literature &amp; Arts")</f>
        <v>Humanities, Literature &amp; Arts</v>
      </c>
      <c r="AG19" t="str">
        <f ca="1">IFERROR(__xludf.DUMMYFUNCTION("""COMPUTED_VALUE"""),"Other: author choice of single or double blind")</f>
        <v>Other: author choice of single or double blind</v>
      </c>
      <c r="AH19" s="448"/>
      <c r="AI19" s="464" t="str">
        <f ca="1">IFERROR(__xludf.DUMMYFUNCTION("""COMPUTED_VALUE"""),"Nature Communications")</f>
        <v>Nature Communications</v>
      </c>
      <c r="AJ19" t="str">
        <f ca="1">IFERROR(__xludf.DUMMYFUNCTION("""COMPUTED_VALUE"""),"Life Sciences &amp; Earth Sciences")</f>
        <v>Life Sciences &amp; Earth Sciences</v>
      </c>
      <c r="AK19"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19" s="448"/>
      <c r="AM19" t="str">
        <f ca="1">IFERROR(__xludf.DUMMYFUNCTION("""COMPUTED_VALUE"""),"Nature Physics")</f>
        <v>Nature Physics</v>
      </c>
      <c r="AN19" t="str">
        <f ca="1">IFERROR(__xludf.DUMMYFUNCTION("""COMPUTED_VALUE"""),"Physics &amp; Mathematics")</f>
        <v>Physics &amp; Mathematics</v>
      </c>
      <c r="AO19"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P19" s="448"/>
      <c r="AQ19" t="str">
        <f ca="1">IFERROR(__xludf.DUMMYFUNCTION("""COMPUTED_VALUE"""),"Journal of Business Ethics")</f>
        <v>Journal of Business Ethics</v>
      </c>
      <c r="AR19" t="str">
        <f ca="1">IFERROR(__xludf.DUMMYFUNCTION("""COMPUTED_VALUE"""),"Business, Economics &amp; Management,
Social Sciences")</f>
        <v>Business, Economics &amp; Management,
Social Sciences</v>
      </c>
      <c r="AS19" t="str">
        <f ca="1">IFERROR(__xludf.DUMMYFUNCTION("""COMPUTED_VALUE"""),"Double blind")</f>
        <v>Double blind</v>
      </c>
    </row>
    <row r="20" spans="1:45" ht="15.75" customHeight="1">
      <c r="A20" s="462"/>
      <c r="B20" s="462"/>
      <c r="C20" t="str">
        <f ca="1">Filtered!I12</f>
        <v>American Journal of Political Science</v>
      </c>
      <c r="D20" t="str">
        <f ca="1">Filtered!J12</f>
        <v>Social Sciences</v>
      </c>
      <c r="E20" t="str">
        <f ca="1">Filtered!L12</f>
        <v>Double blind</v>
      </c>
      <c r="F20" t="b">
        <f t="shared" ca="1" si="9"/>
        <v>0</v>
      </c>
      <c r="G20" t="b">
        <f t="shared" ca="1" si="10"/>
        <v>0</v>
      </c>
      <c r="H20" t="b">
        <f t="shared" ca="1" si="11"/>
        <v>0</v>
      </c>
      <c r="I20" t="b">
        <f t="shared" ca="1" si="12"/>
        <v>0</v>
      </c>
      <c r="J20" t="b">
        <f t="shared" ca="1" si="13"/>
        <v>0</v>
      </c>
      <c r="K20" t="b">
        <f t="shared" ca="1" si="14"/>
        <v>0</v>
      </c>
      <c r="L20" t="b">
        <f t="shared" ca="1" si="15"/>
        <v>0</v>
      </c>
      <c r="M20" t="b">
        <f t="shared" ca="1" si="16"/>
        <v>1</v>
      </c>
      <c r="N20" s="448"/>
      <c r="O20" s="464" t="str">
        <f ca="1">IFERROR(__xludf.DUMMYFUNCTION("""COMPUTED_VALUE"""),"Management Information Systems Quarterly")</f>
        <v>Management Information Systems Quarterly</v>
      </c>
      <c r="P20" t="str">
        <f ca="1">IFERROR(__xludf.DUMMYFUNCTION("""COMPUTED_VALUE"""),"Business, Economics &amp; Management")</f>
        <v>Business, Economics &amp; Management</v>
      </c>
      <c r="Q20" t="str">
        <f ca="1">IFERROR(__xludf.DUMMYFUNCTION("""COMPUTED_VALUE"""),"Double-blind")</f>
        <v>Double-blind</v>
      </c>
      <c r="R20" s="448"/>
      <c r="S20" s="464" t="str">
        <f ca="1">IFERROR(__xludf.DUMMYFUNCTION("""COMPUTED_VALUE"""),"Chemistry of Materials")</f>
        <v>Chemistry of Materials</v>
      </c>
      <c r="T20" t="str">
        <f ca="1">IFERROR(__xludf.DUMMYFUNCTION("""COMPUTED_VALUE"""),"Chemical &amp; Materials Sciences,
Engineering &amp; Computer Science")</f>
        <v>Chemical &amp; Materials Sciences,
Engineering &amp; Computer Science</v>
      </c>
      <c r="U20" t="str">
        <f ca="1">IFERROR(__xludf.DUMMYFUNCTION("""COMPUTED_VALUE"""),"Unsure")</f>
        <v>Unsure</v>
      </c>
      <c r="V20" s="448"/>
      <c r="W20" s="464" t="str">
        <f ca="1">IFERROR(__xludf.DUMMYFUNCTION("""COMPUTED_VALUE"""),"IEEE Transactions on Industrial Electronics")</f>
        <v>IEEE Transactions on Industrial Electronics</v>
      </c>
      <c r="X20" t="str">
        <f ca="1">IFERROR(__xludf.DUMMYFUNCTION("""COMPUTED_VALUE"""),"Engineering &amp; Computer Science")</f>
        <v>Engineering &amp; Computer Science</v>
      </c>
      <c r="Y20" t="str">
        <f ca="1">IFERROR(__xludf.DUMMYFUNCTION("""COMPUTED_VALUE"""),"Unsure")</f>
        <v>Unsure</v>
      </c>
      <c r="Z20" s="448"/>
      <c r="AA20" s="464" t="str">
        <f ca="1">IFERROR(__xludf.DUMMYFUNCTION("""COMPUTED_VALUE"""),"Nature Genetics")</f>
        <v>Nature Genetics</v>
      </c>
      <c r="AB20" t="str">
        <f ca="1">IFERROR(__xludf.DUMMYFUNCTION("""COMPUTED_VALUE"""),"Health &amp; Medical Sciences,
Life Sciences &amp; Earth Sciences")</f>
        <v>Health &amp; Medical Sciences,
Life Sciences &amp; Earth Sciences</v>
      </c>
      <c r="AC20"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0" s="448"/>
      <c r="AE20" s="464" t="str">
        <f ca="1">IFERROR(__xludf.DUMMYFUNCTION("""COMPUTED_VALUE"""),"Lingua")</f>
        <v>Lingua</v>
      </c>
      <c r="AF20" t="str">
        <f ca="1">IFERROR(__xludf.DUMMYFUNCTION("""COMPUTED_VALUE"""),"Humanities, Literature &amp; Arts")</f>
        <v>Humanities, Literature &amp; Arts</v>
      </c>
      <c r="AG20" t="str">
        <f ca="1">IFERROR(__xludf.DUMMYFUNCTION("""COMPUTED_VALUE"""),"Double blind")</f>
        <v>Double blind</v>
      </c>
      <c r="AH20" s="448"/>
      <c r="AI20" s="464" t="str">
        <f ca="1">IFERROR(__xludf.DUMMYFUNCTION("""COMPUTED_VALUE"""),"Nature Genetics")</f>
        <v>Nature Genetics</v>
      </c>
      <c r="AJ20" t="str">
        <f ca="1">IFERROR(__xludf.DUMMYFUNCTION("""COMPUTED_VALUE"""),"Health &amp; Medical Sciences,
Life Sciences &amp; Earth Sciences")</f>
        <v>Health &amp; Medical Sciences,
Life Sciences &amp; Earth Sciences</v>
      </c>
      <c r="AK20"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20" s="448"/>
      <c r="AM20" t="str">
        <f ca="1">IFERROR(__xludf.DUMMYFUNCTION("""COMPUTED_VALUE"""),"Optics Express")</f>
        <v>Optics Express</v>
      </c>
      <c r="AN20" t="str">
        <f ca="1">IFERROR(__xludf.DUMMYFUNCTION("""COMPUTED_VALUE"""),"Physics &amp; Mathematics")</f>
        <v>Physics &amp; Mathematics</v>
      </c>
      <c r="AO20" t="str">
        <f ca="1">IFERROR(__xludf.DUMMYFUNCTION("""COMPUTED_VALUE"""),"Single blind")</f>
        <v>Single blind</v>
      </c>
      <c r="AP20" s="448"/>
      <c r="AQ20" t="str">
        <f ca="1">IFERROR(__xludf.DUMMYFUNCTION("""COMPUTED_VALUE"""),"Journal of Educational Psychology")</f>
        <v>Journal of Educational Psychology</v>
      </c>
      <c r="AR20" t="str">
        <f ca="1">IFERROR(__xludf.DUMMYFUNCTION("""COMPUTED_VALUE"""),"Social Sciences")</f>
        <v>Social Sciences</v>
      </c>
      <c r="AS20" t="str">
        <f ca="1">IFERROR(__xludf.DUMMYFUNCTION("""COMPUTED_VALUE"""),"Double blind")</f>
        <v>Double blind</v>
      </c>
    </row>
    <row r="21" spans="1:45" ht="15.75" customHeight="1">
      <c r="A21" s="462"/>
      <c r="B21" s="462"/>
      <c r="C21" t="str">
        <f ca="1">Filtered!I13</f>
        <v>American Journal of Public Health</v>
      </c>
      <c r="D21" t="str">
        <f ca="1">Filtered!J13</f>
        <v>Social Sciences</v>
      </c>
      <c r="E21" t="str">
        <f ca="1">Filtered!L13</f>
        <v>Double blind</v>
      </c>
      <c r="F21" t="b">
        <f t="shared" ca="1" si="9"/>
        <v>0</v>
      </c>
      <c r="G21" t="b">
        <f t="shared" ca="1" si="10"/>
        <v>0</v>
      </c>
      <c r="H21" t="b">
        <f t="shared" ca="1" si="11"/>
        <v>0</v>
      </c>
      <c r="I21" t="b">
        <f t="shared" ca="1" si="12"/>
        <v>0</v>
      </c>
      <c r="J21" t="b">
        <f t="shared" ca="1" si="13"/>
        <v>0</v>
      </c>
      <c r="K21" t="b">
        <f t="shared" ca="1" si="14"/>
        <v>0</v>
      </c>
      <c r="L21" t="b">
        <f t="shared" ca="1" si="15"/>
        <v>0</v>
      </c>
      <c r="M21" t="b">
        <f t="shared" ca="1" si="16"/>
        <v>1</v>
      </c>
      <c r="N21" s="448"/>
      <c r="O21" s="464" t="str">
        <f ca="1">IFERROR(__xludf.DUMMYFUNCTION("""COMPUTED_VALUE"""),"Management Science")</f>
        <v>Management Science</v>
      </c>
      <c r="P21" t="str">
        <f ca="1">IFERROR(__xludf.DUMMYFUNCTION("""COMPUTED_VALUE"""),"Business, Economics &amp; Management")</f>
        <v>Business, Economics &amp; Management</v>
      </c>
      <c r="Q21" t="str">
        <f ca="1">IFERROR(__xludf.DUMMYFUNCTION("""COMPUTED_VALUE"""),"Double blind")</f>
        <v>Double blind</v>
      </c>
      <c r="R21" s="448"/>
      <c r="S21" s="464" t="str">
        <f ca="1">IFERROR(__xludf.DUMMYFUNCTION("""COMPUTED_VALUE"""),"Energy and Environmental Science")</f>
        <v>Energy and Environmental Science</v>
      </c>
      <c r="T21" t="str">
        <f ca="1">IFERROR(__xludf.DUMMYFUNCTION("""COMPUTED_VALUE"""),"Chemical &amp; Materials Sciences, Engineering &amp; Computer Science")</f>
        <v>Chemical &amp; Materials Sciences, Engineering &amp; Computer Science</v>
      </c>
      <c r="U21" t="str">
        <f ca="1">IFERROR(__xludf.DUMMYFUNCTION("""COMPUTED_VALUE"""),"Single blind")</f>
        <v>Single blind</v>
      </c>
      <c r="V21" s="448"/>
      <c r="W21" s="464" t="str">
        <f ca="1">IFERROR(__xludf.DUMMYFUNCTION("""COMPUTED_VALUE"""),"IEEE Transactions on Power Electronics")</f>
        <v>IEEE Transactions on Power Electronics</v>
      </c>
      <c r="X21" t="str">
        <f ca="1">IFERROR(__xludf.DUMMYFUNCTION("""COMPUTED_VALUE"""),"Engineering &amp; Computer Science")</f>
        <v>Engineering &amp; Computer Science</v>
      </c>
      <c r="Y21" t="str">
        <f ca="1">IFERROR(__xludf.DUMMYFUNCTION("""COMPUTED_VALUE"""),"Single blind")</f>
        <v>Single blind</v>
      </c>
      <c r="Z21" s="448"/>
      <c r="AA21" s="464" t="str">
        <f ca="1">IFERROR(__xludf.DUMMYFUNCTION("""COMPUTED_VALUE"""),"Nature Medicine")</f>
        <v>Nature Medicine</v>
      </c>
      <c r="AB21" t="str">
        <f ca="1">IFERROR(__xludf.DUMMYFUNCTION("""COMPUTED_VALUE"""),"Health &amp; Medical Sciences")</f>
        <v>Health &amp; Medical Sciences</v>
      </c>
      <c r="AC21"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1" s="448"/>
      <c r="AE21" s="464" t="str">
        <f ca="1">IFERROR(__xludf.DUMMYFUNCTION("""COMPUTED_VALUE"""),"Media, Culture &amp; Society")</f>
        <v>Media, Culture &amp; Society</v>
      </c>
      <c r="AF21" t="str">
        <f ca="1">IFERROR(__xludf.DUMMYFUNCTION("""COMPUTED_VALUE"""),"Humanities, Literature &amp; Arts")</f>
        <v>Humanities, Literature &amp; Arts</v>
      </c>
      <c r="AG21" t="str">
        <f ca="1">IFERROR(__xludf.DUMMYFUNCTION("""COMPUTED_VALUE"""),"Double blind")</f>
        <v>Double blind</v>
      </c>
      <c r="AH21" s="448"/>
      <c r="AI21" s="464" t="str">
        <f ca="1">IFERROR(__xludf.DUMMYFUNCTION("""COMPUTED_VALUE"""),"Nature Methods")</f>
        <v>Nature Methods</v>
      </c>
      <c r="AJ21" t="str">
        <f ca="1">IFERROR(__xludf.DUMMYFUNCTION("""COMPUTED_VALUE"""),"Life Sciences &amp; Earth Sciences")</f>
        <v>Life Sciences &amp; Earth Sciences</v>
      </c>
      <c r="AK21"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L21" s="448"/>
      <c r="AM21" t="str">
        <f ca="1">IFERROR(__xludf.DUMMYFUNCTION("""COMPUTED_VALUE"""),"Physical Review B")</f>
        <v>Physical Review B</v>
      </c>
      <c r="AN21" t="str">
        <f ca="1">IFERROR(__xludf.DUMMYFUNCTION("""COMPUTED_VALUE"""),"Physics &amp; Mathematics")</f>
        <v>Physics &amp; Mathematics</v>
      </c>
      <c r="AO21" t="str">
        <f ca="1">IFERROR(__xludf.DUMMYFUNCTION("""COMPUTED_VALUE"""),"Single blind")</f>
        <v>Single blind</v>
      </c>
      <c r="AP21" s="448"/>
      <c r="AQ21" t="str">
        <f ca="1">IFERROR(__xludf.DUMMYFUNCTION("""COMPUTED_VALUE"""),"Journal of Youth and Adolescence")</f>
        <v>Journal of Youth and Adolescence</v>
      </c>
      <c r="AR21" t="str">
        <f ca="1">IFERROR(__xludf.DUMMYFUNCTION("""COMPUTED_VALUE"""),"Social Sciences")</f>
        <v>Social Sciences</v>
      </c>
      <c r="AS21" t="str">
        <f ca="1">IFERROR(__xludf.DUMMYFUNCTION("""COMPUTED_VALUE"""),"Double blind")</f>
        <v>Double blind</v>
      </c>
    </row>
    <row r="22" spans="1:45" ht="15.75" customHeight="1">
      <c r="A22" s="462"/>
      <c r="B22" s="462"/>
      <c r="C22" t="str">
        <f ca="1">Filtered!I14</f>
        <v>American Political Science Review</v>
      </c>
      <c r="D22" t="str">
        <f ca="1">Filtered!J14</f>
        <v>Social Sciences</v>
      </c>
      <c r="E22" t="str">
        <f ca="1">Filtered!L14</f>
        <v>Double blind</v>
      </c>
      <c r="F22" t="b">
        <f t="shared" ca="1" si="9"/>
        <v>0</v>
      </c>
      <c r="G22" t="b">
        <f t="shared" ca="1" si="10"/>
        <v>0</v>
      </c>
      <c r="H22" t="b">
        <f t="shared" ca="1" si="11"/>
        <v>0</v>
      </c>
      <c r="I22" t="b">
        <f t="shared" ca="1" si="12"/>
        <v>0</v>
      </c>
      <c r="J22" t="b">
        <f t="shared" ca="1" si="13"/>
        <v>0</v>
      </c>
      <c r="K22" t="b">
        <f t="shared" ca="1" si="14"/>
        <v>0</v>
      </c>
      <c r="L22" t="b">
        <f t="shared" ca="1" si="15"/>
        <v>0</v>
      </c>
      <c r="M22" t="b">
        <f t="shared" ca="1" si="16"/>
        <v>1</v>
      </c>
      <c r="N22" s="448"/>
      <c r="O22" s="464" t="str">
        <f ca="1">IFERROR(__xludf.DUMMYFUNCTION("""COMPUTED_VALUE"""),"Review of Economics and Statistics")</f>
        <v>Review of Economics and Statistics</v>
      </c>
      <c r="P22" t="str">
        <f ca="1">IFERROR(__xludf.DUMMYFUNCTION("""COMPUTED_VALUE"""),"Business, Economics &amp; Management")</f>
        <v>Business, Economics &amp; Management</v>
      </c>
      <c r="Q22" t="str">
        <f ca="1">IFERROR(__xludf.DUMMYFUNCTION("""COMPUTED_VALUE"""),"Unsure")</f>
        <v>Unsure</v>
      </c>
      <c r="R22" s="448"/>
      <c r="S22" s="464" t="str">
        <f ca="1">IFERROR(__xludf.DUMMYFUNCTION("""COMPUTED_VALUE"""),"Journal of Materials Chemistry. A")</f>
        <v>Journal of Materials Chemistry. A</v>
      </c>
      <c r="T22" t="str">
        <f ca="1">IFERROR(__xludf.DUMMYFUNCTION("""COMPUTED_VALUE"""),"Chemical &amp; Materials Sciences, Engineering &amp; Computer Science")</f>
        <v>Chemical &amp; Materials Sciences, Engineering &amp; Computer Science</v>
      </c>
      <c r="U22" t="str">
        <f ca="1">IFERROR(__xludf.DUMMYFUNCTION("""COMPUTED_VALUE"""),"Single blind")</f>
        <v>Single blind</v>
      </c>
      <c r="V22" s="448"/>
      <c r="W22" s="464" t="str">
        <f ca="1">IFERROR(__xludf.DUMMYFUNCTION("""COMPUTED_VALUE"""),"Journal of Materials Chemistry. A")</f>
        <v>Journal of Materials Chemistry. A</v>
      </c>
      <c r="X22" t="str">
        <f ca="1">IFERROR(__xludf.DUMMYFUNCTION("""COMPUTED_VALUE"""),"Chemical &amp; Materials Sciences, Engineering &amp; Computer Science")</f>
        <v>Chemical &amp; Materials Sciences, Engineering &amp; Computer Science</v>
      </c>
      <c r="Y22" t="str">
        <f ca="1">IFERROR(__xludf.DUMMYFUNCTION("""COMPUTED_VALUE"""),"Single blind")</f>
        <v>Single blind</v>
      </c>
      <c r="Z22" s="448"/>
      <c r="AA22" s="464" t="str">
        <f ca="1">IFERROR(__xludf.DUMMYFUNCTION("""COMPUTED_VALUE"""),"Nature Neuroscience")</f>
        <v>Nature Neuroscience</v>
      </c>
      <c r="AB22" t="str">
        <f ca="1">IFERROR(__xludf.DUMMYFUNCTION("""COMPUTED_VALUE"""),"Health &amp; Medical Sciences")</f>
        <v>Health &amp; Medical Sciences</v>
      </c>
      <c r="AC22"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AD22" s="448"/>
      <c r="AE22" s="464" t="str">
        <f ca="1">IFERROR(__xludf.DUMMYFUNCTION("""COMPUTED_VALUE"""),"Noûs")</f>
        <v>Noûs</v>
      </c>
      <c r="AF22" t="str">
        <f ca="1">IFERROR(__xludf.DUMMYFUNCTION("""COMPUTED_VALUE"""),"Social Sciences, Humanities, Literature &amp; Arts")</f>
        <v>Social Sciences, Humanities, Literature &amp; Arts</v>
      </c>
      <c r="AG22" t="str">
        <f ca="1">IFERROR(__xludf.DUMMYFUNCTION("""COMPUTED_VALUE"""),"Other (Triple blind)")</f>
        <v>Other (Triple blind)</v>
      </c>
      <c r="AH22" s="448"/>
      <c r="AI22" s="464" t="str">
        <f ca="1">IFERROR(__xludf.DUMMYFUNCTION("""COMPUTED_VALUE"""),"Nature Reviews Genetics")</f>
        <v>Nature Reviews Genetics</v>
      </c>
      <c r="AJ22" t="str">
        <f ca="1">IFERROR(__xludf.DUMMYFUNCTION("""COMPUTED_VALUE"""),"Life Sciences &amp; Earth Sciences")</f>
        <v>Life Sciences &amp; Earth Sciences</v>
      </c>
      <c r="AK22" t="str">
        <f ca="1">IFERROR(__xludf.DUMMYFUNCTION("""COMPUTED_VALUE"""),"Unsure")</f>
        <v>Unsure</v>
      </c>
      <c r="AL22" s="448"/>
      <c r="AM22" t="str">
        <f ca="1">IFERROR(__xludf.DUMMYFUNCTION("""COMPUTED_VALUE"""),"Physical Review D")</f>
        <v>Physical Review D</v>
      </c>
      <c r="AN22" t="str">
        <f ca="1">IFERROR(__xludf.DUMMYFUNCTION("""COMPUTED_VALUE"""),"Physics &amp; Mathematics")</f>
        <v>Physics &amp; Mathematics</v>
      </c>
      <c r="AO22" t="str">
        <f ca="1">IFERROR(__xludf.DUMMYFUNCTION("""COMPUTED_VALUE"""),"Single blind")</f>
        <v>Single blind</v>
      </c>
      <c r="AP22" s="448"/>
      <c r="AQ22" t="str">
        <f ca="1">IFERROR(__xludf.DUMMYFUNCTION("""COMPUTED_VALUE"""),"Land Use Policy")</f>
        <v>Land Use Policy</v>
      </c>
      <c r="AR22" t="str">
        <f ca="1">IFERROR(__xludf.DUMMYFUNCTION("""COMPUTED_VALUE"""),"Social Sciences")</f>
        <v>Social Sciences</v>
      </c>
      <c r="AS22" t="str">
        <f ca="1">IFERROR(__xludf.DUMMYFUNCTION("""COMPUTED_VALUE"""),"Double blind")</f>
        <v>Double blind</v>
      </c>
    </row>
    <row r="23" spans="1:45" ht="15.75" customHeight="1">
      <c r="A23" s="462"/>
      <c r="B23" s="462"/>
      <c r="C23" t="str">
        <f ca="1">Filtered!I15</f>
        <v>American Sociological Review</v>
      </c>
      <c r="D23" t="str">
        <f ca="1">Filtered!J15</f>
        <v>Social Sciences</v>
      </c>
      <c r="E23" t="str">
        <f ca="1">Filtered!L15</f>
        <v>Double blind</v>
      </c>
      <c r="F23" t="b">
        <f t="shared" ca="1" si="9"/>
        <v>0</v>
      </c>
      <c r="G23" t="b">
        <f t="shared" ca="1" si="10"/>
        <v>0</v>
      </c>
      <c r="H23" t="b">
        <f t="shared" ca="1" si="11"/>
        <v>0</v>
      </c>
      <c r="I23" t="b">
        <f t="shared" ca="1" si="12"/>
        <v>0</v>
      </c>
      <c r="J23" t="b">
        <f t="shared" ca="1" si="13"/>
        <v>0</v>
      </c>
      <c r="K23" t="b">
        <f t="shared" ca="1" si="14"/>
        <v>0</v>
      </c>
      <c r="L23" t="b">
        <f t="shared" ca="1" si="15"/>
        <v>0</v>
      </c>
      <c r="M23" t="b">
        <f t="shared" ca="1" si="16"/>
        <v>1</v>
      </c>
      <c r="N23" s="448"/>
      <c r="O23" s="464" t="str">
        <f ca="1">IFERROR(__xludf.DUMMYFUNCTION("""COMPUTED_VALUE"""),"Strategic Management Journal")</f>
        <v>Strategic Management Journal</v>
      </c>
      <c r="P23" t="str">
        <f ca="1">IFERROR(__xludf.DUMMYFUNCTION("""COMPUTED_VALUE"""),"Business, Economics &amp; Management")</f>
        <v>Business, Economics &amp; Management</v>
      </c>
      <c r="Q23" t="str">
        <f ca="1">IFERROR(__xludf.DUMMYFUNCTION("""COMPUTED_VALUE"""),"Unsure")</f>
        <v>Unsure</v>
      </c>
      <c r="R23" s="448"/>
      <c r="S23" s="464" t="str">
        <f ca="1">IFERROR(__xludf.DUMMYFUNCTION("""COMPUTED_VALUE"""),"Journal of the American Chemical Society")</f>
        <v>Journal of the American Chemical Society</v>
      </c>
      <c r="T23" t="str">
        <f ca="1">IFERROR(__xludf.DUMMYFUNCTION("""COMPUTED_VALUE"""),"Chemical &amp; Materials Sciences")</f>
        <v>Chemical &amp; Materials Sciences</v>
      </c>
      <c r="U23" t="str">
        <f ca="1">IFERROR(__xludf.DUMMYFUNCTION("""COMPUTED_VALUE"""),"Single blind")</f>
        <v>Single blind</v>
      </c>
      <c r="V23" s="448"/>
      <c r="W23" s="464" t="str">
        <f ca="1">IFERROR(__xludf.DUMMYFUNCTION("""COMPUTED_VALUE"""),"Nano Letters")</f>
        <v>Nano Letters</v>
      </c>
      <c r="X23" t="str">
        <f ca="1">IFERROR(__xludf.DUMMYFUNCTION("""COMPUTED_VALUE"""),"Chemical &amp; Materials Sciences,
Engineering &amp; Computer Science")</f>
        <v>Chemical &amp; Materials Sciences,
Engineering &amp; Computer Science</v>
      </c>
      <c r="Y23" t="str">
        <f ca="1">IFERROR(__xludf.DUMMYFUNCTION("""COMPUTED_VALUE"""),"Unsure")</f>
        <v>Unsure</v>
      </c>
      <c r="Z23" s="448"/>
      <c r="AA23" s="464" t="str">
        <f ca="1">IFERROR(__xludf.DUMMYFUNCTION("""COMPUTED_VALUE"""),"Neuron")</f>
        <v>Neuron</v>
      </c>
      <c r="AB23" t="str">
        <f ca="1">IFERROR(__xludf.DUMMYFUNCTION("""COMPUTED_VALUE"""),"Health &amp; Medical Sciences,
Life Sciences &amp; Earth Sciences")</f>
        <v>Health &amp; Medical Sciences,
Life Sciences &amp; Earth Sciences</v>
      </c>
      <c r="AC23" t="str">
        <f ca="1">IFERROR(__xludf.DUMMYFUNCTION("""COMPUTED_VALUE"""),"Single blind")</f>
        <v>Single blind</v>
      </c>
      <c r="AD23" s="448"/>
      <c r="AE23" s="464" t="str">
        <f ca="1">IFERROR(__xludf.DUMMYFUNCTION("""COMPUTED_VALUE"""),"Philosophical Studies")</f>
        <v>Philosophical Studies</v>
      </c>
      <c r="AF23" t="str">
        <f ca="1">IFERROR(__xludf.DUMMYFUNCTION("""COMPUTED_VALUE"""),"Humanities, Literature &amp; Arts")</f>
        <v>Humanities, Literature &amp; Arts</v>
      </c>
      <c r="AG23" t="str">
        <f ca="1">IFERROR(__xludf.DUMMYFUNCTION("""COMPUTED_VALUE"""),"Double blind")</f>
        <v>Double blind</v>
      </c>
      <c r="AH23" s="448"/>
      <c r="AI23" s="464" t="str">
        <f ca="1">IFERROR(__xludf.DUMMYFUNCTION("""COMPUTED_VALUE"""),"Nature Reviews. Molecular Cell Biology")</f>
        <v>Nature Reviews. Molecular Cell Biology</v>
      </c>
      <c r="AJ23" t="str">
        <f ca="1">IFERROR(__xludf.DUMMYFUNCTION("""COMPUTED_VALUE"""),"Life Sciences &amp; Earth Sciences")</f>
        <v>Life Sciences &amp; Earth Sciences</v>
      </c>
      <c r="AK23" t="str">
        <f ca="1">IFERROR(__xludf.DUMMYFUNCTION("""COMPUTED_VALUE"""),"Unsure")</f>
        <v>Unsure</v>
      </c>
      <c r="AL23" s="448"/>
      <c r="AM23" t="str">
        <f ca="1">IFERROR(__xludf.DUMMYFUNCTION("""COMPUTED_VALUE"""),"Physical Review Letters")</f>
        <v>Physical Review Letters</v>
      </c>
      <c r="AN23" t="str">
        <f ca="1">IFERROR(__xludf.DUMMYFUNCTION("""COMPUTED_VALUE"""),"Physics &amp; Mathematics")</f>
        <v>Physics &amp; Mathematics</v>
      </c>
      <c r="AO23" t="str">
        <f ca="1">IFERROR(__xludf.DUMMYFUNCTION("""COMPUTED_VALUE"""),"Single blind")</f>
        <v>Single blind</v>
      </c>
      <c r="AP23" s="448"/>
      <c r="AQ23" t="str">
        <f ca="1">IFERROR(__xludf.DUMMYFUNCTION("""COMPUTED_VALUE"""),"New Media and Society")</f>
        <v>New Media and Society</v>
      </c>
      <c r="AR23" t="str">
        <f ca="1">IFERROR(__xludf.DUMMYFUNCTION("""COMPUTED_VALUE"""),"Social Sciences")</f>
        <v>Social Sciences</v>
      </c>
      <c r="AS23" t="str">
        <f ca="1">IFERROR(__xludf.DUMMYFUNCTION("""COMPUTED_VALUE"""),"Double blind")</f>
        <v>Double blind</v>
      </c>
    </row>
    <row r="24" spans="1:45" ht="15.75" customHeight="1">
      <c r="A24" s="462"/>
      <c r="B24" s="462"/>
      <c r="C24" t="str">
        <f ca="1">Filtered!I16</f>
        <v>Angewandte Chemie International Edition</v>
      </c>
      <c r="D24" t="str">
        <f ca="1">Filtered!J16</f>
        <v>Chemical &amp; Materials Sciences</v>
      </c>
      <c r="E24" t="str">
        <f ca="1">Filtered!L16</f>
        <v>Single blind</v>
      </c>
      <c r="F24" t="b">
        <f t="shared" ca="1" si="9"/>
        <v>0</v>
      </c>
      <c r="G24" t="b">
        <f t="shared" ca="1" si="10"/>
        <v>1</v>
      </c>
      <c r="H24" t="b">
        <f t="shared" ca="1" si="11"/>
        <v>0</v>
      </c>
      <c r="I24" t="b">
        <f t="shared" ca="1" si="12"/>
        <v>0</v>
      </c>
      <c r="J24" t="b">
        <f t="shared" ca="1" si="13"/>
        <v>0</v>
      </c>
      <c r="K24" t="b">
        <f t="shared" ca="1" si="14"/>
        <v>0</v>
      </c>
      <c r="L24" t="b">
        <f t="shared" ca="1" si="15"/>
        <v>0</v>
      </c>
      <c r="M24" t="b">
        <f t="shared" ca="1" si="16"/>
        <v>0</v>
      </c>
      <c r="N24" s="448"/>
      <c r="O24" s="464" t="str">
        <f ca="1">IFERROR(__xludf.DUMMYFUNCTION("""COMPUTED_VALUE"""),"The Journal of Finance")</f>
        <v>The Journal of Finance</v>
      </c>
      <c r="P24" t="str">
        <f ca="1">IFERROR(__xludf.DUMMYFUNCTION("""COMPUTED_VALUE"""),"Business, Economics &amp; Management")</f>
        <v>Business, Economics &amp; Management</v>
      </c>
      <c r="Q24" t="str">
        <f ca="1">IFERROR(__xludf.DUMMYFUNCTION("""COMPUTED_VALUE"""),"Unsure")</f>
        <v>Unsure</v>
      </c>
      <c r="R24" s="448"/>
      <c r="S24" s="464" t="str">
        <f ca="1">IFERROR(__xludf.DUMMYFUNCTION("""COMPUTED_VALUE"""),"Nano Letters")</f>
        <v>Nano Letters</v>
      </c>
      <c r="T24" t="str">
        <f ca="1">IFERROR(__xludf.DUMMYFUNCTION("""COMPUTED_VALUE"""),"Chemical &amp; Materials Sciences,
Engineering &amp; Computer Science")</f>
        <v>Chemical &amp; Materials Sciences,
Engineering &amp; Computer Science</v>
      </c>
      <c r="U24" t="str">
        <f ca="1">IFERROR(__xludf.DUMMYFUNCTION("""COMPUTED_VALUE"""),"Unsure")</f>
        <v>Unsure</v>
      </c>
      <c r="V24" s="448"/>
      <c r="W24" s="464" t="str">
        <f ca="1">IFERROR(__xludf.DUMMYFUNCTION("""COMPUTED_VALUE"""),"Nanoscale")</f>
        <v>Nanoscale</v>
      </c>
      <c r="X24" t="str">
        <f ca="1">IFERROR(__xludf.DUMMYFUNCTION("""COMPUTED_VALUE"""),"Chemical &amp; Materials Sciences,
Engineering &amp; Computer Science")</f>
        <v>Chemical &amp; Materials Sciences,
Engineering &amp; Computer Science</v>
      </c>
      <c r="Y24" t="str">
        <f ca="1">IFERROR(__xludf.DUMMYFUNCTION("""COMPUTED_VALUE"""),"Unsure (at least single blind)")</f>
        <v>Unsure (at least single blind)</v>
      </c>
      <c r="Z24" s="448"/>
      <c r="AA24" s="464" t="str">
        <f ca="1">IFERROR(__xludf.DUMMYFUNCTION("""COMPUTED_VALUE"""),"PLoS One")</f>
        <v>PLoS One</v>
      </c>
      <c r="AB24" t="str">
        <f ca="1">IFERROR(__xludf.DUMMYFUNCTION("""COMPUTED_VALUE"""),"Health &amp; Medical Sciences,
Life Sciences &amp; Earth Sciences")</f>
        <v>Health &amp; Medical Sciences,
Life Sciences &amp; Earth Sciences</v>
      </c>
      <c r="AC24" t="str">
        <f ca="1">IFERROR(__xludf.DUMMYFUNCTION("""COMPUTED_VALUE"""),"Single blind")</f>
        <v>Single blind</v>
      </c>
      <c r="AD24" s="448"/>
      <c r="AE24" s="464" t="str">
        <f ca="1">IFERROR(__xludf.DUMMYFUNCTION("""COMPUTED_VALUE"""),"Public Opinion Quarterly")</f>
        <v>Public Opinion Quarterly</v>
      </c>
      <c r="AF24" t="str">
        <f ca="1">IFERROR(__xludf.DUMMYFUNCTION("""COMPUTED_VALUE"""),"Humanities, Literature &amp; Arts")</f>
        <v>Humanities, Literature &amp; Arts</v>
      </c>
      <c r="AG24" t="str">
        <f ca="1">IFERROR(__xludf.DUMMYFUNCTION("""COMPUTED_VALUE"""),"Double blind")</f>
        <v>Double blind</v>
      </c>
      <c r="AH24" s="448"/>
      <c r="AI24" s="464" t="str">
        <f ca="1">IFERROR(__xludf.DUMMYFUNCTION("""COMPUTED_VALUE"""),"Neuron")</f>
        <v>Neuron</v>
      </c>
      <c r="AJ24" t="str">
        <f ca="1">IFERROR(__xludf.DUMMYFUNCTION("""COMPUTED_VALUE"""),"Health &amp; Medical Sciences,
Life Sciences &amp; Earth Sciences")</f>
        <v>Health &amp; Medical Sciences,
Life Sciences &amp; Earth Sciences</v>
      </c>
      <c r="AK24" t="str">
        <f ca="1">IFERROR(__xludf.DUMMYFUNCTION("""COMPUTED_VALUE"""),"Single blind")</f>
        <v>Single blind</v>
      </c>
      <c r="AL24" s="448"/>
      <c r="AM24" t="str">
        <f ca="1">IFERROR(__xludf.DUMMYFUNCTION("""COMPUTED_VALUE"""),"Physical Review X")</f>
        <v>Physical Review X</v>
      </c>
      <c r="AN24" t="str">
        <f ca="1">IFERROR(__xludf.DUMMYFUNCTION("""COMPUTED_VALUE"""),"Physics &amp; Mathematics")</f>
        <v>Physics &amp; Mathematics</v>
      </c>
      <c r="AO24" t="str">
        <f ca="1">IFERROR(__xludf.DUMMYFUNCTION("""COMPUTED_VALUE"""),"Single blind")</f>
        <v>Single blind</v>
      </c>
      <c r="AP24" s="448"/>
      <c r="AQ24" t="str">
        <f ca="1">IFERROR(__xludf.DUMMYFUNCTION("""COMPUTED_VALUE"""),"Noûs")</f>
        <v>Noûs</v>
      </c>
      <c r="AR24" t="str">
        <f ca="1">IFERROR(__xludf.DUMMYFUNCTION("""COMPUTED_VALUE"""),"Social Sciences, Humanities, Literature &amp; Arts")</f>
        <v>Social Sciences, Humanities, Literature &amp; Arts</v>
      </c>
      <c r="AS24" t="str">
        <f ca="1">IFERROR(__xludf.DUMMYFUNCTION("""COMPUTED_VALUE"""),"Other (Triple blind)")</f>
        <v>Other (Triple blind)</v>
      </c>
    </row>
    <row r="25" spans="1:45" ht="15.75" customHeight="1">
      <c r="A25" s="462"/>
      <c r="B25" s="462"/>
      <c r="C25" t="str">
        <f ca="1">Filtered!I17</f>
        <v>Annals of Internal Medicine</v>
      </c>
      <c r="D25" t="str">
        <f ca="1">Filtered!J17</f>
        <v/>
      </c>
      <c r="E25" t="str">
        <f ca="1">Filtered!L17</f>
        <v>Single blind</v>
      </c>
      <c r="F25" t="b">
        <f t="shared" ca="1" si="9"/>
        <v>0</v>
      </c>
      <c r="G25" t="b">
        <f t="shared" ca="1" si="10"/>
        <v>0</v>
      </c>
      <c r="H25" t="b">
        <f t="shared" ca="1" si="11"/>
        <v>0</v>
      </c>
      <c r="I25" t="b">
        <f t="shared" ca="1" si="12"/>
        <v>0</v>
      </c>
      <c r="J25" t="b">
        <f t="shared" ca="1" si="13"/>
        <v>0</v>
      </c>
      <c r="K25" t="b">
        <f t="shared" ca="1" si="14"/>
        <v>0</v>
      </c>
      <c r="L25" t="b">
        <f t="shared" ca="1" si="15"/>
        <v>0</v>
      </c>
      <c r="M25" t="b">
        <f t="shared" ca="1" si="16"/>
        <v>0</v>
      </c>
      <c r="N25" s="448"/>
      <c r="O25" s="464" t="str">
        <f ca="1">IFERROR(__xludf.DUMMYFUNCTION("""COMPUTED_VALUE"""),"The Quarterly Journal of Economics")</f>
        <v>The Quarterly Journal of Economics</v>
      </c>
      <c r="P25" t="str">
        <f ca="1">IFERROR(__xludf.DUMMYFUNCTION("""COMPUTED_VALUE"""),"Business, Economics &amp; Management")</f>
        <v>Business, Economics &amp; Management</v>
      </c>
      <c r="Q25" t="str">
        <f ca="1">IFERROR(__xludf.DUMMYFUNCTION("""COMPUTED_VALUE"""),"Unsure")</f>
        <v>Unsure</v>
      </c>
      <c r="R25" s="448"/>
      <c r="S25" s="464" t="str">
        <f ca="1">IFERROR(__xludf.DUMMYFUNCTION("""COMPUTED_VALUE"""),"Nanoscale")</f>
        <v>Nanoscale</v>
      </c>
      <c r="T25" t="str">
        <f ca="1">IFERROR(__xludf.DUMMYFUNCTION("""COMPUTED_VALUE"""),"Chemical &amp; Materials Sciences,
Engineering &amp; Computer Science")</f>
        <v>Chemical &amp; Materials Sciences,
Engineering &amp; Computer Science</v>
      </c>
      <c r="U25" t="str">
        <f ca="1">IFERROR(__xludf.DUMMYFUNCTION("""COMPUTED_VALUE"""),"Unsure (at least single blind)")</f>
        <v>Unsure (at least single blind)</v>
      </c>
      <c r="V25" s="448"/>
      <c r="W25" s="464" t="str">
        <f ca="1">IFERROR(__xludf.DUMMYFUNCTION("""COMPUTED_VALUE"""),"Nature Materials")</f>
        <v>Nature Materials</v>
      </c>
      <c r="X25" t="str">
        <f ca="1">IFERROR(__xludf.DUMMYFUNCTION("""COMPUTED_VALUE"""),"Chemical &amp; Materials Sciences,
Engineering &amp; Computer Science")</f>
        <v>Chemical &amp; Materials Sciences,
Engineering &amp; Computer Science</v>
      </c>
      <c r="Y25"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5" s="448"/>
      <c r="AA25" s="464" t="str">
        <f ca="1">IFERROR(__xludf.DUMMYFUNCTION("""COMPUTED_VALUE"""),"Proceedings of the National Academy of Sciences")</f>
        <v>Proceedings of the National Academy of Sciences</v>
      </c>
      <c r="AB25" t="str">
        <f ca="1">IFERROR(__xludf.DUMMYFUNCTION("""COMPUTED_VALUE"""),"Health &amp; Medical Sciences,
Life Sciences &amp; Earth Sciences")</f>
        <v>Health &amp; Medical Sciences,
Life Sciences &amp; Earth Sciences</v>
      </c>
      <c r="AC25" t="str">
        <f ca="1">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AD25" s="448"/>
      <c r="AE25" s="464" t="str">
        <f ca="1">IFERROR(__xludf.DUMMYFUNCTION("""COMPUTED_VALUE"""),"Synthese")</f>
        <v>Synthese</v>
      </c>
      <c r="AF25" t="str">
        <f ca="1">IFERROR(__xludf.DUMMYFUNCTION("""COMPUTED_VALUE"""),"Humanities, Literature &amp; Arts")</f>
        <v>Humanities, Literature &amp; Arts</v>
      </c>
      <c r="AG25" t="str">
        <f ca="1">IFERROR(__xludf.DUMMYFUNCTION("""COMPUTED_VALUE"""),"Double blind")</f>
        <v>Double blind</v>
      </c>
      <c r="AH25" s="448"/>
      <c r="AI25" s="464" t="str">
        <f ca="1">IFERROR(__xludf.DUMMYFUNCTION("""COMPUTED_VALUE"""),"Nucleic Acids Research")</f>
        <v>Nucleic Acids Research</v>
      </c>
      <c r="AJ25" t="str">
        <f ca="1">IFERROR(__xludf.DUMMYFUNCTION("""COMPUTED_VALUE"""),"Life Sciences &amp; Earth Sciences")</f>
        <v>Life Sciences &amp; Earth Sciences</v>
      </c>
      <c r="AK25" t="str">
        <f ca="1">IFERROR(__xludf.DUMMYFUNCTION("""COMPUTED_VALUE"""),"Unsure")</f>
        <v>Unsure</v>
      </c>
      <c r="AL25" s="448"/>
      <c r="AM25" t="str">
        <f ca="1">IFERROR(__xludf.DUMMYFUNCTION("""COMPUTED_VALUE"""),"Physics Letters B")</f>
        <v>Physics Letters B</v>
      </c>
      <c r="AN25" t="str">
        <f ca="1">IFERROR(__xludf.DUMMYFUNCTION("""COMPUTED_VALUE"""),"Physics &amp; Mathematics")</f>
        <v>Physics &amp; Mathematics</v>
      </c>
      <c r="AO25" t="str">
        <f ca="1">IFERROR(__xludf.DUMMYFUNCTION("""COMPUTED_VALUE"""),"Single blind")</f>
        <v>Single blind</v>
      </c>
      <c r="AP25" s="448"/>
      <c r="AQ25" t="str">
        <f ca="1">IFERROR(__xludf.DUMMYFUNCTION("""COMPUTED_VALUE"""),"Progress in Human Geography")</f>
        <v>Progress in Human Geography</v>
      </c>
      <c r="AR25" t="str">
        <f ca="1">IFERROR(__xludf.DUMMYFUNCTION("""COMPUTED_VALUE"""),"Social Sciences")</f>
        <v>Social Sciences</v>
      </c>
      <c r="AS25" t="str">
        <f ca="1">IFERROR(__xludf.DUMMYFUNCTION("""COMPUTED_VALUE"""),"Double blind")</f>
        <v>Double blind</v>
      </c>
    </row>
    <row r="26" spans="1:45" ht="15.75" customHeight="1">
      <c r="A26" s="462"/>
      <c r="B26" s="462"/>
      <c r="C26" t="str">
        <f ca="1">Filtered!I18</f>
        <v>Annals of Oncology</v>
      </c>
      <c r="D26" t="str">
        <f ca="1">Filtered!J18</f>
        <v/>
      </c>
      <c r="E26" t="str">
        <f ca="1">Filtered!L18</f>
        <v>Unsure</v>
      </c>
      <c r="F26" t="b">
        <f t="shared" ca="1" si="9"/>
        <v>0</v>
      </c>
      <c r="G26" t="b">
        <f t="shared" ca="1" si="10"/>
        <v>0</v>
      </c>
      <c r="H26" t="b">
        <f t="shared" ca="1" si="11"/>
        <v>0</v>
      </c>
      <c r="I26" t="b">
        <f t="shared" ca="1" si="12"/>
        <v>0</v>
      </c>
      <c r="J26" t="b">
        <f t="shared" ca="1" si="13"/>
        <v>0</v>
      </c>
      <c r="K26" t="b">
        <f t="shared" ca="1" si="14"/>
        <v>0</v>
      </c>
      <c r="L26" t="b">
        <f t="shared" ca="1" si="15"/>
        <v>0</v>
      </c>
      <c r="M26" t="b">
        <f t="shared" ca="1" si="16"/>
        <v>0</v>
      </c>
      <c r="N26" s="448"/>
      <c r="O26" s="464" t="str">
        <f ca="1">IFERROR(__xludf.DUMMYFUNCTION("""COMPUTED_VALUE"""),"The Review of Economic Studies")</f>
        <v>The Review of Economic Studies</v>
      </c>
      <c r="P26" t="str">
        <f ca="1">IFERROR(__xludf.DUMMYFUNCTION("""COMPUTED_VALUE"""),"Business, Economics &amp; Management")</f>
        <v>Business, Economics &amp; Management</v>
      </c>
      <c r="Q26" t="str">
        <f ca="1">IFERROR(__xludf.DUMMYFUNCTION("""COMPUTED_VALUE"""),"Unsure")</f>
        <v>Unsure</v>
      </c>
      <c r="R26" s="448"/>
      <c r="S26" s="464" t="str">
        <f ca="1">IFERROR(__xludf.DUMMYFUNCTION("""COMPUTED_VALUE"""),"Nature Chemistry")</f>
        <v>Nature Chemistry</v>
      </c>
      <c r="T26" t="str">
        <f ca="1">IFERROR(__xludf.DUMMYFUNCTION("""COMPUTED_VALUE"""),"Chemical &amp; Materials Sciences")</f>
        <v>Chemical &amp; Materials Sciences</v>
      </c>
      <c r="U2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6" s="448"/>
      <c r="W26" s="464" t="str">
        <f ca="1">IFERROR(__xludf.DUMMYFUNCTION("""COMPUTED_VALUE"""),"Nature Nanotechnology")</f>
        <v>Nature Nanotechnology</v>
      </c>
      <c r="X26" t="str">
        <f ca="1">IFERROR(__xludf.DUMMYFUNCTION("""COMPUTED_VALUE"""),"Chemical &amp; Materials Sciences,
Engineering &amp; Computer Science")</f>
        <v>Chemical &amp; Materials Sciences,
Engineering &amp; Computer Science</v>
      </c>
      <c r="Y26"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6" s="448"/>
      <c r="AA26" s="464" t="str">
        <f ca="1">IFERROR(__xludf.DUMMYFUNCTION("""COMPUTED_VALUE"""),"The Cochrane Database of Systematic Reviews")</f>
        <v>The Cochrane Database of Systematic Reviews</v>
      </c>
      <c r="AB26" t="str">
        <f ca="1">IFERROR(__xludf.DUMMYFUNCTION("""COMPUTED_VALUE"""),"Health &amp; Medical Sciences")</f>
        <v>Health &amp; Medical Sciences</v>
      </c>
      <c r="AC26" t="str">
        <f ca="1">IFERROR(__xludf.DUMMYFUNCTION("""COMPUTED_VALUE"""),"Not blinded")</f>
        <v>Not blinded</v>
      </c>
      <c r="AD26" s="448"/>
      <c r="AE26" s="464" t="str">
        <f ca="1">IFERROR(__xludf.DUMMYFUNCTION("""COMPUTED_VALUE"""),"System")</f>
        <v>System</v>
      </c>
      <c r="AF26" t="str">
        <f ca="1">IFERROR(__xludf.DUMMYFUNCTION("""COMPUTED_VALUE"""),"Humanities, Literature &amp; Arts")</f>
        <v>Humanities, Literature &amp; Arts</v>
      </c>
      <c r="AG26" t="str">
        <f ca="1">IFERROR(__xludf.DUMMYFUNCTION("""COMPUTED_VALUE"""),"Double blind")</f>
        <v>Double blind</v>
      </c>
      <c r="AH26" s="448"/>
      <c r="AI26" s="464" t="str">
        <f ca="1">IFERROR(__xludf.DUMMYFUNCTION("""COMPUTED_VALUE"""),"PLoS One")</f>
        <v>PLoS One</v>
      </c>
      <c r="AJ26" t="str">
        <f ca="1">IFERROR(__xludf.DUMMYFUNCTION("""COMPUTED_VALUE"""),"Health &amp; Medical Sciences,
Life Sciences &amp; Earth Sciences")</f>
        <v>Health &amp; Medical Sciences,
Life Sciences &amp; Earth Sciences</v>
      </c>
      <c r="AK26" t="str">
        <f ca="1">IFERROR(__xludf.DUMMYFUNCTION("""COMPUTED_VALUE"""),"Single blind")</f>
        <v>Single blind</v>
      </c>
      <c r="AL26" s="448"/>
      <c r="AM26" t="str">
        <f ca="1">IFERROR(__xludf.DUMMYFUNCTION("""COMPUTED_VALUE"""),"Reviews of Modern Physics")</f>
        <v>Reviews of Modern Physics</v>
      </c>
      <c r="AN26" t="str">
        <f ca="1">IFERROR(__xludf.DUMMYFUNCTION("""COMPUTED_VALUE"""),"Physics &amp; Mathematics")</f>
        <v>Physics &amp; Mathematics</v>
      </c>
      <c r="AO26" t="str">
        <f ca="1">IFERROR(__xludf.DUMMYFUNCTION("""COMPUTED_VALUE"""),"Single blind")</f>
        <v>Single blind</v>
      </c>
      <c r="AP26" s="448"/>
      <c r="AQ26" t="str">
        <f ca="1">IFERROR(__xludf.DUMMYFUNCTION("""COMPUTED_VALUE"""),"Regional Studies")</f>
        <v>Regional Studies</v>
      </c>
      <c r="AR26" t="str">
        <f ca="1">IFERROR(__xludf.DUMMYFUNCTION("""COMPUTED_VALUE"""),"Social Sciences")</f>
        <v>Social Sciences</v>
      </c>
      <c r="AS26" t="str">
        <f ca="1">IFERROR(__xludf.DUMMYFUNCTION("""COMPUTED_VALUE"""),"Double blind")</f>
        <v>Double blind</v>
      </c>
    </row>
    <row r="27" spans="1:45" ht="15.75" customHeight="1">
      <c r="A27" s="462"/>
      <c r="B27" s="462"/>
      <c r="C27" t="str">
        <f ca="1">Filtered!I19</f>
        <v>Annals of the Rheumatic Diseases</v>
      </c>
      <c r="D27" t="str">
        <f ca="1">Filtered!J19</f>
        <v/>
      </c>
      <c r="E27" t="str">
        <f ca="1">Filtered!L19</f>
        <v>Single blind</v>
      </c>
      <c r="F27" t="b">
        <f t="shared" ca="1" si="9"/>
        <v>0</v>
      </c>
      <c r="G27" t="b">
        <f t="shared" ca="1" si="10"/>
        <v>0</v>
      </c>
      <c r="H27" t="b">
        <f t="shared" ca="1" si="11"/>
        <v>0</v>
      </c>
      <c r="I27" t="b">
        <f t="shared" ca="1" si="12"/>
        <v>0</v>
      </c>
      <c r="J27" t="b">
        <f t="shared" ca="1" si="13"/>
        <v>0</v>
      </c>
      <c r="K27" t="b">
        <f t="shared" ca="1" si="14"/>
        <v>0</v>
      </c>
      <c r="L27" t="b">
        <f t="shared" ca="1" si="15"/>
        <v>0</v>
      </c>
      <c r="M27" t="b">
        <f t="shared" ca="1" si="16"/>
        <v>0</v>
      </c>
      <c r="N27" s="448"/>
      <c r="O27" s="464" t="str">
        <f ca="1">IFERROR(__xludf.DUMMYFUNCTION("""COMPUTED_VALUE"""),"The Review of Financial Studies")</f>
        <v>The Review of Financial Studies</v>
      </c>
      <c r="P27" t="str">
        <f ca="1">IFERROR(__xludf.DUMMYFUNCTION("""COMPUTED_VALUE"""),"Business, Economics &amp; Management")</f>
        <v>Business, Economics &amp; Management</v>
      </c>
      <c r="Q27" t="str">
        <f ca="1">IFERROR(__xludf.DUMMYFUNCTION("""COMPUTED_VALUE"""),"Unsure")</f>
        <v>Unsure</v>
      </c>
      <c r="R27" s="448"/>
      <c r="S27" s="464" t="str">
        <f ca="1">IFERROR(__xludf.DUMMYFUNCTION("""COMPUTED_VALUE"""),"Nature Materials")</f>
        <v>Nature Materials</v>
      </c>
      <c r="T27" t="str">
        <f ca="1">IFERROR(__xludf.DUMMYFUNCTION("""COMPUTED_VALUE"""),"Chemical &amp; Materials Sciences,
Engineering &amp; Computer Science")</f>
        <v>Chemical &amp; Materials Sciences,
Engineering &amp; Computer Science</v>
      </c>
      <c r="U2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7" s="448"/>
      <c r="W27" s="464" t="str">
        <f ca="1">IFERROR(__xludf.DUMMYFUNCTION("""COMPUTED_VALUE"""),"Nature Photonics")</f>
        <v>Nature Photonics</v>
      </c>
      <c r="X27" t="str">
        <f ca="1">IFERROR(__xludf.DUMMYFUNCTION("""COMPUTED_VALUE"""),"Engineering &amp; Computer Science,
Physics &amp; Mathematics")</f>
        <v>Engineering &amp; Computer Science,
Physics &amp; Mathematics</v>
      </c>
      <c r="Y27"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Z27" s="448"/>
      <c r="AA27" s="464" t="str">
        <f ca="1">IFERROR(__xludf.DUMMYFUNCTION("""COMPUTED_VALUE"""),"The Lancet")</f>
        <v>The Lancet</v>
      </c>
      <c r="AB27" t="str">
        <f ca="1">IFERROR(__xludf.DUMMYFUNCTION("""COMPUTED_VALUE"""),"Health &amp; Medical Sciences")</f>
        <v>Health &amp; Medical Sciences</v>
      </c>
      <c r="AC27" t="str">
        <f ca="1">IFERROR(__xludf.DUMMYFUNCTION("""COMPUTED_VALUE"""),"Unsure")</f>
        <v>Unsure</v>
      </c>
      <c r="AD27" s="448"/>
      <c r="AE27" s="464" t="str">
        <f ca="1">IFERROR(__xludf.DUMMYFUNCTION("""COMPUTED_VALUE"""),"TESOL Quarterly")</f>
        <v>TESOL Quarterly</v>
      </c>
      <c r="AF27" t="str">
        <f ca="1">IFERROR(__xludf.DUMMYFUNCTION("""COMPUTED_VALUE"""),"Humanities, Literature &amp; Arts")</f>
        <v>Humanities, Literature &amp; Arts</v>
      </c>
      <c r="AG27" t="str">
        <f ca="1">IFERROR(__xludf.DUMMYFUNCTION("""COMPUTED_VALUE"""),"Unsure - but possibly double blinded as instructions to authors say ""If you cite your own work in your paper, please do not blind that citation so that the reviewers can better assess what literature you are reviewing.""")</f>
        <v>Unsure - but possibly double blinded as instructions to authors say "If you cite your own work in your paper, please do not blind that citation so that the reviewers can better assess what literature you are reviewing."</v>
      </c>
      <c r="AH27" s="448"/>
      <c r="AI27" s="464" t="str">
        <f ca="1">IFERROR(__xludf.DUMMYFUNCTION("""COMPUTED_VALUE"""),"Proceedings of the National Academy of Sciences")</f>
        <v>Proceedings of the National Academy of Sciences</v>
      </c>
      <c r="AJ27" t="str">
        <f ca="1">IFERROR(__xludf.DUMMYFUNCTION("""COMPUTED_VALUE"""),"Health &amp; Medical Sciences,
Life Sciences &amp; Earth Sciences")</f>
        <v>Health &amp; Medical Sciences,
Life Sciences &amp; Earth Sciences</v>
      </c>
      <c r="AK27" t="str">
        <f ca="1">IFERROR(__xludf.DUMMYFUNCTION("""COMPUTED_VALUE"""),"Single blind (Single blind peer review inferred: referee must disclose COI based on author relationship (knows identity) but typically referee identity is not disclosed)")</f>
        <v>Single blind (Single blind peer review inferred: referee must disclose COI based on author relationship (knows identity) but typically referee identity is not disclosed)</v>
      </c>
      <c r="AL27" s="448"/>
      <c r="AM27" t="str">
        <f ca="1">IFERROR(__xludf.DUMMYFUNCTION("""COMPUTED_VALUE"""),"The Astrophysical Journal")</f>
        <v>The Astrophysical Journal</v>
      </c>
      <c r="AN27" t="str">
        <f ca="1">IFERROR(__xludf.DUMMYFUNCTION("""COMPUTED_VALUE"""),"Physics &amp; Mathematics")</f>
        <v>Physics &amp; Mathematics</v>
      </c>
      <c r="AO27" t="str">
        <f ca="1">IFERROR(__xludf.DUMMYFUNCTION("""COMPUTED_VALUE"""),"Unsure")</f>
        <v>Unsure</v>
      </c>
      <c r="AP27" s="448"/>
      <c r="AQ27" t="str">
        <f ca="1">IFERROR(__xludf.DUMMYFUNCTION("""COMPUTED_VALUE"""),"Research Policy")</f>
        <v>Research Policy</v>
      </c>
      <c r="AR27" t="str">
        <f ca="1">IFERROR(__xludf.DUMMYFUNCTION("""COMPUTED_VALUE"""),"Social Sciences")</f>
        <v>Social Sciences</v>
      </c>
      <c r="AS27" t="str">
        <f ca="1">IFERROR(__xludf.DUMMYFUNCTION("""COMPUTED_VALUE"""),"Double blind")</f>
        <v>Double blind</v>
      </c>
    </row>
    <row r="28" spans="1:45" ht="15.75" customHeight="1">
      <c r="A28" s="462"/>
      <c r="B28" s="462"/>
      <c r="C28" t="str">
        <f ca="1">Filtered!I20</f>
        <v>Annals of Tourism Research</v>
      </c>
      <c r="D28" t="str">
        <f ca="1">Filtered!J20</f>
        <v>Social Sciences</v>
      </c>
      <c r="E28" t="str">
        <f ca="1">Filtered!L20</f>
        <v>Double blind</v>
      </c>
      <c r="F28" t="b">
        <f t="shared" ca="1" si="9"/>
        <v>0</v>
      </c>
      <c r="G28" t="b">
        <f t="shared" ca="1" si="10"/>
        <v>0</v>
      </c>
      <c r="H28" t="b">
        <f t="shared" ca="1" si="11"/>
        <v>0</v>
      </c>
      <c r="I28" t="b">
        <f t="shared" ca="1" si="12"/>
        <v>0</v>
      </c>
      <c r="J28" t="b">
        <f t="shared" ca="1" si="13"/>
        <v>0</v>
      </c>
      <c r="K28" t="b">
        <f t="shared" ca="1" si="14"/>
        <v>0</v>
      </c>
      <c r="L28" t="b">
        <f t="shared" ca="1" si="15"/>
        <v>0</v>
      </c>
      <c r="M28" t="b">
        <f t="shared" ca="1" si="16"/>
        <v>1</v>
      </c>
      <c r="N28" s="448"/>
      <c r="O28" s="464" t="str">
        <f ca="1">IFERROR(__xludf.DUMMYFUNCTION("""COMPUTED_VALUE"""),"Tourism Management")</f>
        <v>Tourism Management</v>
      </c>
      <c r="P28" t="str">
        <f ca="1">IFERROR(__xludf.DUMMYFUNCTION("""COMPUTED_VALUE"""),"Business, Economics &amp; Management")</f>
        <v>Business, Economics &amp; Management</v>
      </c>
      <c r="Q28" t="str">
        <f ca="1">IFERROR(__xludf.DUMMYFUNCTION("""COMPUTED_VALUE"""),"Double blind")</f>
        <v>Double blind</v>
      </c>
      <c r="R28" s="448"/>
      <c r="S28" s="464" t="str">
        <f ca="1">IFERROR(__xludf.DUMMYFUNCTION("""COMPUTED_VALUE"""),"Nature Nanotechnology")</f>
        <v>Nature Nanotechnology</v>
      </c>
      <c r="T28" t="str">
        <f ca="1">IFERROR(__xludf.DUMMYFUNCTION("""COMPUTED_VALUE"""),"Chemical &amp; Materials Sciences,
Engineering &amp; Computer Science")</f>
        <v>Chemical &amp; Materials Sciences,
Engineering &amp; Computer Science</v>
      </c>
      <c r="U28" t="str">
        <f ca="1">IFERROR(__xludf.DUMMYFUNCTION("""COMPUTED_VALUE"""),"Other (Single blind is standard but authors can choose Double blind, and reviewers can sign their names if they wish)")</f>
        <v>Other (Single blind is standard but authors can choose Double blind, and reviewers can sign their names if they wish)</v>
      </c>
      <c r="V28" s="448"/>
      <c r="W28" s="464" t="str">
        <f ca="1">IFERROR(__xludf.DUMMYFUNCTION("""COMPUTED_VALUE"""),"Neural Information Processing Systems (NIPS)")</f>
        <v>Neural Information Processing Systems (NIPS)</v>
      </c>
      <c r="X28" t="str">
        <f ca="1">IFERROR(__xludf.DUMMYFUNCTION("""COMPUTED_VALUE"""),"Engineering &amp; Computer Science")</f>
        <v>Engineering &amp; Computer Science</v>
      </c>
      <c r="Y28" t="str">
        <f ca="1">IFERROR(__xludf.DUMMYFUNCTION("""COMPUTED_VALUE"""),"Double blind")</f>
        <v>Double blind</v>
      </c>
      <c r="Z28" s="448"/>
      <c r="AA28" s="464" t="str">
        <f ca="1">IFERROR(__xludf.DUMMYFUNCTION("""COMPUTED_VALUE"""),"The Lancet Oncology")</f>
        <v>The Lancet Oncology</v>
      </c>
      <c r="AB28" t="str">
        <f ca="1">IFERROR(__xludf.DUMMYFUNCTION("""COMPUTED_VALUE"""),"Health &amp; Medical Sciences")</f>
        <v>Health &amp; Medical Sciences</v>
      </c>
      <c r="AC28" t="str">
        <f ca="1">IFERROR(__xludf.DUMMYFUNCTION("""COMPUTED_VALUE"""),"Unsure")</f>
        <v>Unsure</v>
      </c>
      <c r="AD28" s="448"/>
      <c r="AE28" s="464" t="str">
        <f ca="1">IFERROR(__xludf.DUMMYFUNCTION("""COMPUTED_VALUE"""),"The China Quarterly")</f>
        <v>The China Quarterly</v>
      </c>
      <c r="AF28" t="str">
        <f ca="1">IFERROR(__xludf.DUMMYFUNCTION("""COMPUTED_VALUE"""),"Humanities, Literature &amp; Arts")</f>
        <v>Humanities, Literature &amp; Arts</v>
      </c>
      <c r="AG28" t="str">
        <f ca="1">IFERROR(__xludf.DUMMYFUNCTION("""COMPUTED_VALUE"""),"Double blind ")</f>
        <v xml:space="preserve">Double blind </v>
      </c>
      <c r="AH28" s="448"/>
      <c r="AI28" s="464" t="str">
        <f ca="1">IFERROR(__xludf.DUMMYFUNCTION("""COMPUTED_VALUE"""),"Science")</f>
        <v>Science</v>
      </c>
      <c r="AJ28" t="str">
        <f ca="1">IFERROR(__xludf.DUMMYFUNCTION("""COMPUTED_VALUE"""),"Life Sciences &amp; Earth Sciences")</f>
        <v>Life Sciences &amp; Earth Sciences</v>
      </c>
      <c r="AK28" t="str">
        <f ca="1">IFERROR(__xludf.DUMMYFUNCTION("""COMPUTED_VALUE"""),"Unsure")</f>
        <v>Unsure</v>
      </c>
      <c r="AL28" s="448"/>
      <c r="AM28" t="str">
        <f ca="1">IFERROR(__xludf.DUMMYFUNCTION("""COMPUTED_VALUE"""),"The European Physical Journal C")</f>
        <v>The European Physical Journal C</v>
      </c>
      <c r="AN28" t="str">
        <f ca="1">IFERROR(__xludf.DUMMYFUNCTION("""COMPUTED_VALUE"""),"Physics &amp; Mathematics")</f>
        <v>Physics &amp; Mathematics</v>
      </c>
      <c r="AO28" t="str">
        <f ca="1">IFERROR(__xludf.DUMMYFUNCTION("""COMPUTED_VALUE"""),"Single blind")</f>
        <v>Single blind</v>
      </c>
      <c r="AP28" s="448"/>
      <c r="AQ28" t="str">
        <f ca="1">IFERROR(__xludf.DUMMYFUNCTION("""COMPUTED_VALUE"""),"Social Science &amp; Medicine")</f>
        <v>Social Science &amp; Medicine</v>
      </c>
      <c r="AR28" t="str">
        <f ca="1">IFERROR(__xludf.DUMMYFUNCTION("""COMPUTED_VALUE"""),"Social Sciences")</f>
        <v>Social Sciences</v>
      </c>
      <c r="AS28" t="str">
        <f ca="1">IFERROR(__xludf.DUMMYFUNCTION("""COMPUTED_VALUE"""),"Double blind")</f>
        <v>Double blind</v>
      </c>
    </row>
    <row r="29" spans="1:45" ht="15.75" customHeight="1">
      <c r="A29" s="462"/>
      <c r="B29" s="462"/>
      <c r="C29" t="str">
        <f ca="1">Filtered!I21</f>
        <v>Applied Energy</v>
      </c>
      <c r="D29" t="str">
        <f ca="1">Filtered!J21</f>
        <v/>
      </c>
      <c r="E29" t="str">
        <f ca="1">Filtered!L21</f>
        <v>Single blind</v>
      </c>
      <c r="F29" t="b">
        <f t="shared" ca="1" si="9"/>
        <v>0</v>
      </c>
      <c r="G29" t="b">
        <f t="shared" ca="1" si="10"/>
        <v>0</v>
      </c>
      <c r="H29" t="b">
        <f t="shared" ca="1" si="11"/>
        <v>0</v>
      </c>
      <c r="I29" t="b">
        <f t="shared" ca="1" si="12"/>
        <v>0</v>
      </c>
      <c r="J29" t="b">
        <f t="shared" ca="1" si="13"/>
        <v>0</v>
      </c>
      <c r="K29" t="b">
        <f t="shared" ca="1" si="14"/>
        <v>0</v>
      </c>
      <c r="L29" t="b">
        <f t="shared" ca="1" si="15"/>
        <v>0</v>
      </c>
      <c r="M29" t="b">
        <f t="shared" ca="1" si="16"/>
        <v>0</v>
      </c>
      <c r="N29" s="448"/>
      <c r="O29" s="464" t="str">
        <f ca="1">IFERROR(__xludf.DUMMYFUNCTION("""COMPUTED_VALUE"""),"World Development")</f>
        <v>World Development</v>
      </c>
      <c r="P29" t="str">
        <f ca="1">IFERROR(__xludf.DUMMYFUNCTION("""COMPUTED_VALUE"""),"Business, Economics &amp; Management")</f>
        <v>Business, Economics &amp; Management</v>
      </c>
      <c r="Q29" t="str">
        <f ca="1">IFERROR(__xludf.DUMMYFUNCTION("""COMPUTED_VALUE"""),"Double blind")</f>
        <v>Double blind</v>
      </c>
      <c r="R29" s="448"/>
      <c r="S29" s="464" t="str">
        <f ca="1">IFERROR(__xludf.DUMMYFUNCTION("""COMPUTED_VALUE"""),"The Journal of Physical Chemistry Letters")</f>
        <v>The Journal of Physical Chemistry Letters</v>
      </c>
      <c r="T29" t="str">
        <f ca="1">IFERROR(__xludf.DUMMYFUNCTION("""COMPUTED_VALUE"""),"Physics &amp; Mathematics, Chemical &amp; Materials Sciences")</f>
        <v>Physics &amp; Mathematics, Chemical &amp; Materials Sciences</v>
      </c>
      <c r="U29" t="str">
        <f ca="1">IFERROR(__xludf.DUMMYFUNCTION("""COMPUTED_VALUE"""),"Single blind")</f>
        <v>Single blind</v>
      </c>
      <c r="V29" s="448"/>
      <c r="W29" s="464" t="str">
        <f ca="1">IFERROR(__xludf.DUMMYFUNCTION("""COMPUTED_VALUE"""),"Renewable and Sustainable Energy Reviews")</f>
        <v>Renewable and Sustainable Energy Reviews</v>
      </c>
      <c r="X29" t="str">
        <f ca="1">IFERROR(__xludf.DUMMYFUNCTION("""COMPUTED_VALUE"""),"Engineering &amp; Computer Science")</f>
        <v>Engineering &amp; Computer Science</v>
      </c>
      <c r="Y29" t="str">
        <f ca="1">IFERROR(__xludf.DUMMYFUNCTION("""COMPUTED_VALUE"""),"Single blind")</f>
        <v>Single blind</v>
      </c>
      <c r="Z29" s="448"/>
      <c r="AA29" s="464" t="str">
        <f ca="1">IFERROR(__xludf.DUMMYFUNCTION("""COMPUTED_VALUE"""),"The New England Journal of Medicine")</f>
        <v>The New England Journal of Medicine</v>
      </c>
      <c r="AB29" t="str">
        <f ca="1">IFERROR(__xludf.DUMMYFUNCTION("""COMPUTED_VALUE"""),"Health &amp; Medical Sciences")</f>
        <v>Health &amp; Medical Sciences</v>
      </c>
      <c r="AC29" t="str">
        <f ca="1">IFERROR(__xludf.DUMMYFUNCTION("""COMPUTED_VALUE"""),"Single blind (inferred; reviewers see author identity to know COI)")</f>
        <v>Single blind (inferred; reviewers see author identity to know COI)</v>
      </c>
      <c r="AD29" s="448"/>
      <c r="AE29" s="464" t="str">
        <f ca="1">IFERROR(__xludf.DUMMYFUNCTION("""COMPUTED_VALUE"""),"The Modern Language Journal")</f>
        <v>The Modern Language Journal</v>
      </c>
      <c r="AF29" t="str">
        <f ca="1">IFERROR(__xludf.DUMMYFUNCTION("""COMPUTED_VALUE"""),"Humanities, Literature &amp; Arts")</f>
        <v>Humanities, Literature &amp; Arts</v>
      </c>
      <c r="AG29" t="str">
        <f ca="1">IFERROR(__xludf.DUMMYFUNCTION("""COMPUTED_VALUE"""),"Double blind")</f>
        <v>Double blind</v>
      </c>
      <c r="AH29" s="448"/>
      <c r="AI29" s="464" t="str">
        <f ca="1">IFERROR(__xludf.DUMMYFUNCTION("""COMPUTED_VALUE"""),"Scientific Reports")</f>
        <v>Scientific Reports</v>
      </c>
      <c r="AJ29" t="str">
        <f ca="1">IFERROR(__xludf.DUMMYFUNCTION("""COMPUTED_VALUE"""),"Life Sciences &amp; Earth Sciences")</f>
        <v>Life Sciences &amp; Earth Sciences</v>
      </c>
      <c r="AK29" t="str">
        <f ca="1">IFERROR(__xludf.DUMMYFUNCTION("""COMPUTED_VALUE"""),"Single blind")</f>
        <v>Single blind</v>
      </c>
      <c r="AL29" s="448"/>
      <c r="AM29" t="str">
        <f ca="1">IFERROR(__xludf.DUMMYFUNCTION("""COMPUTED_VALUE"""),"The Journal of Physical Chemistry Letters")</f>
        <v>The Journal of Physical Chemistry Letters</v>
      </c>
      <c r="AN29" t="str">
        <f ca="1">IFERROR(__xludf.DUMMYFUNCTION("""COMPUTED_VALUE"""),"Physics &amp; Mathematics, Chemical &amp; Materials Sciences")</f>
        <v>Physics &amp; Mathematics, Chemical &amp; Materials Sciences</v>
      </c>
      <c r="AO29" t="str">
        <f ca="1">IFERROR(__xludf.DUMMYFUNCTION("""COMPUTED_VALUE"""),"Single blind")</f>
        <v>Single blind</v>
      </c>
      <c r="AP29" s="448"/>
      <c r="AQ29" t="str">
        <f ca="1">IFERROR(__xludf.DUMMYFUNCTION("""COMPUTED_VALUE"""),"Teaching and Teacher Education")</f>
        <v>Teaching and Teacher Education</v>
      </c>
      <c r="AR29" t="str">
        <f ca="1">IFERROR(__xludf.DUMMYFUNCTION("""COMPUTED_VALUE"""),"Social Sciences")</f>
        <v>Social Sciences</v>
      </c>
      <c r="AS29" t="str">
        <f ca="1">IFERROR(__xludf.DUMMYFUNCTION("""COMPUTED_VALUE"""),"Double blind")</f>
        <v>Double blind</v>
      </c>
    </row>
    <row r="30" spans="1:45" ht="13">
      <c r="A30" s="462"/>
      <c r="B30" s="462"/>
      <c r="C30" t="str">
        <f ca="1">Filtered!I22</f>
        <v>Applied Linguistics</v>
      </c>
      <c r="D30" t="str">
        <f ca="1">Filtered!J22</f>
        <v>Humanities, Literature &amp; Arts</v>
      </c>
      <c r="E30" t="str">
        <f ca="1">Filtered!L22</f>
        <v>Double blind</v>
      </c>
      <c r="F30" t="b">
        <f t="shared" ca="1" si="9"/>
        <v>0</v>
      </c>
      <c r="G30" t="b">
        <f t="shared" ca="1" si="10"/>
        <v>0</v>
      </c>
      <c r="H30" t="b">
        <f t="shared" ca="1" si="11"/>
        <v>0</v>
      </c>
      <c r="I30" t="b">
        <f t="shared" ca="1" si="12"/>
        <v>0</v>
      </c>
      <c r="J30" t="b">
        <f t="shared" ca="1" si="13"/>
        <v>1</v>
      </c>
      <c r="K30" t="b">
        <f t="shared" ca="1" si="14"/>
        <v>0</v>
      </c>
      <c r="L30" t="b">
        <f t="shared" ca="1" si="15"/>
        <v>0</v>
      </c>
      <c r="M30" t="b">
        <f t="shared" ca="1" si="16"/>
        <v>0</v>
      </c>
      <c r="N30" s="448"/>
      <c r="O30" s="464"/>
      <c r="R30" s="448"/>
      <c r="S30" s="464"/>
      <c r="V30" s="448"/>
      <c r="W30" s="464"/>
      <c r="Z30" s="448"/>
      <c r="AA30" s="464"/>
      <c r="AD30" s="448"/>
      <c r="AE30" s="464"/>
      <c r="AH30" s="448"/>
      <c r="AI30" s="464"/>
      <c r="AL30" s="448"/>
      <c r="AP30" s="448"/>
    </row>
    <row r="31" spans="1:45" ht="13">
      <c r="A31" s="462"/>
      <c r="B31" s="462"/>
      <c r="C31" t="str">
        <f ca="1">Filtered!I23</f>
        <v>Applied Physics Letters</v>
      </c>
      <c r="D31" t="str">
        <f ca="1">Filtered!J23</f>
        <v/>
      </c>
      <c r="E31" t="str">
        <f ca="1">Filtered!L23</f>
        <v>Unsure</v>
      </c>
      <c r="F31" t="b">
        <f t="shared" ca="1" si="9"/>
        <v>0</v>
      </c>
      <c r="G31" t="b">
        <f t="shared" ca="1" si="10"/>
        <v>0</v>
      </c>
      <c r="H31" t="b">
        <f t="shared" ca="1" si="11"/>
        <v>0</v>
      </c>
      <c r="I31" t="b">
        <f t="shared" ca="1" si="12"/>
        <v>0</v>
      </c>
      <c r="J31" t="b">
        <f t="shared" ca="1" si="13"/>
        <v>0</v>
      </c>
      <c r="K31" t="b">
        <f t="shared" ca="1" si="14"/>
        <v>0</v>
      </c>
      <c r="L31" t="b">
        <f t="shared" ca="1" si="15"/>
        <v>0</v>
      </c>
      <c r="M31" t="b">
        <f t="shared" ca="1" si="16"/>
        <v>0</v>
      </c>
      <c r="N31" s="448"/>
      <c r="O31" s="464"/>
      <c r="R31" s="448"/>
      <c r="S31" s="464"/>
      <c r="V31" s="448"/>
      <c r="W31" s="464"/>
      <c r="Z31" s="448"/>
      <c r="AA31" s="464"/>
      <c r="AD31" s="448"/>
      <c r="AE31" s="464"/>
      <c r="AH31" s="448"/>
      <c r="AI31" s="464"/>
      <c r="AL31" s="448"/>
      <c r="AP31" s="448"/>
    </row>
    <row r="32" spans="1:45" ht="13">
      <c r="A32" s="462"/>
      <c r="B32" s="462"/>
      <c r="C32" t="str">
        <f ca="1">Filtered!I24</f>
        <v>Astronomy &amp; Astrophysics</v>
      </c>
      <c r="D32" t="str">
        <f ca="1">Filtered!J24</f>
        <v>Physics &amp; Mathematics</v>
      </c>
      <c r="E32" t="str">
        <f ca="1">Filtered!L24</f>
        <v>Unsure</v>
      </c>
      <c r="F32" t="b">
        <f t="shared" ca="1" si="9"/>
        <v>0</v>
      </c>
      <c r="G32" t="b">
        <f t="shared" ca="1" si="10"/>
        <v>0</v>
      </c>
      <c r="H32" t="b">
        <f t="shared" ca="1" si="11"/>
        <v>0</v>
      </c>
      <c r="I32" t="b">
        <f t="shared" ca="1" si="12"/>
        <v>0</v>
      </c>
      <c r="J32" t="b">
        <f t="shared" ca="1" si="13"/>
        <v>0</v>
      </c>
      <c r="K32" t="b">
        <f t="shared" ca="1" si="14"/>
        <v>0</v>
      </c>
      <c r="L32" t="b">
        <f t="shared" ca="1" si="15"/>
        <v>1</v>
      </c>
      <c r="M32" t="b">
        <f t="shared" ca="1" si="16"/>
        <v>0</v>
      </c>
      <c r="N32" s="448"/>
      <c r="O32" s="464"/>
      <c r="R32" s="448"/>
      <c r="S32" s="464"/>
      <c r="V32" s="448"/>
      <c r="W32" s="464"/>
      <c r="Z32" s="448"/>
      <c r="AA32" s="464"/>
      <c r="AD32" s="448"/>
      <c r="AE32" s="464"/>
      <c r="AH32" s="448"/>
      <c r="AI32" s="464"/>
      <c r="AL32" s="448"/>
      <c r="AP32" s="448"/>
    </row>
    <row r="33" spans="1:42" ht="13">
      <c r="A33" s="462"/>
      <c r="B33" s="462"/>
      <c r="C33" t="str">
        <f ca="1">Filtered!I25</f>
        <v>Biomaterials</v>
      </c>
      <c r="D33" t="str">
        <f ca="1">Filtered!J25</f>
        <v/>
      </c>
      <c r="E33" t="str">
        <f ca="1">Filtered!L25</f>
        <v>Single blind</v>
      </c>
      <c r="F33" t="b">
        <f t="shared" ca="1" si="9"/>
        <v>0</v>
      </c>
      <c r="G33" t="b">
        <f t="shared" ca="1" si="10"/>
        <v>0</v>
      </c>
      <c r="H33" t="b">
        <f t="shared" ca="1" si="11"/>
        <v>0</v>
      </c>
      <c r="I33" t="b">
        <f t="shared" ca="1" si="12"/>
        <v>0</v>
      </c>
      <c r="J33" t="b">
        <f t="shared" ca="1" si="13"/>
        <v>0</v>
      </c>
      <c r="K33" t="b">
        <f t="shared" ca="1" si="14"/>
        <v>0</v>
      </c>
      <c r="L33" t="b">
        <f t="shared" ca="1" si="15"/>
        <v>0</v>
      </c>
      <c r="M33" t="b">
        <f t="shared" ca="1" si="16"/>
        <v>0</v>
      </c>
      <c r="N33" s="448"/>
      <c r="O33" s="464"/>
      <c r="R33" s="448"/>
      <c r="S33" s="464"/>
      <c r="V33" s="448"/>
      <c r="W33" s="464"/>
      <c r="Z33" s="448"/>
      <c r="AA33" s="464"/>
      <c r="AD33" s="448"/>
      <c r="AE33" s="464"/>
      <c r="AH33" s="448"/>
      <c r="AI33" s="464"/>
      <c r="AL33" s="448"/>
      <c r="AP33" s="448"/>
    </row>
    <row r="34" spans="1:42" ht="13">
      <c r="A34" s="462"/>
      <c r="B34" s="462"/>
      <c r="C34" t="str">
        <f ca="1">Filtered!I26</f>
        <v>Blood</v>
      </c>
      <c r="D34" t="str">
        <f ca="1">Filtered!J26</f>
        <v>Health &amp; Medical Sciences</v>
      </c>
      <c r="E34" t="str">
        <f ca="1">Filtered!L26</f>
        <v>Single blind</v>
      </c>
      <c r="F34" t="b">
        <f t="shared" ca="1" si="9"/>
        <v>0</v>
      </c>
      <c r="G34" t="b">
        <f t="shared" ca="1" si="10"/>
        <v>0</v>
      </c>
      <c r="H34" t="b">
        <f t="shared" ca="1" si="11"/>
        <v>0</v>
      </c>
      <c r="I34" t="b">
        <f t="shared" ca="1" si="12"/>
        <v>1</v>
      </c>
      <c r="J34" t="b">
        <f t="shared" ca="1" si="13"/>
        <v>0</v>
      </c>
      <c r="K34" t="b">
        <f t="shared" ca="1" si="14"/>
        <v>0</v>
      </c>
      <c r="L34" t="b">
        <f t="shared" ca="1" si="15"/>
        <v>0</v>
      </c>
      <c r="M34" t="b">
        <f t="shared" ca="1" si="16"/>
        <v>0</v>
      </c>
      <c r="N34" s="448"/>
      <c r="O34" s="464"/>
      <c r="R34" s="448"/>
      <c r="S34" s="464"/>
      <c r="V34" s="448"/>
      <c r="W34" s="464"/>
      <c r="Z34" s="448"/>
      <c r="AA34" s="464"/>
      <c r="AD34" s="448"/>
      <c r="AE34" s="464"/>
      <c r="AH34" s="448"/>
      <c r="AI34" s="464"/>
      <c r="AL34" s="448"/>
      <c r="AP34" s="448"/>
    </row>
    <row r="35" spans="1:42" ht="13">
      <c r="A35" s="462"/>
      <c r="B35" s="462"/>
      <c r="C35" t="str">
        <f ca="1">Filtered!I27</f>
        <v>BMJ</v>
      </c>
      <c r="D35" t="str">
        <f ca="1">Filtered!J27</f>
        <v>Health &amp; Medical Sciences</v>
      </c>
      <c r="E35" t="str">
        <f ca="1">Filtered!L27</f>
        <v>Not blinded</v>
      </c>
      <c r="F35" t="b">
        <f t="shared" ca="1" si="9"/>
        <v>0</v>
      </c>
      <c r="G35" t="b">
        <f t="shared" ca="1" si="10"/>
        <v>0</v>
      </c>
      <c r="H35" t="b">
        <f t="shared" ca="1" si="11"/>
        <v>0</v>
      </c>
      <c r="I35" t="b">
        <f t="shared" ca="1" si="12"/>
        <v>1</v>
      </c>
      <c r="J35" t="b">
        <f t="shared" ca="1" si="13"/>
        <v>0</v>
      </c>
      <c r="K35" t="b">
        <f t="shared" ca="1" si="14"/>
        <v>0</v>
      </c>
      <c r="L35" t="b">
        <f t="shared" ca="1" si="15"/>
        <v>0</v>
      </c>
      <c r="M35" t="b">
        <f t="shared" ca="1" si="16"/>
        <v>0</v>
      </c>
      <c r="N35" s="448"/>
      <c r="O35" s="464"/>
      <c r="R35" s="448"/>
      <c r="S35" s="464"/>
      <c r="V35" s="448"/>
      <c r="W35" s="464"/>
      <c r="Z35" s="448"/>
      <c r="AA35" s="464"/>
      <c r="AD35" s="448"/>
      <c r="AE35" s="464"/>
      <c r="AH35" s="448"/>
      <c r="AI35" s="464"/>
      <c r="AL35" s="448"/>
      <c r="AP35" s="448"/>
    </row>
    <row r="36" spans="1:42" ht="13">
      <c r="A36" s="462"/>
      <c r="B36" s="462"/>
      <c r="C36" t="str">
        <f ca="1">Filtered!I28</f>
        <v>Cancer Cell</v>
      </c>
      <c r="D36" t="str">
        <f ca="1">Filtered!J28</f>
        <v/>
      </c>
      <c r="E36" t="str">
        <f ca="1">Filtered!L28</f>
        <v>Single blind</v>
      </c>
      <c r="F36" t="b">
        <f t="shared" ca="1" si="9"/>
        <v>0</v>
      </c>
      <c r="G36" t="b">
        <f t="shared" ca="1" si="10"/>
        <v>0</v>
      </c>
      <c r="H36" t="b">
        <f t="shared" ca="1" si="11"/>
        <v>0</v>
      </c>
      <c r="I36" t="b">
        <f t="shared" ca="1" si="12"/>
        <v>0</v>
      </c>
      <c r="J36" t="b">
        <f t="shared" ca="1" si="13"/>
        <v>0</v>
      </c>
      <c r="K36" t="b">
        <f t="shared" ca="1" si="14"/>
        <v>0</v>
      </c>
      <c r="L36" t="b">
        <f t="shared" ca="1" si="15"/>
        <v>0</v>
      </c>
      <c r="M36" t="b">
        <f t="shared" ca="1" si="16"/>
        <v>0</v>
      </c>
      <c r="N36" s="448"/>
      <c r="O36" s="464"/>
      <c r="R36" s="448"/>
      <c r="S36" s="464"/>
      <c r="V36" s="448"/>
      <c r="W36" s="464"/>
      <c r="Z36" s="448"/>
      <c r="AA36" s="464"/>
      <c r="AD36" s="448"/>
      <c r="AE36" s="464"/>
      <c r="AH36" s="448"/>
      <c r="AI36" s="464"/>
      <c r="AL36" s="448"/>
      <c r="AP36" s="448"/>
    </row>
    <row r="37" spans="1:42" ht="13">
      <c r="A37" s="462"/>
      <c r="B37" s="462"/>
      <c r="C37" t="str">
        <f ca="1">Filtered!I29</f>
        <v>Cancer Research</v>
      </c>
      <c r="D37" t="str">
        <f ca="1">Filtered!J29</f>
        <v/>
      </c>
      <c r="E37" t="str">
        <f ca="1">Filtered!L29</f>
        <v>Unsure</v>
      </c>
      <c r="F37" t="b">
        <f t="shared" ca="1" si="9"/>
        <v>0</v>
      </c>
      <c r="G37" t="b">
        <f t="shared" ca="1" si="10"/>
        <v>0</v>
      </c>
      <c r="H37" t="b">
        <f t="shared" ca="1" si="11"/>
        <v>0</v>
      </c>
      <c r="I37" t="b">
        <f t="shared" ca="1" si="12"/>
        <v>0</v>
      </c>
      <c r="J37" t="b">
        <f t="shared" ca="1" si="13"/>
        <v>0</v>
      </c>
      <c r="K37" t="b">
        <f t="shared" ca="1" si="14"/>
        <v>0</v>
      </c>
      <c r="L37" t="b">
        <f t="shared" ca="1" si="15"/>
        <v>0</v>
      </c>
      <c r="M37" t="b">
        <f t="shared" ca="1" si="16"/>
        <v>0</v>
      </c>
      <c r="N37" s="448"/>
      <c r="O37" s="464"/>
      <c r="R37" s="448"/>
      <c r="S37" s="464"/>
      <c r="V37" s="448"/>
      <c r="W37" s="464"/>
      <c r="Z37" s="448"/>
      <c r="AA37" s="464"/>
      <c r="AD37" s="448"/>
      <c r="AE37" s="464"/>
      <c r="AH37" s="448"/>
      <c r="AI37" s="464"/>
      <c r="AL37" s="448"/>
      <c r="AP37" s="448"/>
    </row>
    <row r="38" spans="1:42" ht="13">
      <c r="A38" s="462"/>
      <c r="B38" s="462"/>
      <c r="C38" t="str">
        <f ca="1">Filtered!I30</f>
        <v>Cell</v>
      </c>
      <c r="D38" t="str">
        <f ca="1">Filtered!J30</f>
        <v>Health &amp; Medical Sciences, Life Sciences &amp; Earth Sciences</v>
      </c>
      <c r="E38" t="str">
        <f ca="1">Filtered!L30</f>
        <v>Single blind</v>
      </c>
      <c r="F38" t="b">
        <f t="shared" ca="1" si="9"/>
        <v>0</v>
      </c>
      <c r="G38" t="b">
        <f t="shared" ca="1" si="10"/>
        <v>0</v>
      </c>
      <c r="H38" t="b">
        <f t="shared" ca="1" si="11"/>
        <v>0</v>
      </c>
      <c r="I38" t="b">
        <f t="shared" ca="1" si="12"/>
        <v>1</v>
      </c>
      <c r="J38" t="b">
        <f t="shared" ca="1" si="13"/>
        <v>0</v>
      </c>
      <c r="K38" t="b">
        <f t="shared" ca="1" si="14"/>
        <v>1</v>
      </c>
      <c r="L38" t="b">
        <f t="shared" ca="1" si="15"/>
        <v>0</v>
      </c>
      <c r="M38" t="b">
        <f t="shared" ca="1" si="16"/>
        <v>0</v>
      </c>
      <c r="N38" s="448"/>
      <c r="O38" s="464"/>
      <c r="R38" s="448"/>
      <c r="S38" s="464"/>
      <c r="V38" s="448"/>
      <c r="W38" s="464"/>
      <c r="Z38" s="448"/>
      <c r="AA38" s="464"/>
      <c r="AD38" s="448"/>
      <c r="AE38" s="464"/>
      <c r="AH38" s="448"/>
      <c r="AI38" s="464"/>
      <c r="AL38" s="448"/>
      <c r="AP38" s="448"/>
    </row>
    <row r="39" spans="1:42" ht="13">
      <c r="A39" s="462"/>
      <c r="B39" s="462"/>
      <c r="C39" t="str">
        <f ca="1">Filtered!I31</f>
        <v>Cell Metabolism</v>
      </c>
      <c r="D39" t="str">
        <f ca="1">Filtered!J31</f>
        <v>Life Sciences &amp; Earth Sciences</v>
      </c>
      <c r="E39" t="str">
        <f ca="1">Filtered!L31</f>
        <v>Single blind</v>
      </c>
      <c r="F39" t="b">
        <f t="shared" ca="1" si="9"/>
        <v>0</v>
      </c>
      <c r="G39" t="b">
        <f t="shared" ca="1" si="10"/>
        <v>0</v>
      </c>
      <c r="H39" t="b">
        <f t="shared" ca="1" si="11"/>
        <v>0</v>
      </c>
      <c r="I39" t="b">
        <f t="shared" ca="1" si="12"/>
        <v>0</v>
      </c>
      <c r="J39" t="b">
        <f t="shared" ca="1" si="13"/>
        <v>0</v>
      </c>
      <c r="K39" t="b">
        <f t="shared" ca="1" si="14"/>
        <v>1</v>
      </c>
      <c r="L39" t="b">
        <f t="shared" ca="1" si="15"/>
        <v>0</v>
      </c>
      <c r="M39" t="b">
        <f t="shared" ca="1" si="16"/>
        <v>0</v>
      </c>
      <c r="N39" s="448"/>
      <c r="O39" s="464"/>
      <c r="R39" s="448"/>
      <c r="S39" s="464"/>
      <c r="V39" s="448"/>
      <c r="W39" s="464"/>
      <c r="Z39" s="448"/>
      <c r="AA39" s="464"/>
      <c r="AD39" s="448"/>
      <c r="AE39" s="464"/>
      <c r="AH39" s="448"/>
      <c r="AI39" s="464"/>
      <c r="AL39" s="448"/>
      <c r="AP39" s="448"/>
    </row>
    <row r="40" spans="1:42" ht="13">
      <c r="A40" s="462"/>
      <c r="B40" s="462"/>
      <c r="C40" t="str">
        <f ca="1">Filtered!I32</f>
        <v>Cell Stem Cell</v>
      </c>
      <c r="D40" t="str">
        <f ca="1">Filtered!J32</f>
        <v>Life Sciences &amp; Earth Sciences</v>
      </c>
      <c r="E40" t="str">
        <f ca="1">Filtered!L32</f>
        <v>Single blind</v>
      </c>
      <c r="F40" t="b">
        <f t="shared" ca="1" si="9"/>
        <v>0</v>
      </c>
      <c r="G40" t="b">
        <f t="shared" ca="1" si="10"/>
        <v>0</v>
      </c>
      <c r="H40" t="b">
        <f t="shared" ca="1" si="11"/>
        <v>0</v>
      </c>
      <c r="I40" t="b">
        <f t="shared" ca="1" si="12"/>
        <v>0</v>
      </c>
      <c r="J40" t="b">
        <f t="shared" ca="1" si="13"/>
        <v>0</v>
      </c>
      <c r="K40" t="b">
        <f t="shared" ca="1" si="14"/>
        <v>1</v>
      </c>
      <c r="L40" t="b">
        <f t="shared" ca="1" si="15"/>
        <v>0</v>
      </c>
      <c r="M40" t="b">
        <f t="shared" ca="1" si="16"/>
        <v>0</v>
      </c>
      <c r="N40" s="448"/>
      <c r="O40" s="464"/>
      <c r="R40" s="448"/>
      <c r="S40" s="464"/>
      <c r="V40" s="448"/>
      <c r="W40" s="464"/>
      <c r="Z40" s="448"/>
      <c r="AA40" s="464"/>
      <c r="AD40" s="448"/>
      <c r="AE40" s="464"/>
      <c r="AH40" s="448"/>
      <c r="AI40" s="464"/>
      <c r="AL40" s="448"/>
      <c r="AP40" s="448"/>
    </row>
    <row r="41" spans="1:42" ht="13">
      <c r="A41" s="462"/>
      <c r="B41" s="462"/>
      <c r="C41" t="str">
        <f ca="1">Filtered!I33</f>
        <v>Chemical communications (Cambridge, England)</v>
      </c>
      <c r="D41" t="str">
        <f ca="1">Filtered!J33</f>
        <v>Chemical &amp; Materials Sciences</v>
      </c>
      <c r="E41" t="str">
        <f ca="1">Filtered!L33</f>
        <v>Single blind, Double blind (optional)</v>
      </c>
      <c r="F41" t="b">
        <f t="shared" ca="1" si="9"/>
        <v>0</v>
      </c>
      <c r="G41" t="b">
        <f t="shared" ca="1" si="10"/>
        <v>1</v>
      </c>
      <c r="H41" t="b">
        <f t="shared" ca="1" si="11"/>
        <v>0</v>
      </c>
      <c r="I41" t="b">
        <f t="shared" ca="1" si="12"/>
        <v>0</v>
      </c>
      <c r="J41" t="b">
        <f t="shared" ca="1" si="13"/>
        <v>0</v>
      </c>
      <c r="K41" t="b">
        <f t="shared" ca="1" si="14"/>
        <v>0</v>
      </c>
      <c r="L41" t="b">
        <f t="shared" ca="1" si="15"/>
        <v>0</v>
      </c>
      <c r="M41" t="b">
        <f t="shared" ca="1" si="16"/>
        <v>0</v>
      </c>
      <c r="N41" s="448"/>
      <c r="O41" s="464"/>
      <c r="R41" s="448"/>
      <c r="S41" s="464"/>
      <c r="V41" s="448"/>
      <c r="W41" s="464"/>
      <c r="Z41" s="448"/>
      <c r="AA41" s="464"/>
      <c r="AD41" s="448"/>
      <c r="AE41" s="464"/>
      <c r="AH41" s="448"/>
      <c r="AI41" s="464"/>
      <c r="AL41" s="448"/>
      <c r="AP41" s="448"/>
    </row>
    <row r="42" spans="1:42" ht="13">
      <c r="A42" s="462"/>
      <c r="B42" s="462"/>
      <c r="C42" t="str">
        <f ca="1">Filtered!I34</f>
        <v>Chemical Reviews</v>
      </c>
      <c r="D42" t="str">
        <f ca="1">Filtered!J34</f>
        <v>Chemical &amp; Materials Sciences</v>
      </c>
      <c r="E42" t="str">
        <f ca="1">Filtered!L34</f>
        <v>Unsure</v>
      </c>
      <c r="F42" t="b">
        <f t="shared" ca="1" si="9"/>
        <v>0</v>
      </c>
      <c r="G42" t="b">
        <f t="shared" ca="1" si="10"/>
        <v>1</v>
      </c>
      <c r="H42" t="b">
        <f t="shared" ca="1" si="11"/>
        <v>0</v>
      </c>
      <c r="I42" t="b">
        <f t="shared" ca="1" si="12"/>
        <v>0</v>
      </c>
      <c r="J42" t="b">
        <f t="shared" ca="1" si="13"/>
        <v>0</v>
      </c>
      <c r="K42" t="b">
        <f t="shared" ca="1" si="14"/>
        <v>0</v>
      </c>
      <c r="L42" t="b">
        <f t="shared" ca="1" si="15"/>
        <v>0</v>
      </c>
      <c r="M42" t="b">
        <f t="shared" ca="1" si="16"/>
        <v>0</v>
      </c>
      <c r="N42" s="448"/>
      <c r="O42" s="464"/>
      <c r="R42" s="448"/>
      <c r="S42" s="464"/>
      <c r="V42" s="448"/>
      <c r="W42" s="464"/>
      <c r="Z42" s="448"/>
      <c r="AA42" s="464"/>
      <c r="AD42" s="448"/>
      <c r="AE42" s="464"/>
      <c r="AH42" s="448"/>
      <c r="AI42" s="464"/>
      <c r="AL42" s="448"/>
      <c r="AP42" s="448"/>
    </row>
    <row r="43" spans="1:42" ht="13">
      <c r="A43" s="462"/>
      <c r="B43" s="462"/>
      <c r="C43" t="str">
        <f ca="1">Filtered!I35</f>
        <v>Chemical Society reviews</v>
      </c>
      <c r="D43" t="str">
        <f ca="1">Filtered!J35</f>
        <v>Chemical &amp; Materials Sciences</v>
      </c>
      <c r="E43" t="str">
        <f ca="1">Filtered!L35</f>
        <v>Unsure</v>
      </c>
      <c r="F43" t="b">
        <f t="shared" ca="1" si="9"/>
        <v>0</v>
      </c>
      <c r="G43" t="b">
        <f t="shared" ca="1" si="10"/>
        <v>1</v>
      </c>
      <c r="H43" t="b">
        <f t="shared" ca="1" si="11"/>
        <v>0</v>
      </c>
      <c r="I43" t="b">
        <f t="shared" ca="1" si="12"/>
        <v>0</v>
      </c>
      <c r="J43" t="b">
        <f t="shared" ca="1" si="13"/>
        <v>0</v>
      </c>
      <c r="K43" t="b">
        <f t="shared" ca="1" si="14"/>
        <v>0</v>
      </c>
      <c r="L43" t="b">
        <f t="shared" ca="1" si="15"/>
        <v>0</v>
      </c>
      <c r="M43" t="b">
        <f t="shared" ca="1" si="16"/>
        <v>0</v>
      </c>
      <c r="N43" s="448"/>
      <c r="O43" s="464"/>
      <c r="R43" s="448"/>
      <c r="S43" s="464"/>
      <c r="V43" s="448"/>
      <c r="W43" s="464"/>
      <c r="Z43" s="448"/>
      <c r="AA43" s="464"/>
      <c r="AD43" s="448"/>
      <c r="AE43" s="464"/>
      <c r="AH43" s="448"/>
      <c r="AI43" s="464"/>
      <c r="AL43" s="448"/>
      <c r="AP43" s="448"/>
    </row>
    <row r="44" spans="1:42" ht="13">
      <c r="A44" s="462"/>
      <c r="B44" s="462"/>
      <c r="C44" t="str">
        <f ca="1">Filtered!I36</f>
        <v>Chemistry of Materials</v>
      </c>
      <c r="D44" t="str">
        <f ca="1">Filtered!J36</f>
        <v>Chemical &amp; Materials Sciences,
Engineering &amp; Computer Science</v>
      </c>
      <c r="E44" t="str">
        <f ca="1">Filtered!L36</f>
        <v>Unsure</v>
      </c>
      <c r="F44" t="b">
        <f t="shared" ca="1" si="9"/>
        <v>0</v>
      </c>
      <c r="G44" t="b">
        <f t="shared" ca="1" si="10"/>
        <v>1</v>
      </c>
      <c r="H44" t="b">
        <f t="shared" ca="1" si="11"/>
        <v>1</v>
      </c>
      <c r="I44" t="b">
        <f t="shared" ca="1" si="12"/>
        <v>0</v>
      </c>
      <c r="J44" t="b">
        <f t="shared" ca="1" si="13"/>
        <v>0</v>
      </c>
      <c r="K44" t="b">
        <f t="shared" ca="1" si="14"/>
        <v>0</v>
      </c>
      <c r="L44" t="b">
        <f t="shared" ca="1" si="15"/>
        <v>0</v>
      </c>
      <c r="M44" t="b">
        <f t="shared" ca="1" si="16"/>
        <v>0</v>
      </c>
      <c r="N44" s="448"/>
      <c r="O44" s="464"/>
      <c r="R44" s="448"/>
      <c r="S44" s="464"/>
      <c r="V44" s="448"/>
      <c r="W44" s="464"/>
      <c r="Z44" s="448"/>
      <c r="AA44" s="464"/>
      <c r="AD44" s="448"/>
      <c r="AE44" s="464"/>
      <c r="AH44" s="448"/>
      <c r="AI44" s="464"/>
      <c r="AL44" s="448"/>
      <c r="AP44" s="448"/>
    </row>
    <row r="45" spans="1:42" ht="13">
      <c r="A45" s="462"/>
      <c r="B45" s="462"/>
      <c r="C45" t="str">
        <f ca="1">Filtered!I37</f>
        <v>Circulation</v>
      </c>
      <c r="D45" t="str">
        <f ca="1">Filtered!J37</f>
        <v>Health &amp; Medical Sciences</v>
      </c>
      <c r="E45" t="str">
        <f ca="1">Filtered!L37</f>
        <v>Single blind</v>
      </c>
      <c r="F45" t="b">
        <f t="shared" ca="1" si="9"/>
        <v>0</v>
      </c>
      <c r="G45" t="b">
        <f t="shared" ca="1" si="10"/>
        <v>0</v>
      </c>
      <c r="H45" t="b">
        <f t="shared" ca="1" si="11"/>
        <v>0</v>
      </c>
      <c r="I45" t="b">
        <f t="shared" ca="1" si="12"/>
        <v>1</v>
      </c>
      <c r="J45" t="b">
        <f t="shared" ca="1" si="13"/>
        <v>0</v>
      </c>
      <c r="K45" t="b">
        <f t="shared" ca="1" si="14"/>
        <v>0</v>
      </c>
      <c r="L45" t="b">
        <f t="shared" ca="1" si="15"/>
        <v>0</v>
      </c>
      <c r="M45" t="b">
        <f t="shared" ca="1" si="16"/>
        <v>0</v>
      </c>
      <c r="N45" s="448"/>
      <c r="O45" s="464"/>
      <c r="R45" s="448"/>
      <c r="S45" s="464"/>
      <c r="V45" s="448"/>
      <c r="W45" s="464"/>
      <c r="Z45" s="448"/>
      <c r="AA45" s="464"/>
      <c r="AD45" s="448"/>
      <c r="AE45" s="464"/>
      <c r="AH45" s="448"/>
      <c r="AI45" s="464"/>
      <c r="AL45" s="448"/>
      <c r="AP45" s="448"/>
    </row>
    <row r="46" spans="1:42" ht="13">
      <c r="A46" s="462"/>
      <c r="B46" s="462"/>
      <c r="C46" t="str">
        <f ca="1">Filtered!I38</f>
        <v>Circulation Research</v>
      </c>
      <c r="D46" t="str">
        <f ca="1">Filtered!J38</f>
        <v/>
      </c>
      <c r="E46" t="str">
        <f ca="1">Filtered!L38</f>
        <v>Single blind</v>
      </c>
      <c r="F46" t="b">
        <f t="shared" ca="1" si="9"/>
        <v>0</v>
      </c>
      <c r="G46" t="b">
        <f t="shared" ca="1" si="10"/>
        <v>0</v>
      </c>
      <c r="H46" t="b">
        <f t="shared" ca="1" si="11"/>
        <v>0</v>
      </c>
      <c r="I46" t="b">
        <f t="shared" ca="1" si="12"/>
        <v>0</v>
      </c>
      <c r="J46" t="b">
        <f t="shared" ca="1" si="13"/>
        <v>0</v>
      </c>
      <c r="K46" t="b">
        <f t="shared" ca="1" si="14"/>
        <v>0</v>
      </c>
      <c r="L46" t="b">
        <f t="shared" ca="1" si="15"/>
        <v>0</v>
      </c>
      <c r="M46" t="b">
        <f t="shared" ca="1" si="16"/>
        <v>0</v>
      </c>
      <c r="N46" s="448"/>
      <c r="O46" s="464"/>
      <c r="R46" s="448"/>
      <c r="S46" s="464"/>
      <c r="V46" s="448"/>
      <c r="W46" s="464"/>
      <c r="Z46" s="448"/>
      <c r="AA46" s="464"/>
      <c r="AD46" s="448"/>
      <c r="AE46" s="464"/>
      <c r="AH46" s="448"/>
      <c r="AI46" s="464"/>
      <c r="AL46" s="448"/>
      <c r="AP46" s="448"/>
    </row>
    <row r="47" spans="1:42" ht="13">
      <c r="A47" s="462"/>
      <c r="B47" s="462"/>
      <c r="C47" t="str">
        <f ca="1">Filtered!I39</f>
        <v>Clinical Cancer Research</v>
      </c>
      <c r="D47" t="str">
        <f ca="1">Filtered!J39</f>
        <v/>
      </c>
      <c r="E47" t="str">
        <f ca="1">Filtered!L39</f>
        <v>Unsure</v>
      </c>
      <c r="F47" t="b">
        <f t="shared" ca="1" si="9"/>
        <v>0</v>
      </c>
      <c r="G47" t="b">
        <f t="shared" ca="1" si="10"/>
        <v>0</v>
      </c>
      <c r="H47" t="b">
        <f t="shared" ca="1" si="11"/>
        <v>0</v>
      </c>
      <c r="I47" t="b">
        <f t="shared" ca="1" si="12"/>
        <v>0</v>
      </c>
      <c r="J47" t="b">
        <f t="shared" ca="1" si="13"/>
        <v>0</v>
      </c>
      <c r="K47" t="b">
        <f t="shared" ca="1" si="14"/>
        <v>0</v>
      </c>
      <c r="L47" t="b">
        <f t="shared" ca="1" si="15"/>
        <v>0</v>
      </c>
      <c r="M47" t="b">
        <f t="shared" ca="1" si="16"/>
        <v>0</v>
      </c>
      <c r="N47" s="448"/>
      <c r="O47" s="464"/>
      <c r="R47" s="448"/>
      <c r="S47" s="464"/>
      <c r="V47" s="448"/>
      <c r="W47" s="464"/>
      <c r="Z47" s="448"/>
      <c r="AA47" s="464"/>
      <c r="AD47" s="448"/>
      <c r="AE47" s="464"/>
      <c r="AH47" s="448"/>
      <c r="AI47" s="464"/>
      <c r="AL47" s="448"/>
      <c r="AP47" s="448"/>
    </row>
    <row r="48" spans="1:42" ht="13">
      <c r="A48" s="462"/>
      <c r="B48" s="462"/>
      <c r="C48" t="str">
        <f ca="1">Filtered!I40</f>
        <v>Computers &amp; Education</v>
      </c>
      <c r="D48" t="str">
        <f ca="1">Filtered!J40</f>
        <v/>
      </c>
      <c r="E48" t="str">
        <f ca="1">Filtered!L40</f>
        <v>Double blind</v>
      </c>
      <c r="F48" t="b">
        <f t="shared" ca="1" si="9"/>
        <v>0</v>
      </c>
      <c r="G48" t="b">
        <f t="shared" ca="1" si="10"/>
        <v>0</v>
      </c>
      <c r="H48" t="b">
        <f t="shared" ca="1" si="11"/>
        <v>0</v>
      </c>
      <c r="I48" t="b">
        <f t="shared" ca="1" si="12"/>
        <v>0</v>
      </c>
      <c r="J48" t="b">
        <f t="shared" ca="1" si="13"/>
        <v>0</v>
      </c>
      <c r="K48" t="b">
        <f t="shared" ca="1" si="14"/>
        <v>0</v>
      </c>
      <c r="L48" t="b">
        <f t="shared" ca="1" si="15"/>
        <v>0</v>
      </c>
      <c r="M48" t="b">
        <f t="shared" ca="1" si="16"/>
        <v>0</v>
      </c>
      <c r="N48" s="448"/>
      <c r="O48" s="464"/>
      <c r="R48" s="448"/>
      <c r="S48" s="464"/>
      <c r="V48" s="448"/>
      <c r="W48" s="464"/>
      <c r="Z48" s="448"/>
      <c r="AA48" s="464"/>
      <c r="AD48" s="448"/>
      <c r="AE48" s="464"/>
      <c r="AH48" s="448"/>
      <c r="AI48" s="464"/>
      <c r="AL48" s="448"/>
      <c r="AP48" s="448"/>
    </row>
    <row r="49" spans="1:42" ht="13">
      <c r="A49" s="462"/>
      <c r="B49" s="462"/>
      <c r="C49" t="str">
        <f ca="1">Filtered!I41</f>
        <v>Diabetes Care</v>
      </c>
      <c r="D49" t="str">
        <f ca="1">Filtered!J41</f>
        <v/>
      </c>
      <c r="E49" t="str">
        <f ca="1">Filtered!L41</f>
        <v>Single blind</v>
      </c>
      <c r="F49" t="b">
        <f t="shared" ca="1" si="9"/>
        <v>0</v>
      </c>
      <c r="G49" t="b">
        <f t="shared" ca="1" si="10"/>
        <v>0</v>
      </c>
      <c r="H49" t="b">
        <f t="shared" ca="1" si="11"/>
        <v>0</v>
      </c>
      <c r="I49" t="b">
        <f t="shared" ca="1" si="12"/>
        <v>0</v>
      </c>
      <c r="J49" t="b">
        <f t="shared" ca="1" si="13"/>
        <v>0</v>
      </c>
      <c r="K49" t="b">
        <f t="shared" ca="1" si="14"/>
        <v>0</v>
      </c>
      <c r="L49" t="b">
        <f t="shared" ca="1" si="15"/>
        <v>0</v>
      </c>
      <c r="M49" t="b">
        <f t="shared" ca="1" si="16"/>
        <v>0</v>
      </c>
      <c r="N49" s="448"/>
      <c r="O49" s="464"/>
      <c r="R49" s="448"/>
      <c r="S49" s="464"/>
      <c r="V49" s="448"/>
      <c r="W49" s="464"/>
      <c r="Z49" s="448"/>
      <c r="AA49" s="464"/>
      <c r="AD49" s="448"/>
      <c r="AE49" s="464"/>
      <c r="AH49" s="448"/>
      <c r="AI49" s="464"/>
      <c r="AL49" s="448"/>
      <c r="AP49" s="448"/>
    </row>
    <row r="50" spans="1:42" ht="13">
      <c r="A50" s="462"/>
      <c r="B50" s="462"/>
      <c r="C50" t="str">
        <f ca="1">Filtered!I42</f>
        <v>Digital Journalism</v>
      </c>
      <c r="D50" t="str">
        <f ca="1">Filtered!J42</f>
        <v>Humanities, Literature &amp; Arts</v>
      </c>
      <c r="E50" t="str">
        <f ca="1">Filtered!L42</f>
        <v>Double blind</v>
      </c>
      <c r="F50" t="b">
        <f t="shared" ca="1" si="9"/>
        <v>0</v>
      </c>
      <c r="G50" t="b">
        <f t="shared" ca="1" si="10"/>
        <v>0</v>
      </c>
      <c r="H50" t="b">
        <f t="shared" ca="1" si="11"/>
        <v>0</v>
      </c>
      <c r="I50" t="b">
        <f t="shared" ca="1" si="12"/>
        <v>0</v>
      </c>
      <c r="J50" t="b">
        <f t="shared" ca="1" si="13"/>
        <v>1</v>
      </c>
      <c r="K50" t="b">
        <f t="shared" ca="1" si="14"/>
        <v>0</v>
      </c>
      <c r="L50" t="b">
        <f t="shared" ca="1" si="15"/>
        <v>0</v>
      </c>
      <c r="M50" t="b">
        <f t="shared" ca="1" si="16"/>
        <v>0</v>
      </c>
      <c r="N50" s="448"/>
      <c r="O50" s="464"/>
      <c r="R50" s="448"/>
      <c r="S50" s="464"/>
      <c r="V50" s="448"/>
      <c r="W50" s="464"/>
      <c r="Z50" s="448"/>
      <c r="AA50" s="464"/>
      <c r="AD50" s="448"/>
      <c r="AE50" s="464"/>
      <c r="AH50" s="448"/>
      <c r="AI50" s="464"/>
      <c r="AL50" s="448"/>
      <c r="AP50" s="448"/>
    </row>
    <row r="51" spans="1:42" ht="13">
      <c r="A51" s="462"/>
      <c r="B51" s="462"/>
      <c r="C51" t="str">
        <f ca="1">Filtered!I43</f>
        <v>Econometrica</v>
      </c>
      <c r="D51" t="str">
        <f ca="1">Filtered!J43</f>
        <v>Business, Economics &amp; Management</v>
      </c>
      <c r="E51" t="str">
        <f ca="1">Filtered!L43</f>
        <v>Unsure</v>
      </c>
      <c r="F51" t="b">
        <f t="shared" ca="1" si="9"/>
        <v>1</v>
      </c>
      <c r="G51" t="b">
        <f t="shared" ca="1" si="10"/>
        <v>0</v>
      </c>
      <c r="H51" t="b">
        <f t="shared" ca="1" si="11"/>
        <v>0</v>
      </c>
      <c r="I51" t="b">
        <f t="shared" ca="1" si="12"/>
        <v>0</v>
      </c>
      <c r="J51" t="b">
        <f t="shared" ca="1" si="13"/>
        <v>0</v>
      </c>
      <c r="K51" t="b">
        <f t="shared" ca="1" si="14"/>
        <v>0</v>
      </c>
      <c r="L51" t="b">
        <f t="shared" ca="1" si="15"/>
        <v>0</v>
      </c>
      <c r="M51" t="b">
        <f t="shared" ca="1" si="16"/>
        <v>0</v>
      </c>
      <c r="N51" s="448"/>
      <c r="O51" s="464"/>
      <c r="R51" s="448"/>
      <c r="S51" s="464"/>
      <c r="V51" s="448"/>
      <c r="W51" s="464"/>
      <c r="Z51" s="448"/>
      <c r="AA51" s="464"/>
      <c r="AD51" s="448"/>
      <c r="AE51" s="464"/>
      <c r="AH51" s="448"/>
      <c r="AI51" s="464"/>
      <c r="AL51" s="448"/>
      <c r="AP51" s="448"/>
    </row>
    <row r="52" spans="1:42" ht="13">
      <c r="A52" s="462"/>
      <c r="B52" s="462"/>
      <c r="C52" t="str">
        <f ca="1">Filtered!I44</f>
        <v>Energy and Environmental Science</v>
      </c>
      <c r="D52" t="str">
        <f ca="1">Filtered!J44</f>
        <v>Chemical &amp; Materials Sciences, Engineering &amp; Computer Science</v>
      </c>
      <c r="E52" t="str">
        <f ca="1">Filtered!L44</f>
        <v>Single blind</v>
      </c>
      <c r="F52" t="b">
        <f t="shared" ca="1" si="9"/>
        <v>0</v>
      </c>
      <c r="G52" t="b">
        <f t="shared" ca="1" si="10"/>
        <v>1</v>
      </c>
      <c r="H52" t="b">
        <f t="shared" ca="1" si="11"/>
        <v>1</v>
      </c>
      <c r="I52" t="b">
        <f t="shared" ca="1" si="12"/>
        <v>0</v>
      </c>
      <c r="J52" t="b">
        <f t="shared" ca="1" si="13"/>
        <v>0</v>
      </c>
      <c r="K52" t="b">
        <f t="shared" ca="1" si="14"/>
        <v>0</v>
      </c>
      <c r="L52" t="b">
        <f t="shared" ca="1" si="15"/>
        <v>0</v>
      </c>
      <c r="M52" t="b">
        <f t="shared" ca="1" si="16"/>
        <v>0</v>
      </c>
      <c r="N52" s="448"/>
      <c r="O52" s="464"/>
      <c r="R52" s="448"/>
      <c r="S52" s="464"/>
      <c r="V52" s="448"/>
      <c r="W52" s="464"/>
      <c r="Z52" s="448"/>
      <c r="AA52" s="464"/>
      <c r="AD52" s="448"/>
      <c r="AE52" s="464"/>
      <c r="AH52" s="448"/>
      <c r="AI52" s="464"/>
      <c r="AL52" s="448"/>
      <c r="AP52" s="448"/>
    </row>
    <row r="53" spans="1:42" ht="13">
      <c r="A53" s="462"/>
      <c r="B53" s="462"/>
      <c r="C53" t="str">
        <f ca="1">Filtered!I45</f>
        <v>Environmental Science &amp; Technology</v>
      </c>
      <c r="D53" t="str">
        <f ca="1">Filtered!J45</f>
        <v>Life Sciences &amp; Earth Sciences</v>
      </c>
      <c r="E53" t="str">
        <f ca="1">Filtered!L45</f>
        <v>Unsure</v>
      </c>
      <c r="F53" t="b">
        <f t="shared" ca="1" si="9"/>
        <v>0</v>
      </c>
      <c r="G53" t="b">
        <f t="shared" ca="1" si="10"/>
        <v>0</v>
      </c>
      <c r="H53" t="b">
        <f t="shared" ca="1" si="11"/>
        <v>0</v>
      </c>
      <c r="I53" t="b">
        <f t="shared" ca="1" si="12"/>
        <v>0</v>
      </c>
      <c r="J53" t="b">
        <f t="shared" ca="1" si="13"/>
        <v>0</v>
      </c>
      <c r="K53" t="b">
        <f t="shared" ca="1" si="14"/>
        <v>1</v>
      </c>
      <c r="L53" t="b">
        <f t="shared" ca="1" si="15"/>
        <v>0</v>
      </c>
      <c r="M53" t="b">
        <f t="shared" ca="1" si="16"/>
        <v>0</v>
      </c>
      <c r="N53" s="448"/>
      <c r="O53" s="464"/>
      <c r="R53" s="448"/>
      <c r="S53" s="464"/>
      <c r="V53" s="448"/>
      <c r="W53" s="464"/>
      <c r="Z53" s="448"/>
      <c r="AA53" s="464"/>
      <c r="AD53" s="448"/>
      <c r="AE53" s="464"/>
      <c r="AH53" s="448"/>
      <c r="AI53" s="464"/>
      <c r="AL53" s="448"/>
      <c r="AP53" s="448"/>
    </row>
    <row r="54" spans="1:42" ht="13">
      <c r="A54" s="462"/>
      <c r="B54" s="462"/>
      <c r="C54" t="str">
        <f ca="1">Filtered!I46</f>
        <v>European Heart Journal</v>
      </c>
      <c r="D54" t="str">
        <f ca="1">Filtered!J46</f>
        <v>Health &amp; Medical Sciences</v>
      </c>
      <c r="E54" t="str">
        <f ca="1">Filtered!L46</f>
        <v>Unsure</v>
      </c>
      <c r="F54" t="b">
        <f t="shared" ca="1" si="9"/>
        <v>0</v>
      </c>
      <c r="G54" t="b">
        <f t="shared" ca="1" si="10"/>
        <v>0</v>
      </c>
      <c r="H54" t="b">
        <f t="shared" ca="1" si="11"/>
        <v>0</v>
      </c>
      <c r="I54" t="b">
        <f t="shared" ca="1" si="12"/>
        <v>1</v>
      </c>
      <c r="J54" t="b">
        <f t="shared" ca="1" si="13"/>
        <v>0</v>
      </c>
      <c r="K54" t="b">
        <f t="shared" ca="1" si="14"/>
        <v>0</v>
      </c>
      <c r="L54" t="b">
        <f t="shared" ca="1" si="15"/>
        <v>0</v>
      </c>
      <c r="M54" t="b">
        <f t="shared" ca="1" si="16"/>
        <v>0</v>
      </c>
      <c r="N54" s="448"/>
      <c r="O54" s="464"/>
      <c r="R54" s="448"/>
      <c r="S54" s="464"/>
      <c r="V54" s="448"/>
      <c r="W54" s="464"/>
      <c r="Z54" s="448"/>
      <c r="AA54" s="464"/>
      <c r="AD54" s="448"/>
      <c r="AE54" s="464"/>
      <c r="AH54" s="448"/>
      <c r="AI54" s="464"/>
      <c r="AL54" s="448"/>
      <c r="AP54" s="448"/>
    </row>
    <row r="55" spans="1:42" ht="13">
      <c r="A55" s="462"/>
      <c r="B55" s="462"/>
      <c r="C55" t="str">
        <f ca="1">Filtered!I47</f>
        <v>European Urology</v>
      </c>
      <c r="D55" t="str">
        <f ca="1">Filtered!J47</f>
        <v/>
      </c>
      <c r="E55" t="str">
        <f ca="1">Filtered!L47</f>
        <v>Single blind</v>
      </c>
      <c r="F55" t="b">
        <f t="shared" ca="1" si="9"/>
        <v>0</v>
      </c>
      <c r="G55" t="b">
        <f t="shared" ca="1" si="10"/>
        <v>0</v>
      </c>
      <c r="H55" t="b">
        <f t="shared" ca="1" si="11"/>
        <v>0</v>
      </c>
      <c r="I55" t="b">
        <f t="shared" ca="1" si="12"/>
        <v>0</v>
      </c>
      <c r="J55" t="b">
        <f t="shared" ca="1" si="13"/>
        <v>0</v>
      </c>
      <c r="K55" t="b">
        <f t="shared" ca="1" si="14"/>
        <v>0</v>
      </c>
      <c r="L55" t="b">
        <f t="shared" ca="1" si="15"/>
        <v>0</v>
      </c>
      <c r="M55" t="b">
        <f t="shared" ca="1" si="16"/>
        <v>0</v>
      </c>
      <c r="N55" s="448"/>
      <c r="O55" s="464"/>
      <c r="R55" s="448"/>
      <c r="S55" s="464"/>
      <c r="V55" s="448"/>
      <c r="W55" s="464"/>
      <c r="Z55" s="448"/>
      <c r="AA55" s="464"/>
      <c r="AD55" s="448"/>
      <c r="AE55" s="464"/>
      <c r="AH55" s="448"/>
      <c r="AI55" s="464"/>
      <c r="AL55" s="448"/>
      <c r="AP55" s="448"/>
    </row>
    <row r="56" spans="1:42" ht="13">
      <c r="A56" s="462"/>
      <c r="B56" s="462"/>
      <c r="C56" t="str">
        <f ca="1">Filtered!I48</f>
        <v>Gastroenterology</v>
      </c>
      <c r="D56" t="str">
        <f ca="1">Filtered!J48</f>
        <v>Health &amp; Medical Sciences</v>
      </c>
      <c r="E56" t="str">
        <f ca="1">Filtered!L48</f>
        <v>Single blind</v>
      </c>
      <c r="F56" t="b">
        <f t="shared" ca="1" si="9"/>
        <v>0</v>
      </c>
      <c r="G56" t="b">
        <f t="shared" ca="1" si="10"/>
        <v>0</v>
      </c>
      <c r="H56" t="b">
        <f t="shared" ca="1" si="11"/>
        <v>0</v>
      </c>
      <c r="I56" t="b">
        <f t="shared" ca="1" si="12"/>
        <v>1</v>
      </c>
      <c r="J56" t="b">
        <f t="shared" ca="1" si="13"/>
        <v>0</v>
      </c>
      <c r="K56" t="b">
        <f t="shared" ca="1" si="14"/>
        <v>0</v>
      </c>
      <c r="L56" t="b">
        <f t="shared" ca="1" si="15"/>
        <v>0</v>
      </c>
      <c r="M56" t="b">
        <f t="shared" ca="1" si="16"/>
        <v>0</v>
      </c>
      <c r="N56" s="448"/>
      <c r="O56" s="464"/>
      <c r="R56" s="448"/>
      <c r="S56" s="464"/>
      <c r="V56" s="448"/>
      <c r="W56" s="464"/>
      <c r="Z56" s="448"/>
      <c r="AA56" s="464"/>
      <c r="AD56" s="448"/>
      <c r="AE56" s="464"/>
      <c r="AH56" s="448"/>
      <c r="AI56" s="464"/>
      <c r="AL56" s="448"/>
      <c r="AP56" s="448"/>
    </row>
    <row r="57" spans="1:42" ht="13">
      <c r="A57" s="462"/>
      <c r="B57" s="462"/>
      <c r="C57" t="str">
        <f ca="1">Filtered!I49</f>
        <v>Gender &amp; Society</v>
      </c>
      <c r="D57" t="str">
        <f ca="1">Filtered!J49</f>
        <v>Humanities, Literature &amp; Arts</v>
      </c>
      <c r="E57" t="str">
        <f ca="1">Filtered!L49</f>
        <v>Double blind</v>
      </c>
      <c r="F57" t="b">
        <f t="shared" ca="1" si="9"/>
        <v>0</v>
      </c>
      <c r="G57" t="b">
        <f t="shared" ca="1" si="10"/>
        <v>0</v>
      </c>
      <c r="H57" t="b">
        <f t="shared" ca="1" si="11"/>
        <v>0</v>
      </c>
      <c r="I57" t="b">
        <f t="shared" ca="1" si="12"/>
        <v>0</v>
      </c>
      <c r="J57" t="b">
        <f t="shared" ca="1" si="13"/>
        <v>1</v>
      </c>
      <c r="K57" t="b">
        <f t="shared" ca="1" si="14"/>
        <v>0</v>
      </c>
      <c r="L57" t="b">
        <f t="shared" ca="1" si="15"/>
        <v>0</v>
      </c>
      <c r="M57" t="b">
        <f t="shared" ca="1" si="16"/>
        <v>0</v>
      </c>
      <c r="N57" s="448"/>
      <c r="O57" s="464"/>
      <c r="R57" s="448"/>
      <c r="S57" s="464"/>
      <c r="V57" s="448"/>
      <c r="W57" s="464"/>
      <c r="Z57" s="448"/>
      <c r="AA57" s="464"/>
      <c r="AD57" s="448"/>
      <c r="AE57" s="464"/>
      <c r="AH57" s="448"/>
      <c r="AI57" s="464"/>
      <c r="AL57" s="448"/>
      <c r="AP57" s="448"/>
    </row>
    <row r="58" spans="1:42" ht="13">
      <c r="A58" s="462"/>
      <c r="B58" s="462"/>
      <c r="C58" t="str">
        <f ca="1">Filtered!I50</f>
        <v>Geophysical Research Letters</v>
      </c>
      <c r="D58" t="str">
        <f ca="1">Filtered!J50</f>
        <v>Physics &amp; Mathematics</v>
      </c>
      <c r="E58" t="str">
        <f ca="1">Filtered!L50</f>
        <v>Unsure</v>
      </c>
      <c r="F58" t="b">
        <f t="shared" ca="1" si="9"/>
        <v>0</v>
      </c>
      <c r="G58" t="b">
        <f t="shared" ca="1" si="10"/>
        <v>0</v>
      </c>
      <c r="H58" t="b">
        <f t="shared" ca="1" si="11"/>
        <v>0</v>
      </c>
      <c r="I58" t="b">
        <f t="shared" ca="1" si="12"/>
        <v>0</v>
      </c>
      <c r="J58" t="b">
        <f t="shared" ca="1" si="13"/>
        <v>0</v>
      </c>
      <c r="K58" t="b">
        <f t="shared" ca="1" si="14"/>
        <v>0</v>
      </c>
      <c r="L58" t="b">
        <f t="shared" ca="1" si="15"/>
        <v>1</v>
      </c>
      <c r="M58" t="b">
        <f t="shared" ca="1" si="16"/>
        <v>0</v>
      </c>
      <c r="N58" s="448"/>
      <c r="O58" s="464"/>
      <c r="R58" s="448"/>
      <c r="S58" s="464"/>
      <c r="V58" s="448"/>
      <c r="W58" s="464"/>
      <c r="Z58" s="448"/>
      <c r="AA58" s="464"/>
      <c r="AD58" s="448"/>
      <c r="AE58" s="464"/>
      <c r="AH58" s="448"/>
      <c r="AI58" s="464"/>
      <c r="AL58" s="448"/>
      <c r="AP58" s="448"/>
    </row>
    <row r="59" spans="1:42" ht="13">
      <c r="A59" s="462"/>
      <c r="B59" s="462"/>
      <c r="C59" t="str">
        <f ca="1">Filtered!I51</f>
        <v>Global Environmental Change</v>
      </c>
      <c r="D59" t="str">
        <f ca="1">Filtered!J51</f>
        <v>Social Sciences</v>
      </c>
      <c r="E59" t="str">
        <f ca="1">Filtered!L51</f>
        <v>Double blind</v>
      </c>
      <c r="F59" t="b">
        <f t="shared" ca="1" si="9"/>
        <v>0</v>
      </c>
      <c r="G59" t="b">
        <f t="shared" ca="1" si="10"/>
        <v>0</v>
      </c>
      <c r="H59" t="b">
        <f t="shared" ca="1" si="11"/>
        <v>0</v>
      </c>
      <c r="I59" t="b">
        <f t="shared" ca="1" si="12"/>
        <v>0</v>
      </c>
      <c r="J59" t="b">
        <f t="shared" ca="1" si="13"/>
        <v>0</v>
      </c>
      <c r="K59" t="b">
        <f t="shared" ca="1" si="14"/>
        <v>0</v>
      </c>
      <c r="L59" t="b">
        <f t="shared" ca="1" si="15"/>
        <v>0</v>
      </c>
      <c r="M59" t="b">
        <f t="shared" ca="1" si="16"/>
        <v>1</v>
      </c>
      <c r="N59" s="448"/>
      <c r="O59" s="464"/>
      <c r="R59" s="448"/>
      <c r="S59" s="464"/>
      <c r="V59" s="448"/>
      <c r="W59" s="464"/>
      <c r="Z59" s="448"/>
      <c r="AA59" s="464"/>
      <c r="AD59" s="448"/>
      <c r="AE59" s="464"/>
      <c r="AH59" s="448"/>
      <c r="AI59" s="464"/>
      <c r="AL59" s="448"/>
      <c r="AP59" s="448"/>
    </row>
    <row r="60" spans="1:42" ht="13">
      <c r="A60" s="462"/>
      <c r="B60" s="462"/>
      <c r="C60" t="str">
        <f ca="1">Filtered!I52</f>
        <v>Government Information Quarterly</v>
      </c>
      <c r="D60" t="str">
        <f ca="1">Filtered!J52</f>
        <v>Social Sciences</v>
      </c>
      <c r="E60" t="str">
        <f ca="1">Filtered!L52</f>
        <v>Other (apppears to offer choice of single blind or double blind)</v>
      </c>
      <c r="F60" t="b">
        <f t="shared" ca="1" si="9"/>
        <v>0</v>
      </c>
      <c r="G60" t="b">
        <f t="shared" ca="1" si="10"/>
        <v>0</v>
      </c>
      <c r="H60" t="b">
        <f t="shared" ca="1" si="11"/>
        <v>0</v>
      </c>
      <c r="I60" t="b">
        <f t="shared" ca="1" si="12"/>
        <v>0</v>
      </c>
      <c r="J60" t="b">
        <f t="shared" ca="1" si="13"/>
        <v>0</v>
      </c>
      <c r="K60" t="b">
        <f t="shared" ca="1" si="14"/>
        <v>0</v>
      </c>
      <c r="L60" t="b">
        <f t="shared" ca="1" si="15"/>
        <v>0</v>
      </c>
      <c r="M60" t="b">
        <f t="shared" ca="1" si="16"/>
        <v>1</v>
      </c>
      <c r="N60" s="448"/>
      <c r="O60" s="464"/>
      <c r="R60" s="448"/>
      <c r="S60" s="464"/>
      <c r="V60" s="448"/>
      <c r="W60" s="464"/>
      <c r="Z60" s="448"/>
      <c r="AA60" s="464"/>
      <c r="AD60" s="448"/>
      <c r="AE60" s="464"/>
      <c r="AH60" s="448"/>
      <c r="AI60" s="464"/>
      <c r="AL60" s="448"/>
      <c r="AP60" s="448"/>
    </row>
    <row r="61" spans="1:42" ht="13">
      <c r="A61" s="462"/>
      <c r="B61" s="462"/>
      <c r="C61" t="str">
        <f ca="1">Filtered!I53</f>
        <v>Gut</v>
      </c>
      <c r="D61" t="str">
        <f ca="1">Filtered!J53</f>
        <v/>
      </c>
      <c r="E61" t="str">
        <f ca="1">Filtered!L53</f>
        <v>Single Blind</v>
      </c>
      <c r="F61" t="b">
        <f t="shared" ca="1" si="9"/>
        <v>0</v>
      </c>
      <c r="G61" t="b">
        <f t="shared" ca="1" si="10"/>
        <v>0</v>
      </c>
      <c r="H61" t="b">
        <f t="shared" ca="1" si="11"/>
        <v>0</v>
      </c>
      <c r="I61" t="b">
        <f t="shared" ca="1" si="12"/>
        <v>0</v>
      </c>
      <c r="J61" t="b">
        <f t="shared" ca="1" si="13"/>
        <v>0</v>
      </c>
      <c r="K61" t="b">
        <f t="shared" ca="1" si="14"/>
        <v>0</v>
      </c>
      <c r="L61" t="b">
        <f t="shared" ca="1" si="15"/>
        <v>0</v>
      </c>
      <c r="M61" t="b">
        <f t="shared" ca="1" si="16"/>
        <v>0</v>
      </c>
      <c r="N61" s="448"/>
      <c r="O61" s="464"/>
      <c r="R61" s="448"/>
      <c r="S61" s="464"/>
      <c r="V61" s="448"/>
      <c r="W61" s="464"/>
      <c r="Z61" s="448"/>
      <c r="AA61" s="464"/>
      <c r="AD61" s="448"/>
      <c r="AE61" s="464"/>
      <c r="AH61" s="448"/>
      <c r="AI61" s="464"/>
      <c r="AL61" s="448"/>
      <c r="AP61" s="448"/>
    </row>
    <row r="62" spans="1:42" ht="13">
      <c r="A62" s="462"/>
      <c r="B62" s="462"/>
      <c r="C62" t="str">
        <f ca="1">Filtered!I54</f>
        <v>Health Affairs</v>
      </c>
      <c r="D62" t="str">
        <f ca="1">Filtered!J54</f>
        <v>Social Sciences</v>
      </c>
      <c r="E62" t="str">
        <f ca="1">Filtered!L54</f>
        <v>Double blind</v>
      </c>
      <c r="F62" t="b">
        <f t="shared" ca="1" si="9"/>
        <v>0</v>
      </c>
      <c r="G62" t="b">
        <f t="shared" ca="1" si="10"/>
        <v>0</v>
      </c>
      <c r="H62" t="b">
        <f t="shared" ca="1" si="11"/>
        <v>0</v>
      </c>
      <c r="I62" t="b">
        <f t="shared" ca="1" si="12"/>
        <v>0</v>
      </c>
      <c r="J62" t="b">
        <f t="shared" ca="1" si="13"/>
        <v>0</v>
      </c>
      <c r="K62" t="b">
        <f t="shared" ca="1" si="14"/>
        <v>0</v>
      </c>
      <c r="L62" t="b">
        <f t="shared" ca="1" si="15"/>
        <v>0</v>
      </c>
      <c r="M62" t="b">
        <f t="shared" ca="1" si="16"/>
        <v>1</v>
      </c>
      <c r="N62" s="448"/>
      <c r="O62" s="464"/>
      <c r="R62" s="448"/>
      <c r="S62" s="464"/>
      <c r="V62" s="448"/>
      <c r="W62" s="464"/>
      <c r="Z62" s="448"/>
      <c r="AA62" s="464"/>
      <c r="AD62" s="448"/>
      <c r="AE62" s="464"/>
      <c r="AH62" s="448"/>
      <c r="AI62" s="464"/>
      <c r="AL62" s="448"/>
      <c r="AP62" s="448"/>
    </row>
    <row r="63" spans="1:42" ht="13">
      <c r="A63" s="462"/>
      <c r="B63" s="462"/>
      <c r="C63" t="str">
        <f ca="1">Filtered!I55</f>
        <v>Hepatology</v>
      </c>
      <c r="D63" t="str">
        <f ca="1">Filtered!J55</f>
        <v/>
      </c>
      <c r="E63" t="str">
        <f ca="1">Filtered!L55</f>
        <v>Unsure</v>
      </c>
      <c r="F63" t="b">
        <f t="shared" ca="1" si="9"/>
        <v>0</v>
      </c>
      <c r="G63" t="b">
        <f t="shared" ca="1" si="10"/>
        <v>0</v>
      </c>
      <c r="H63" t="b">
        <f t="shared" ca="1" si="11"/>
        <v>0</v>
      </c>
      <c r="I63" t="b">
        <f t="shared" ca="1" si="12"/>
        <v>0</v>
      </c>
      <c r="J63" t="b">
        <f t="shared" ca="1" si="13"/>
        <v>0</v>
      </c>
      <c r="K63" t="b">
        <f t="shared" ca="1" si="14"/>
        <v>0</v>
      </c>
      <c r="L63" t="b">
        <f t="shared" ca="1" si="15"/>
        <v>0</v>
      </c>
      <c r="M63" t="b">
        <f t="shared" ca="1" si="16"/>
        <v>0</v>
      </c>
      <c r="N63" s="448"/>
      <c r="O63" s="464"/>
      <c r="R63" s="448"/>
      <c r="S63" s="464"/>
      <c r="V63" s="448"/>
      <c r="W63" s="464"/>
      <c r="Z63" s="448"/>
      <c r="AA63" s="464"/>
      <c r="AD63" s="448"/>
      <c r="AE63" s="464"/>
      <c r="AH63" s="448"/>
      <c r="AI63" s="464"/>
      <c r="AL63" s="448"/>
      <c r="AP63" s="448"/>
    </row>
    <row r="64" spans="1:42" ht="13">
      <c r="A64" s="462"/>
      <c r="B64" s="462"/>
      <c r="C64" t="str">
        <f ca="1">Filtered!I56</f>
        <v>IEEE Communications Magazine</v>
      </c>
      <c r="D64" t="str">
        <f ca="1">Filtered!J56</f>
        <v/>
      </c>
      <c r="E64" t="str">
        <f ca="1">Filtered!L56</f>
        <v>Unsure</v>
      </c>
      <c r="F64" t="b">
        <f t="shared" ca="1" si="9"/>
        <v>0</v>
      </c>
      <c r="G64" t="b">
        <f t="shared" ca="1" si="10"/>
        <v>0</v>
      </c>
      <c r="H64" t="b">
        <f t="shared" ca="1" si="11"/>
        <v>0</v>
      </c>
      <c r="I64" t="b">
        <f t="shared" ca="1" si="12"/>
        <v>0</v>
      </c>
      <c r="J64" t="b">
        <f t="shared" ca="1" si="13"/>
        <v>0</v>
      </c>
      <c r="K64" t="b">
        <f t="shared" ca="1" si="14"/>
        <v>0</v>
      </c>
      <c r="L64" t="b">
        <f t="shared" ca="1" si="15"/>
        <v>0</v>
      </c>
      <c r="M64" t="b">
        <f t="shared" ca="1" si="16"/>
        <v>0</v>
      </c>
      <c r="N64" s="448"/>
      <c r="O64" s="464"/>
      <c r="R64" s="448"/>
      <c r="S64" s="464"/>
      <c r="V64" s="448"/>
      <c r="W64" s="464"/>
      <c r="Z64" s="448"/>
      <c r="AA64" s="464"/>
      <c r="AD64" s="448"/>
      <c r="AE64" s="464"/>
      <c r="AH64" s="448"/>
      <c r="AI64" s="464"/>
      <c r="AL64" s="448"/>
      <c r="AP64" s="448"/>
    </row>
    <row r="65" spans="1:42" ht="13">
      <c r="A65" s="462"/>
      <c r="B65" s="462"/>
      <c r="C65" t="str">
        <f ca="1">Filtered!I57</f>
        <v>IEEE Communications Surveys &amp; Tutorials</v>
      </c>
      <c r="D65" t="str">
        <f ca="1">Filtered!J57</f>
        <v>Engineering &amp; Computer Science</v>
      </c>
      <c r="E65" t="str">
        <f ca="1">Filtered!L57</f>
        <v>Unsure</v>
      </c>
      <c r="F65" t="b">
        <f t="shared" ca="1" si="9"/>
        <v>0</v>
      </c>
      <c r="G65" t="b">
        <f t="shared" ca="1" si="10"/>
        <v>0</v>
      </c>
      <c r="H65" t="b">
        <f t="shared" ca="1" si="11"/>
        <v>1</v>
      </c>
      <c r="I65" t="b">
        <f t="shared" ca="1" si="12"/>
        <v>0</v>
      </c>
      <c r="J65" t="b">
        <f t="shared" ca="1" si="13"/>
        <v>0</v>
      </c>
      <c r="K65" t="b">
        <f t="shared" ca="1" si="14"/>
        <v>0</v>
      </c>
      <c r="L65" t="b">
        <f t="shared" ca="1" si="15"/>
        <v>0</v>
      </c>
      <c r="M65" t="b">
        <f t="shared" ca="1" si="16"/>
        <v>0</v>
      </c>
      <c r="N65" s="448"/>
      <c r="O65" s="464"/>
      <c r="R65" s="448"/>
      <c r="S65" s="464"/>
      <c r="V65" s="448"/>
      <c r="W65" s="464"/>
      <c r="Z65" s="448"/>
      <c r="AA65" s="464"/>
      <c r="AD65" s="448"/>
      <c r="AE65" s="464"/>
      <c r="AH65" s="448"/>
      <c r="AI65" s="464"/>
      <c r="AL65" s="448"/>
      <c r="AP65" s="448"/>
    </row>
    <row r="66" spans="1:42" ht="13">
      <c r="A66" s="462"/>
      <c r="B66" s="462"/>
      <c r="C66" t="str">
        <f ca="1">Filtered!I58</f>
        <v>IEEE Conference on Computer Vision and Pattern Recognition, CVPR</v>
      </c>
      <c r="D66" t="str">
        <f ca="1">Filtered!J58</f>
        <v>Engineering &amp; Computer Science</v>
      </c>
      <c r="E66" t="str">
        <f ca="1">Filtered!L58</f>
        <v>Double blind</v>
      </c>
      <c r="F66" t="b">
        <f t="shared" ca="1" si="9"/>
        <v>0</v>
      </c>
      <c r="G66" t="b">
        <f t="shared" ca="1" si="10"/>
        <v>0</v>
      </c>
      <c r="H66" t="b">
        <f t="shared" ca="1" si="11"/>
        <v>1</v>
      </c>
      <c r="I66" t="b">
        <f t="shared" ca="1" si="12"/>
        <v>0</v>
      </c>
      <c r="J66" t="b">
        <f t="shared" ca="1" si="13"/>
        <v>0</v>
      </c>
      <c r="K66" t="b">
        <f t="shared" ca="1" si="14"/>
        <v>0</v>
      </c>
      <c r="L66" t="b">
        <f t="shared" ca="1" si="15"/>
        <v>0</v>
      </c>
      <c r="M66" t="b">
        <f t="shared" ca="1" si="16"/>
        <v>0</v>
      </c>
      <c r="N66" s="448"/>
      <c r="O66" s="464"/>
      <c r="R66" s="448"/>
      <c r="S66" s="464"/>
      <c r="V66" s="448"/>
      <c r="W66" s="464"/>
      <c r="Z66" s="448"/>
      <c r="AA66" s="464"/>
      <c r="AD66" s="448"/>
      <c r="AE66" s="464"/>
      <c r="AH66" s="448"/>
      <c r="AI66" s="464"/>
      <c r="AL66" s="448"/>
      <c r="AP66" s="448"/>
    </row>
    <row r="67" spans="1:42" ht="13">
      <c r="A67" s="462"/>
      <c r="B67" s="462"/>
      <c r="C67" t="str">
        <f ca="1">Filtered!I59</f>
        <v>IEEE International Conference on Computer Vision</v>
      </c>
      <c r="D67" t="str">
        <f ca="1">Filtered!J59</f>
        <v>Engineering &amp; Computer Science</v>
      </c>
      <c r="E67" t="str">
        <f ca="1">Filtered!L59</f>
        <v>Double blind</v>
      </c>
      <c r="F67" t="b">
        <f t="shared" ca="1" si="9"/>
        <v>0</v>
      </c>
      <c r="G67" t="b">
        <f t="shared" ca="1" si="10"/>
        <v>0</v>
      </c>
      <c r="H67" t="b">
        <f t="shared" ca="1" si="11"/>
        <v>1</v>
      </c>
      <c r="I67" t="b">
        <f t="shared" ca="1" si="12"/>
        <v>0</v>
      </c>
      <c r="J67" t="b">
        <f t="shared" ca="1" si="13"/>
        <v>0</v>
      </c>
      <c r="K67" t="b">
        <f t="shared" ca="1" si="14"/>
        <v>0</v>
      </c>
      <c r="L67" t="b">
        <f t="shared" ca="1" si="15"/>
        <v>0</v>
      </c>
      <c r="M67" t="b">
        <f t="shared" ca="1" si="16"/>
        <v>0</v>
      </c>
      <c r="N67" s="448"/>
      <c r="O67" s="464"/>
      <c r="R67" s="448"/>
      <c r="S67" s="464"/>
      <c r="V67" s="448"/>
      <c r="W67" s="464"/>
      <c r="Z67" s="448"/>
      <c r="AA67" s="464"/>
      <c r="AD67" s="448"/>
      <c r="AE67" s="464"/>
      <c r="AH67" s="448"/>
      <c r="AI67" s="464"/>
      <c r="AL67" s="448"/>
      <c r="AP67" s="448"/>
    </row>
    <row r="68" spans="1:42" ht="13">
      <c r="A68" s="462"/>
      <c r="B68" s="462"/>
      <c r="C68" t="str">
        <f ca="1">Filtered!I60</f>
        <v>IEEE Transactions on Automatic Control</v>
      </c>
      <c r="D68" t="str">
        <f ca="1">Filtered!J60</f>
        <v>Physics &amp; Mathematics</v>
      </c>
      <c r="E68" t="str">
        <f ca="1">Filtered!L60</f>
        <v>Unsure</v>
      </c>
      <c r="F68" t="b">
        <f t="shared" ca="1" si="9"/>
        <v>0</v>
      </c>
      <c r="G68" t="b">
        <f t="shared" ca="1" si="10"/>
        <v>0</v>
      </c>
      <c r="H68" t="b">
        <f t="shared" ca="1" si="11"/>
        <v>0</v>
      </c>
      <c r="I68" t="b">
        <f t="shared" ca="1" si="12"/>
        <v>0</v>
      </c>
      <c r="J68" t="b">
        <f t="shared" ca="1" si="13"/>
        <v>0</v>
      </c>
      <c r="K68" t="b">
        <f t="shared" ca="1" si="14"/>
        <v>0</v>
      </c>
      <c r="L68" t="b">
        <f t="shared" ca="1" si="15"/>
        <v>1</v>
      </c>
      <c r="M68" t="b">
        <f t="shared" ca="1" si="16"/>
        <v>0</v>
      </c>
      <c r="N68" s="448"/>
      <c r="O68" s="464"/>
      <c r="R68" s="448"/>
      <c r="S68" s="464"/>
      <c r="V68" s="448"/>
      <c r="W68" s="464"/>
      <c r="Z68" s="448"/>
      <c r="AA68" s="464"/>
      <c r="AD68" s="448"/>
      <c r="AE68" s="464"/>
      <c r="AH68" s="448"/>
      <c r="AI68" s="464"/>
      <c r="AL68" s="448"/>
      <c r="AP68" s="448"/>
    </row>
    <row r="69" spans="1:42" ht="13">
      <c r="A69" s="462"/>
      <c r="B69" s="462"/>
      <c r="C69" t="str">
        <f ca="1">Filtered!I61</f>
        <v>IEEE Transactions on Industrial Electronics</v>
      </c>
      <c r="D69" t="str">
        <f ca="1">Filtered!J61</f>
        <v>Engineering &amp; Computer Science</v>
      </c>
      <c r="E69" t="str">
        <f ca="1">Filtered!L61</f>
        <v>Unsure</v>
      </c>
      <c r="F69" t="b">
        <f t="shared" ca="1" si="9"/>
        <v>0</v>
      </c>
      <c r="G69" t="b">
        <f t="shared" ca="1" si="10"/>
        <v>0</v>
      </c>
      <c r="H69" t="b">
        <f t="shared" ca="1" si="11"/>
        <v>1</v>
      </c>
      <c r="I69" t="b">
        <f t="shared" ca="1" si="12"/>
        <v>0</v>
      </c>
      <c r="J69" t="b">
        <f t="shared" ca="1" si="13"/>
        <v>0</v>
      </c>
      <c r="K69" t="b">
        <f t="shared" ca="1" si="14"/>
        <v>0</v>
      </c>
      <c r="L69" t="b">
        <f t="shared" ca="1" si="15"/>
        <v>0</v>
      </c>
      <c r="M69" t="b">
        <f t="shared" ca="1" si="16"/>
        <v>0</v>
      </c>
      <c r="N69" s="448"/>
      <c r="O69" s="464"/>
      <c r="R69" s="448"/>
      <c r="S69" s="464"/>
      <c r="V69" s="448"/>
      <c r="W69" s="464"/>
      <c r="Z69" s="448"/>
      <c r="AA69" s="464"/>
      <c r="AD69" s="448"/>
      <c r="AE69" s="464"/>
      <c r="AH69" s="448"/>
      <c r="AI69" s="464"/>
      <c r="AL69" s="448"/>
      <c r="AP69" s="448"/>
    </row>
    <row r="70" spans="1:42" ht="13">
      <c r="A70" s="462"/>
      <c r="B70" s="462"/>
      <c r="C70" t="str">
        <f ca="1">Filtered!I62</f>
        <v>IEEE Transactions on Pattern Analysis and Machine Intelligence</v>
      </c>
      <c r="D70" t="str">
        <f ca="1">Filtered!J62</f>
        <v/>
      </c>
      <c r="E70" t="str">
        <f ca="1">Filtered!L62</f>
        <v>Unsure</v>
      </c>
      <c r="F70" t="b">
        <f t="shared" ca="1" si="9"/>
        <v>0</v>
      </c>
      <c r="G70" t="b">
        <f t="shared" ca="1" si="10"/>
        <v>0</v>
      </c>
      <c r="H70" t="b">
        <f t="shared" ca="1" si="11"/>
        <v>0</v>
      </c>
      <c r="I70" t="b">
        <f t="shared" ca="1" si="12"/>
        <v>0</v>
      </c>
      <c r="J70" t="b">
        <f t="shared" ca="1" si="13"/>
        <v>0</v>
      </c>
      <c r="K70" t="b">
        <f t="shared" ca="1" si="14"/>
        <v>0</v>
      </c>
      <c r="L70" t="b">
        <f t="shared" ca="1" si="15"/>
        <v>0</v>
      </c>
      <c r="M70" t="b">
        <f t="shared" ca="1" si="16"/>
        <v>0</v>
      </c>
      <c r="N70" s="448"/>
      <c r="O70" s="464"/>
      <c r="R70" s="448"/>
      <c r="S70" s="464"/>
      <c r="V70" s="448"/>
      <c r="W70" s="464"/>
      <c r="Z70" s="448"/>
      <c r="AA70" s="464"/>
      <c r="AD70" s="448"/>
      <c r="AE70" s="464"/>
      <c r="AH70" s="448"/>
      <c r="AI70" s="464"/>
      <c r="AL70" s="448"/>
      <c r="AP70" s="448"/>
    </row>
    <row r="71" spans="1:42" ht="13">
      <c r="A71" s="462"/>
      <c r="B71" s="462"/>
      <c r="C71" t="str">
        <f ca="1">Filtered!I63</f>
        <v>IEEE Transactions on Power Electronics</v>
      </c>
      <c r="D71" t="str">
        <f ca="1">Filtered!J63</f>
        <v>Engineering &amp; Computer Science</v>
      </c>
      <c r="E71" t="str">
        <f ca="1">Filtered!L63</f>
        <v>Single blind</v>
      </c>
      <c r="F71" t="b">
        <f t="shared" ca="1" si="9"/>
        <v>0</v>
      </c>
      <c r="G71" t="b">
        <f t="shared" ca="1" si="10"/>
        <v>0</v>
      </c>
      <c r="H71" t="b">
        <f t="shared" ca="1" si="11"/>
        <v>1</v>
      </c>
      <c r="I71" t="b">
        <f t="shared" ca="1" si="12"/>
        <v>0</v>
      </c>
      <c r="J71" t="b">
        <f t="shared" ca="1" si="13"/>
        <v>0</v>
      </c>
      <c r="K71" t="b">
        <f t="shared" ca="1" si="14"/>
        <v>0</v>
      </c>
      <c r="L71" t="b">
        <f t="shared" ca="1" si="15"/>
        <v>0</v>
      </c>
      <c r="M71" t="b">
        <f t="shared" ca="1" si="16"/>
        <v>0</v>
      </c>
      <c r="N71" s="448"/>
      <c r="O71" s="464"/>
      <c r="R71" s="448"/>
      <c r="S71" s="464"/>
      <c r="V71" s="448"/>
      <c r="W71" s="464"/>
      <c r="Z71" s="448"/>
      <c r="AA71" s="464"/>
      <c r="AD71" s="448"/>
      <c r="AE71" s="464"/>
      <c r="AH71" s="448"/>
      <c r="AI71" s="464"/>
      <c r="AL71" s="448"/>
      <c r="AP71" s="448"/>
    </row>
    <row r="72" spans="1:42" ht="13">
      <c r="A72" s="462"/>
      <c r="B72" s="462"/>
      <c r="C72" t="str">
        <f ca="1">Filtered!I64</f>
        <v>IEEE Transactions on Signal Processing</v>
      </c>
      <c r="D72" t="str">
        <f ca="1">Filtered!J64</f>
        <v>Physics &amp; Mathematics</v>
      </c>
      <c r="E72" t="str">
        <f ca="1">Filtered!L64</f>
        <v>Single blind</v>
      </c>
      <c r="F72" t="b">
        <f t="shared" ca="1" si="9"/>
        <v>0</v>
      </c>
      <c r="G72" t="b">
        <f t="shared" ca="1" si="10"/>
        <v>0</v>
      </c>
      <c r="H72" t="b">
        <f t="shared" ca="1" si="11"/>
        <v>0</v>
      </c>
      <c r="I72" t="b">
        <f t="shared" ca="1" si="12"/>
        <v>0</v>
      </c>
      <c r="J72" t="b">
        <f t="shared" ca="1" si="13"/>
        <v>0</v>
      </c>
      <c r="K72" t="b">
        <f t="shared" ca="1" si="14"/>
        <v>0</v>
      </c>
      <c r="L72" t="b">
        <f t="shared" ca="1" si="15"/>
        <v>1</v>
      </c>
      <c r="M72" t="b">
        <f t="shared" ca="1" si="16"/>
        <v>0</v>
      </c>
      <c r="N72" s="448"/>
      <c r="O72" s="464"/>
      <c r="R72" s="448"/>
      <c r="S72" s="464"/>
      <c r="V72" s="448"/>
      <c r="W72" s="464"/>
      <c r="Z72" s="448"/>
      <c r="AA72" s="464"/>
      <c r="AD72" s="448"/>
      <c r="AE72" s="464"/>
      <c r="AH72" s="448"/>
      <c r="AI72" s="464"/>
      <c r="AL72" s="448"/>
      <c r="AP72" s="448"/>
    </row>
    <row r="73" spans="1:42" ht="13">
      <c r="A73" s="462"/>
      <c r="B73" s="462"/>
      <c r="C73" t="str">
        <f ca="1">Filtered!I65</f>
        <v>Immunity</v>
      </c>
      <c r="D73" t="str">
        <f ca="1">Filtered!J65</f>
        <v>Health &amp; Medical Sciences</v>
      </c>
      <c r="E73" t="str">
        <f ca="1">Filtered!L65</f>
        <v>Single blind</v>
      </c>
      <c r="F73" t="b">
        <f t="shared" ca="1" si="9"/>
        <v>0</v>
      </c>
      <c r="G73" t="b">
        <f t="shared" ca="1" si="10"/>
        <v>0</v>
      </c>
      <c r="H73" t="b">
        <f t="shared" ca="1" si="11"/>
        <v>0</v>
      </c>
      <c r="I73" t="b">
        <f t="shared" ca="1" si="12"/>
        <v>1</v>
      </c>
      <c r="J73" t="b">
        <f t="shared" ca="1" si="13"/>
        <v>0</v>
      </c>
      <c r="K73" t="b">
        <f t="shared" ca="1" si="14"/>
        <v>0</v>
      </c>
      <c r="L73" t="b">
        <f t="shared" ca="1" si="15"/>
        <v>0</v>
      </c>
      <c r="M73" t="b">
        <f t="shared" ca="1" si="16"/>
        <v>0</v>
      </c>
      <c r="N73" s="448"/>
      <c r="O73" s="464"/>
      <c r="R73" s="448"/>
      <c r="S73" s="464"/>
      <c r="V73" s="448"/>
      <c r="W73" s="464"/>
      <c r="Z73" s="448"/>
      <c r="AA73" s="464"/>
      <c r="AD73" s="448"/>
      <c r="AE73" s="464"/>
      <c r="AH73" s="448"/>
      <c r="AI73" s="464"/>
      <c r="AL73" s="448"/>
      <c r="AP73" s="448"/>
    </row>
    <row r="74" spans="1:42" ht="13">
      <c r="A74" s="462"/>
      <c r="B74" s="462"/>
      <c r="C74" t="str">
        <f ca="1">Filtered!I66</f>
        <v>International Journal of Communication</v>
      </c>
      <c r="D74" t="str">
        <f ca="1">Filtered!J66</f>
        <v>Humanities, Literature &amp; Arts</v>
      </c>
      <c r="E74" t="str">
        <f ca="1">Filtered!L66</f>
        <v>Unsure</v>
      </c>
      <c r="F74" t="b">
        <f t="shared" ca="1" si="9"/>
        <v>0</v>
      </c>
      <c r="G74" t="b">
        <f t="shared" ca="1" si="10"/>
        <v>0</v>
      </c>
      <c r="H74" t="b">
        <f t="shared" ca="1" si="11"/>
        <v>0</v>
      </c>
      <c r="I74" t="b">
        <f t="shared" ca="1" si="12"/>
        <v>0</v>
      </c>
      <c r="J74" t="b">
        <f t="shared" ca="1" si="13"/>
        <v>1</v>
      </c>
      <c r="K74" t="b">
        <f t="shared" ca="1" si="14"/>
        <v>0</v>
      </c>
      <c r="L74" t="b">
        <f t="shared" ca="1" si="15"/>
        <v>0</v>
      </c>
      <c r="M74" t="b">
        <f t="shared" ca="1" si="16"/>
        <v>0</v>
      </c>
      <c r="N74" s="448"/>
      <c r="O74" s="464"/>
      <c r="R74" s="448"/>
      <c r="S74" s="464"/>
      <c r="V74" s="448"/>
      <c r="W74" s="464"/>
      <c r="Z74" s="448"/>
      <c r="AA74" s="464"/>
      <c r="AD74" s="448"/>
      <c r="AE74" s="464"/>
      <c r="AH74" s="448"/>
      <c r="AI74" s="464"/>
      <c r="AL74" s="448"/>
      <c r="AP74" s="448"/>
    </row>
    <row r="75" spans="1:42" ht="13">
      <c r="A75" s="462"/>
      <c r="B75" s="462"/>
      <c r="C75" t="str">
        <f ca="1">Filtered!I67</f>
        <v>International Journal of Production Economics</v>
      </c>
      <c r="D75" t="str">
        <f ca="1">Filtered!J67</f>
        <v>Business, Economics &amp; Management</v>
      </c>
      <c r="E75" t="str">
        <f ca="1">Filtered!L67</f>
        <v>Double blind</v>
      </c>
      <c r="F75" t="b">
        <f t="shared" ca="1" si="9"/>
        <v>1</v>
      </c>
      <c r="G75" t="b">
        <f t="shared" ca="1" si="10"/>
        <v>0</v>
      </c>
      <c r="H75" t="b">
        <f t="shared" ca="1" si="11"/>
        <v>0</v>
      </c>
      <c r="I75" t="b">
        <f t="shared" ca="1" si="12"/>
        <v>0</v>
      </c>
      <c r="J75" t="b">
        <f t="shared" ca="1" si="13"/>
        <v>0</v>
      </c>
      <c r="K75" t="b">
        <f t="shared" ca="1" si="14"/>
        <v>0</v>
      </c>
      <c r="L75" t="b">
        <f t="shared" ca="1" si="15"/>
        <v>0</v>
      </c>
      <c r="M75" t="b">
        <f t="shared" ca="1" si="16"/>
        <v>0</v>
      </c>
      <c r="N75" s="448"/>
      <c r="O75" s="464"/>
      <c r="R75" s="448"/>
      <c r="S75" s="464"/>
      <c r="V75" s="448"/>
      <c r="W75" s="464"/>
      <c r="Z75" s="448"/>
      <c r="AA75" s="464"/>
      <c r="AD75" s="448"/>
      <c r="AE75" s="464"/>
      <c r="AH75" s="448"/>
      <c r="AI75" s="464"/>
      <c r="AL75" s="448"/>
      <c r="AP75" s="448"/>
    </row>
    <row r="76" spans="1:42" ht="13">
      <c r="A76" s="462"/>
      <c r="B76" s="462"/>
      <c r="C76" t="str">
        <f ca="1">Filtered!I68</f>
        <v>Journal of the American Medical Association</v>
      </c>
      <c r="D76" t="str">
        <f ca="1">Filtered!J68</f>
        <v>Health &amp; Medical Sciences</v>
      </c>
      <c r="E76" t="str">
        <f ca="1">Filtered!L68</f>
        <v>Single blind</v>
      </c>
      <c r="F76" t="b">
        <f t="shared" ca="1" si="9"/>
        <v>0</v>
      </c>
      <c r="G76" t="b">
        <f t="shared" ca="1" si="10"/>
        <v>0</v>
      </c>
      <c r="H76" t="b">
        <f t="shared" ca="1" si="11"/>
        <v>0</v>
      </c>
      <c r="I76" t="b">
        <f t="shared" ca="1" si="12"/>
        <v>1</v>
      </c>
      <c r="J76" t="b">
        <f t="shared" ca="1" si="13"/>
        <v>0</v>
      </c>
      <c r="K76" t="b">
        <f t="shared" ca="1" si="14"/>
        <v>0</v>
      </c>
      <c r="L76" t="b">
        <f t="shared" ca="1" si="15"/>
        <v>0</v>
      </c>
      <c r="M76" t="b">
        <f t="shared" ca="1" si="16"/>
        <v>0</v>
      </c>
      <c r="N76" s="448"/>
      <c r="O76" s="464"/>
      <c r="R76" s="448"/>
      <c r="S76" s="464"/>
      <c r="V76" s="448"/>
      <c r="W76" s="464"/>
      <c r="Z76" s="448"/>
      <c r="AA76" s="464"/>
      <c r="AD76" s="448"/>
      <c r="AE76" s="464"/>
      <c r="AH76" s="448"/>
      <c r="AI76" s="464"/>
      <c r="AL76" s="448"/>
      <c r="AP76" s="448"/>
    </row>
    <row r="77" spans="1:42" ht="13">
      <c r="A77" s="462"/>
      <c r="B77" s="462"/>
      <c r="C77" t="str">
        <f ca="1">Filtered!I69</f>
        <v>Journal of Allergy and Clinical Immunology</v>
      </c>
      <c r="D77" t="str">
        <f ca="1">Filtered!J69</f>
        <v/>
      </c>
      <c r="E77" t="str">
        <f ca="1">Filtered!L69</f>
        <v>Unsure</v>
      </c>
      <c r="F77" t="b">
        <f t="shared" ca="1" si="9"/>
        <v>0</v>
      </c>
      <c r="G77" t="b">
        <f t="shared" ca="1" si="10"/>
        <v>0</v>
      </c>
      <c r="H77" t="b">
        <f t="shared" ca="1" si="11"/>
        <v>0</v>
      </c>
      <c r="I77" t="b">
        <f t="shared" ca="1" si="12"/>
        <v>0</v>
      </c>
      <c r="J77" t="b">
        <f t="shared" ca="1" si="13"/>
        <v>0</v>
      </c>
      <c r="K77" t="b">
        <f t="shared" ca="1" si="14"/>
        <v>0</v>
      </c>
      <c r="L77" t="b">
        <f t="shared" ca="1" si="15"/>
        <v>0</v>
      </c>
      <c r="M77" t="b">
        <f t="shared" ca="1" si="16"/>
        <v>0</v>
      </c>
      <c r="N77" s="448"/>
      <c r="O77" s="464"/>
      <c r="R77" s="448"/>
      <c r="S77" s="464"/>
      <c r="V77" s="448"/>
      <c r="W77" s="464"/>
      <c r="Z77" s="448"/>
      <c r="AA77" s="464"/>
      <c r="AD77" s="448"/>
      <c r="AE77" s="464"/>
      <c r="AH77" s="448"/>
      <c r="AI77" s="464"/>
      <c r="AL77" s="448"/>
      <c r="AP77" s="448"/>
    </row>
    <row r="78" spans="1:42" ht="13">
      <c r="A78" s="462"/>
      <c r="B78" s="462"/>
      <c r="C78" t="str">
        <f ca="1">Filtered!I70</f>
        <v>Journal of Banking &amp; Finance</v>
      </c>
      <c r="D78" t="str">
        <f ca="1">Filtered!J70</f>
        <v>Business, Economics &amp; Management</v>
      </c>
      <c r="E78" t="str">
        <f ca="1">Filtered!L70</f>
        <v>Double blind</v>
      </c>
      <c r="F78" t="b">
        <f t="shared" ca="1" si="9"/>
        <v>1</v>
      </c>
      <c r="G78" t="b">
        <f t="shared" ca="1" si="10"/>
        <v>0</v>
      </c>
      <c r="H78" t="b">
        <f t="shared" ca="1" si="11"/>
        <v>0</v>
      </c>
      <c r="I78" t="b">
        <f t="shared" ca="1" si="12"/>
        <v>0</v>
      </c>
      <c r="J78" t="b">
        <f t="shared" ca="1" si="13"/>
        <v>0</v>
      </c>
      <c r="K78" t="b">
        <f t="shared" ca="1" si="14"/>
        <v>0</v>
      </c>
      <c r="L78" t="b">
        <f t="shared" ca="1" si="15"/>
        <v>0</v>
      </c>
      <c r="M78" t="b">
        <f t="shared" ca="1" si="16"/>
        <v>0</v>
      </c>
      <c r="N78" s="448"/>
      <c r="O78" s="464"/>
      <c r="R78" s="448"/>
      <c r="S78" s="464"/>
      <c r="V78" s="448"/>
      <c r="W78" s="464"/>
      <c r="Z78" s="448"/>
      <c r="AA78" s="464"/>
      <c r="AD78" s="448"/>
      <c r="AE78" s="464"/>
      <c r="AH78" s="448"/>
      <c r="AI78" s="464"/>
      <c r="AL78" s="448"/>
      <c r="AP78" s="448"/>
    </row>
    <row r="79" spans="1:42" ht="13">
      <c r="A79" s="462"/>
      <c r="B79" s="462"/>
      <c r="C79" t="str">
        <f ca="1">Filtered!I71</f>
        <v>Journal of Business Ethics</v>
      </c>
      <c r="D79" t="str">
        <f ca="1">Filtered!J71</f>
        <v>Business, Economics &amp; Management,
Social Sciences</v>
      </c>
      <c r="E79" t="str">
        <f ca="1">Filtered!L71</f>
        <v>Double blind</v>
      </c>
      <c r="F79" t="b">
        <f t="shared" ca="1" si="9"/>
        <v>1</v>
      </c>
      <c r="G79" t="b">
        <f t="shared" ca="1" si="10"/>
        <v>0</v>
      </c>
      <c r="H79" t="b">
        <f t="shared" ca="1" si="11"/>
        <v>0</v>
      </c>
      <c r="I79" t="b">
        <f t="shared" ca="1" si="12"/>
        <v>0</v>
      </c>
      <c r="J79" t="b">
        <f t="shared" ca="1" si="13"/>
        <v>0</v>
      </c>
      <c r="K79" t="b">
        <f t="shared" ca="1" si="14"/>
        <v>0</v>
      </c>
      <c r="L79" t="b">
        <f t="shared" ca="1" si="15"/>
        <v>0</v>
      </c>
      <c r="M79" t="b">
        <f t="shared" ca="1" si="16"/>
        <v>1</v>
      </c>
      <c r="N79" s="448"/>
      <c r="O79" s="464"/>
      <c r="R79" s="448"/>
      <c r="S79" s="464"/>
      <c r="V79" s="448"/>
      <c r="W79" s="464"/>
      <c r="Z79" s="448"/>
      <c r="AA79" s="464"/>
      <c r="AD79" s="448"/>
      <c r="AE79" s="464"/>
      <c r="AH79" s="448"/>
      <c r="AI79" s="464"/>
      <c r="AL79" s="448"/>
      <c r="AP79" s="448"/>
    </row>
    <row r="80" spans="1:42" ht="13">
      <c r="A80" s="462"/>
      <c r="B80" s="462"/>
      <c r="C80" t="str">
        <f ca="1">Filtered!I72</f>
        <v>Journal of Business Research</v>
      </c>
      <c r="D80" t="str">
        <f ca="1">Filtered!J72</f>
        <v>Business, Economics &amp; Management</v>
      </c>
      <c r="E80" t="str">
        <f ca="1">Filtered!L72</f>
        <v>Double blind</v>
      </c>
      <c r="F80" t="b">
        <f t="shared" ca="1" si="9"/>
        <v>1</v>
      </c>
      <c r="G80" t="b">
        <f t="shared" ca="1" si="10"/>
        <v>0</v>
      </c>
      <c r="H80" t="b">
        <f t="shared" ca="1" si="11"/>
        <v>0</v>
      </c>
      <c r="I80" t="b">
        <f t="shared" ca="1" si="12"/>
        <v>0</v>
      </c>
      <c r="J80" t="b">
        <f t="shared" ca="1" si="13"/>
        <v>0</v>
      </c>
      <c r="K80" t="b">
        <f t="shared" ca="1" si="14"/>
        <v>0</v>
      </c>
      <c r="L80" t="b">
        <f t="shared" ca="1" si="15"/>
        <v>0</v>
      </c>
      <c r="M80" t="b">
        <f t="shared" ca="1" si="16"/>
        <v>0</v>
      </c>
      <c r="N80" s="448"/>
      <c r="O80" s="464"/>
      <c r="R80" s="448"/>
      <c r="S80" s="464"/>
      <c r="V80" s="448"/>
      <c r="W80" s="464"/>
      <c r="Z80" s="448"/>
      <c r="AA80" s="464"/>
      <c r="AD80" s="448"/>
      <c r="AE80" s="464"/>
      <c r="AH80" s="448"/>
      <c r="AI80" s="464"/>
      <c r="AL80" s="448"/>
      <c r="AP80" s="448"/>
    </row>
    <row r="81" spans="1:42" ht="13">
      <c r="A81" s="462"/>
      <c r="B81" s="462"/>
      <c r="C81" t="str">
        <f ca="1">Filtered!I73</f>
        <v>Journal of Cleaner Production</v>
      </c>
      <c r="D81" t="str">
        <f ca="1">Filtered!J73</f>
        <v/>
      </c>
      <c r="E81" t="str">
        <f ca="1">Filtered!L73</f>
        <v>Single blind</v>
      </c>
      <c r="F81" t="b">
        <f t="shared" ca="1" si="9"/>
        <v>0</v>
      </c>
      <c r="G81" t="b">
        <f t="shared" ca="1" si="10"/>
        <v>0</v>
      </c>
      <c r="H81" t="b">
        <f t="shared" ca="1" si="11"/>
        <v>0</v>
      </c>
      <c r="I81" t="b">
        <f t="shared" ca="1" si="12"/>
        <v>0</v>
      </c>
      <c r="J81" t="b">
        <f t="shared" ca="1" si="13"/>
        <v>0</v>
      </c>
      <c r="K81" t="b">
        <f t="shared" ca="1" si="14"/>
        <v>0</v>
      </c>
      <c r="L81" t="b">
        <f t="shared" ca="1" si="15"/>
        <v>0</v>
      </c>
      <c r="M81" t="b">
        <f t="shared" ca="1" si="16"/>
        <v>0</v>
      </c>
      <c r="N81" s="448"/>
      <c r="O81" s="464"/>
      <c r="R81" s="448"/>
      <c r="S81" s="464"/>
      <c r="V81" s="448"/>
      <c r="W81" s="464"/>
      <c r="Z81" s="448"/>
      <c r="AA81" s="464"/>
      <c r="AD81" s="448"/>
      <c r="AE81" s="464"/>
      <c r="AH81" s="448"/>
      <c r="AI81" s="464"/>
      <c r="AL81" s="448"/>
      <c r="AP81" s="448"/>
    </row>
    <row r="82" spans="1:42" ht="13">
      <c r="A82" s="462"/>
      <c r="B82" s="462"/>
      <c r="C82" t="str">
        <f ca="1">Filtered!I74</f>
        <v>Journal of Clinical Oncology</v>
      </c>
      <c r="D82" t="str">
        <f ca="1">Filtered!J74</f>
        <v>Health &amp; Medical Sciences</v>
      </c>
      <c r="E82" t="str">
        <f ca="1">Filtered!L74</f>
        <v>Single blind</v>
      </c>
      <c r="F82" t="b">
        <f t="shared" ca="1" si="9"/>
        <v>0</v>
      </c>
      <c r="G82" t="b">
        <f t="shared" ca="1" si="10"/>
        <v>0</v>
      </c>
      <c r="H82" t="b">
        <f t="shared" ca="1" si="11"/>
        <v>0</v>
      </c>
      <c r="I82" t="b">
        <f t="shared" ca="1" si="12"/>
        <v>1</v>
      </c>
      <c r="J82" t="b">
        <f t="shared" ca="1" si="13"/>
        <v>0</v>
      </c>
      <c r="K82" t="b">
        <f t="shared" ca="1" si="14"/>
        <v>0</v>
      </c>
      <c r="L82" t="b">
        <f t="shared" ca="1" si="15"/>
        <v>0</v>
      </c>
      <c r="M82" t="b">
        <f t="shared" ca="1" si="16"/>
        <v>0</v>
      </c>
      <c r="N82" s="448"/>
      <c r="O82" s="464"/>
      <c r="R82" s="448"/>
      <c r="S82" s="464"/>
      <c r="V82" s="448"/>
      <c r="W82" s="464"/>
      <c r="Z82" s="448"/>
      <c r="AA82" s="464"/>
      <c r="AD82" s="448"/>
      <c r="AE82" s="464"/>
      <c r="AH82" s="448"/>
      <c r="AI82" s="464"/>
      <c r="AL82" s="448"/>
      <c r="AP82" s="448"/>
    </row>
    <row r="83" spans="1:42" ht="13">
      <c r="A83" s="462"/>
      <c r="B83" s="462"/>
      <c r="C83" t="str">
        <f ca="1">Filtered!I75</f>
        <v>Journal of Communication</v>
      </c>
      <c r="D83" t="str">
        <f ca="1">Filtered!J75</f>
        <v>Humanities, Literature &amp; Arts</v>
      </c>
      <c r="E83" t="str">
        <f ca="1">Filtered!L75</f>
        <v>Unsure</v>
      </c>
      <c r="F83" t="b">
        <f t="shared" ca="1" si="9"/>
        <v>0</v>
      </c>
      <c r="G83" t="b">
        <f t="shared" ca="1" si="10"/>
        <v>0</v>
      </c>
      <c r="H83" t="b">
        <f t="shared" ca="1" si="11"/>
        <v>0</v>
      </c>
      <c r="I83" t="b">
        <f t="shared" ca="1" si="12"/>
        <v>0</v>
      </c>
      <c r="J83" t="b">
        <f t="shared" ca="1" si="13"/>
        <v>1</v>
      </c>
      <c r="K83" t="b">
        <f t="shared" ca="1" si="14"/>
        <v>0</v>
      </c>
      <c r="L83" t="b">
        <f t="shared" ca="1" si="15"/>
        <v>0</v>
      </c>
      <c r="M83" t="b">
        <f t="shared" ca="1" si="16"/>
        <v>0</v>
      </c>
      <c r="N83" s="448"/>
      <c r="O83" s="464"/>
      <c r="R83" s="448"/>
      <c r="S83" s="464"/>
      <c r="V83" s="448"/>
      <c r="W83" s="464"/>
      <c r="Z83" s="448"/>
      <c r="AA83" s="464"/>
      <c r="AD83" s="448"/>
      <c r="AE83" s="464"/>
      <c r="AH83" s="448"/>
      <c r="AI83" s="464"/>
      <c r="AL83" s="448"/>
      <c r="AP83" s="448"/>
    </row>
    <row r="84" spans="1:42" ht="13">
      <c r="A84" s="462"/>
      <c r="B84" s="462"/>
      <c r="C84" t="str">
        <f ca="1">Filtered!I76</f>
        <v>Journal of Cosmology and Astroparticle Physics</v>
      </c>
      <c r="D84" t="str">
        <f ca="1">Filtered!J76</f>
        <v>Physics &amp; Mathematics</v>
      </c>
      <c r="E84" t="str">
        <f ca="1">Filtered!L76</f>
        <v>Single blind</v>
      </c>
      <c r="F84" t="b">
        <f t="shared" ca="1" si="9"/>
        <v>0</v>
      </c>
      <c r="G84" t="b">
        <f t="shared" ca="1" si="10"/>
        <v>0</v>
      </c>
      <c r="H84" t="b">
        <f t="shared" ca="1" si="11"/>
        <v>0</v>
      </c>
      <c r="I84" t="b">
        <f t="shared" ca="1" si="12"/>
        <v>0</v>
      </c>
      <c r="J84" t="b">
        <f t="shared" ca="1" si="13"/>
        <v>0</v>
      </c>
      <c r="K84" t="b">
        <f t="shared" ca="1" si="14"/>
        <v>0</v>
      </c>
      <c r="L84" t="b">
        <f t="shared" ca="1" si="15"/>
        <v>1</v>
      </c>
      <c r="M84" t="b">
        <f t="shared" ca="1" si="16"/>
        <v>0</v>
      </c>
      <c r="N84" s="448"/>
      <c r="O84" s="464"/>
      <c r="R84" s="448"/>
      <c r="S84" s="464"/>
      <c r="V84" s="448"/>
      <c r="W84" s="464"/>
      <c r="Z84" s="448"/>
      <c r="AA84" s="464"/>
      <c r="AD84" s="448"/>
      <c r="AE84" s="464"/>
      <c r="AH84" s="448"/>
      <c r="AI84" s="464"/>
      <c r="AL84" s="448"/>
      <c r="AP84" s="448"/>
    </row>
    <row r="85" spans="1:42" ht="13">
      <c r="A85" s="462"/>
      <c r="B85" s="462"/>
      <c r="C85" t="str">
        <f ca="1">Filtered!I77</f>
        <v>Journal of Economic Perspectives</v>
      </c>
      <c r="D85" t="str">
        <f ca="1">Filtered!J77</f>
        <v>Business, Economics &amp; Management</v>
      </c>
      <c r="E85" t="str">
        <f ca="1">Filtered!L77</f>
        <v>Unsure</v>
      </c>
      <c r="F85" t="b">
        <f t="shared" ca="1" si="9"/>
        <v>1</v>
      </c>
      <c r="G85" t="b">
        <f t="shared" ca="1" si="10"/>
        <v>0</v>
      </c>
      <c r="H85" t="b">
        <f t="shared" ca="1" si="11"/>
        <v>0</v>
      </c>
      <c r="I85" t="b">
        <f t="shared" ca="1" si="12"/>
        <v>0</v>
      </c>
      <c r="J85" t="b">
        <f t="shared" ca="1" si="13"/>
        <v>0</v>
      </c>
      <c r="K85" t="b">
        <f t="shared" ca="1" si="14"/>
        <v>0</v>
      </c>
      <c r="L85" t="b">
        <f t="shared" ca="1" si="15"/>
        <v>0</v>
      </c>
      <c r="M85" t="b">
        <f t="shared" ca="1" si="16"/>
        <v>0</v>
      </c>
      <c r="N85" s="448"/>
      <c r="O85" s="464"/>
      <c r="R85" s="448"/>
      <c r="S85" s="464"/>
      <c r="V85" s="448"/>
      <c r="W85" s="464"/>
      <c r="Z85" s="448"/>
      <c r="AA85" s="464"/>
      <c r="AD85" s="448"/>
      <c r="AE85" s="464"/>
      <c r="AH85" s="448"/>
      <c r="AI85" s="464"/>
      <c r="AL85" s="448"/>
      <c r="AP85" s="448"/>
    </row>
    <row r="86" spans="1:42" ht="13">
      <c r="A86" s="462"/>
      <c r="B86" s="462"/>
      <c r="C86" t="str">
        <f ca="1">Filtered!I78</f>
        <v>Journal of Educational Psychology</v>
      </c>
      <c r="D86" t="str">
        <f ca="1">Filtered!J78</f>
        <v>Social Sciences</v>
      </c>
      <c r="E86" t="str">
        <f ca="1">Filtered!L78</f>
        <v>Double blind</v>
      </c>
      <c r="F86" t="b">
        <f t="shared" ca="1" si="9"/>
        <v>0</v>
      </c>
      <c r="G86" t="b">
        <f t="shared" ca="1" si="10"/>
        <v>0</v>
      </c>
      <c r="H86" t="b">
        <f t="shared" ca="1" si="11"/>
        <v>0</v>
      </c>
      <c r="I86" t="b">
        <f t="shared" ca="1" si="12"/>
        <v>0</v>
      </c>
      <c r="J86" t="b">
        <f t="shared" ca="1" si="13"/>
        <v>0</v>
      </c>
      <c r="K86" t="b">
        <f t="shared" ca="1" si="14"/>
        <v>0</v>
      </c>
      <c r="L86" t="b">
        <f t="shared" ca="1" si="15"/>
        <v>0</v>
      </c>
      <c r="M86" t="b">
        <f t="shared" ca="1" si="16"/>
        <v>1</v>
      </c>
      <c r="N86" s="448"/>
      <c r="O86" s="464"/>
      <c r="R86" s="448"/>
      <c r="S86" s="464"/>
      <c r="V86" s="448"/>
      <c r="W86" s="464"/>
      <c r="Z86" s="448"/>
      <c r="AA86" s="464"/>
      <c r="AD86" s="448"/>
      <c r="AE86" s="464"/>
      <c r="AH86" s="448"/>
      <c r="AI86" s="464"/>
      <c r="AL86" s="448"/>
      <c r="AP86" s="448"/>
    </row>
    <row r="87" spans="1:42" ht="13">
      <c r="A87" s="462"/>
      <c r="B87" s="462"/>
      <c r="C87" t="str">
        <f ca="1">Filtered!I79</f>
        <v>Journal of Financial Economics</v>
      </c>
      <c r="D87" t="str">
        <f ca="1">Filtered!J79</f>
        <v>Business, Economics &amp; Management</v>
      </c>
      <c r="E87" t="str">
        <f ca="1">Filtered!L79</f>
        <v>Unsure</v>
      </c>
      <c r="F87" t="b">
        <f t="shared" ca="1" si="9"/>
        <v>1</v>
      </c>
      <c r="G87" t="b">
        <f t="shared" ca="1" si="10"/>
        <v>0</v>
      </c>
      <c r="H87" t="b">
        <f t="shared" ca="1" si="11"/>
        <v>0</v>
      </c>
      <c r="I87" t="b">
        <f t="shared" ca="1" si="12"/>
        <v>0</v>
      </c>
      <c r="J87" t="b">
        <f t="shared" ca="1" si="13"/>
        <v>0</v>
      </c>
      <c r="K87" t="b">
        <f t="shared" ca="1" si="14"/>
        <v>0</v>
      </c>
      <c r="L87" t="b">
        <f t="shared" ca="1" si="15"/>
        <v>0</v>
      </c>
      <c r="M87" t="b">
        <f t="shared" ca="1" si="16"/>
        <v>0</v>
      </c>
      <c r="N87" s="448"/>
      <c r="O87" s="464"/>
      <c r="R87" s="448"/>
      <c r="S87" s="464"/>
      <c r="V87" s="448"/>
      <c r="W87" s="464"/>
      <c r="Z87" s="448"/>
      <c r="AA87" s="464"/>
      <c r="AD87" s="448"/>
      <c r="AE87" s="464"/>
      <c r="AH87" s="448"/>
      <c r="AI87" s="464"/>
      <c r="AL87" s="448"/>
      <c r="AP87" s="448"/>
    </row>
    <row r="88" spans="1:42" ht="13">
      <c r="A88" s="462"/>
      <c r="B88" s="462"/>
      <c r="C88" t="str">
        <f ca="1">Filtered!I80</f>
        <v>Journal of Geophysical Research</v>
      </c>
      <c r="D88" t="str">
        <f ca="1">Filtered!J80</f>
        <v>Physics &amp; Mathematics</v>
      </c>
      <c r="E88" t="str">
        <f ca="1">Filtered!L80</f>
        <v>Unsure</v>
      </c>
      <c r="F88" t="b">
        <f t="shared" ca="1" si="9"/>
        <v>0</v>
      </c>
      <c r="G88" t="b">
        <f t="shared" ca="1" si="10"/>
        <v>0</v>
      </c>
      <c r="H88" t="b">
        <f t="shared" ca="1" si="11"/>
        <v>0</v>
      </c>
      <c r="I88" t="b">
        <f t="shared" ca="1" si="12"/>
        <v>0</v>
      </c>
      <c r="J88" t="b">
        <f t="shared" ca="1" si="13"/>
        <v>0</v>
      </c>
      <c r="K88" t="b">
        <f t="shared" ca="1" si="14"/>
        <v>0</v>
      </c>
      <c r="L88" t="b">
        <f t="shared" ca="1" si="15"/>
        <v>1</v>
      </c>
      <c r="M88" t="b">
        <f t="shared" ca="1" si="16"/>
        <v>0</v>
      </c>
      <c r="N88" s="448"/>
      <c r="O88" s="464"/>
      <c r="R88" s="448"/>
      <c r="S88" s="464"/>
      <c r="V88" s="448"/>
      <c r="W88" s="464"/>
      <c r="Z88" s="448"/>
      <c r="AA88" s="464"/>
      <c r="AD88" s="448"/>
      <c r="AE88" s="464"/>
      <c r="AH88" s="448"/>
      <c r="AI88" s="464"/>
      <c r="AL88" s="448"/>
      <c r="AP88" s="448"/>
    </row>
    <row r="89" spans="1:42" ht="13">
      <c r="A89" s="462"/>
      <c r="B89" s="462"/>
      <c r="C89" t="str">
        <f ca="1">Filtered!I81</f>
        <v>Journal of Hepatology</v>
      </c>
      <c r="D89" t="str">
        <f ca="1">Filtered!J81</f>
        <v/>
      </c>
      <c r="E89" t="str">
        <f ca="1">Filtered!L81</f>
        <v>Unsure</v>
      </c>
      <c r="F89" t="b">
        <f t="shared" ca="1" si="9"/>
        <v>0</v>
      </c>
      <c r="G89" t="b">
        <f t="shared" ca="1" si="10"/>
        <v>0</v>
      </c>
      <c r="H89" t="b">
        <f t="shared" ca="1" si="11"/>
        <v>0</v>
      </c>
      <c r="I89" t="b">
        <f t="shared" ca="1" si="12"/>
        <v>0</v>
      </c>
      <c r="J89" t="b">
        <f t="shared" ca="1" si="13"/>
        <v>0</v>
      </c>
      <c r="K89" t="b">
        <f t="shared" ca="1" si="14"/>
        <v>0</v>
      </c>
      <c r="L89" t="b">
        <f t="shared" ca="1" si="15"/>
        <v>0</v>
      </c>
      <c r="M89" t="b">
        <f t="shared" ca="1" si="16"/>
        <v>0</v>
      </c>
      <c r="N89" s="448"/>
      <c r="O89" s="464"/>
      <c r="R89" s="448"/>
      <c r="S89" s="464"/>
      <c r="V89" s="448"/>
      <c r="W89" s="464"/>
      <c r="Z89" s="448"/>
      <c r="AA89" s="464"/>
      <c r="AD89" s="448"/>
      <c r="AE89" s="464"/>
      <c r="AH89" s="448"/>
      <c r="AI89" s="464"/>
      <c r="AL89" s="448"/>
      <c r="AP89" s="448"/>
    </row>
    <row r="90" spans="1:42" ht="13">
      <c r="A90" s="462"/>
      <c r="B90" s="462"/>
      <c r="C90" t="str">
        <f ca="1">Filtered!I82</f>
        <v>Journal of High Energy Physics</v>
      </c>
      <c r="D90" t="str">
        <f ca="1">Filtered!J82</f>
        <v>Physics &amp; Mathematics</v>
      </c>
      <c r="E90" t="str">
        <f ca="1">Filtered!L82</f>
        <v>Single-blind</v>
      </c>
      <c r="F90" t="b">
        <f t="shared" ca="1" si="9"/>
        <v>0</v>
      </c>
      <c r="G90" t="b">
        <f t="shared" ca="1" si="10"/>
        <v>0</v>
      </c>
      <c r="H90" t="b">
        <f t="shared" ca="1" si="11"/>
        <v>0</v>
      </c>
      <c r="I90" t="b">
        <f t="shared" ca="1" si="12"/>
        <v>0</v>
      </c>
      <c r="J90" t="b">
        <f t="shared" ca="1" si="13"/>
        <v>0</v>
      </c>
      <c r="K90" t="b">
        <f t="shared" ca="1" si="14"/>
        <v>0</v>
      </c>
      <c r="L90" t="b">
        <f t="shared" ca="1" si="15"/>
        <v>1</v>
      </c>
      <c r="M90" t="b">
        <f t="shared" ca="1" si="16"/>
        <v>0</v>
      </c>
      <c r="N90" s="448"/>
      <c r="O90" s="464"/>
      <c r="R90" s="448"/>
      <c r="S90" s="464"/>
      <c r="V90" s="448"/>
      <c r="W90" s="464"/>
      <c r="Z90" s="448"/>
      <c r="AA90" s="464"/>
      <c r="AD90" s="448"/>
      <c r="AE90" s="464"/>
      <c r="AH90" s="448"/>
      <c r="AI90" s="464"/>
      <c r="AL90" s="448"/>
      <c r="AP90" s="448"/>
    </row>
    <row r="91" spans="1:42" ht="13">
      <c r="A91" s="462"/>
      <c r="B91" s="462"/>
      <c r="C91" t="str">
        <f ca="1">Filtered!I83</f>
        <v>Journal of Management</v>
      </c>
      <c r="D91" t="str">
        <f ca="1">Filtered!J83</f>
        <v>Business, Economics &amp; Management</v>
      </c>
      <c r="E91" t="str">
        <f ca="1">Filtered!L83</f>
        <v>Double blind</v>
      </c>
      <c r="F91" t="b">
        <f t="shared" ca="1" si="9"/>
        <v>1</v>
      </c>
      <c r="G91" t="b">
        <f t="shared" ca="1" si="10"/>
        <v>0</v>
      </c>
      <c r="H91" t="b">
        <f t="shared" ca="1" si="11"/>
        <v>0</v>
      </c>
      <c r="I91" t="b">
        <f t="shared" ca="1" si="12"/>
        <v>0</v>
      </c>
      <c r="J91" t="b">
        <f t="shared" ca="1" si="13"/>
        <v>0</v>
      </c>
      <c r="K91" t="b">
        <f t="shared" ca="1" si="14"/>
        <v>0</v>
      </c>
      <c r="L91" t="b">
        <f t="shared" ca="1" si="15"/>
        <v>0</v>
      </c>
      <c r="M91" t="b">
        <f t="shared" ca="1" si="16"/>
        <v>0</v>
      </c>
      <c r="N91" s="448"/>
      <c r="O91" s="464"/>
      <c r="R91" s="448"/>
      <c r="S91" s="464"/>
      <c r="V91" s="448"/>
      <c r="W91" s="464"/>
      <c r="Z91" s="448"/>
      <c r="AA91" s="464"/>
      <c r="AD91" s="448"/>
      <c r="AE91" s="464"/>
      <c r="AH91" s="448"/>
      <c r="AI91" s="464"/>
      <c r="AL91" s="448"/>
      <c r="AP91" s="448"/>
    </row>
    <row r="92" spans="1:42" ht="13">
      <c r="A92" s="462"/>
      <c r="B92" s="462"/>
      <c r="C92" t="str">
        <f ca="1">Filtered!I84</f>
        <v>Journal of Materials Chemistry. A</v>
      </c>
      <c r="D92" t="str">
        <f ca="1">Filtered!J84</f>
        <v>Chemical &amp; Materials Sciences, Engineering &amp; Computer Science</v>
      </c>
      <c r="E92" t="str">
        <f ca="1">Filtered!L84</f>
        <v>Single blind</v>
      </c>
      <c r="F92" t="b">
        <f t="shared" ca="1" si="9"/>
        <v>0</v>
      </c>
      <c r="G92" t="b">
        <f t="shared" ca="1" si="10"/>
        <v>1</v>
      </c>
      <c r="H92" t="b">
        <f t="shared" ca="1" si="11"/>
        <v>1</v>
      </c>
      <c r="I92" t="b">
        <f t="shared" ca="1" si="12"/>
        <v>0</v>
      </c>
      <c r="J92" t="b">
        <f t="shared" ca="1" si="13"/>
        <v>0</v>
      </c>
      <c r="K92" t="b">
        <f t="shared" ca="1" si="14"/>
        <v>0</v>
      </c>
      <c r="L92" t="b">
        <f t="shared" ca="1" si="15"/>
        <v>0</v>
      </c>
      <c r="M92" t="b">
        <f t="shared" ca="1" si="16"/>
        <v>0</v>
      </c>
      <c r="N92" s="448"/>
      <c r="O92" s="464"/>
      <c r="R92" s="448"/>
      <c r="S92" s="464"/>
      <c r="V92" s="448"/>
      <c r="W92" s="464"/>
      <c r="Z92" s="448"/>
      <c r="AA92" s="464"/>
      <c r="AD92" s="448"/>
      <c r="AE92" s="464"/>
      <c r="AH92" s="448"/>
      <c r="AI92" s="464"/>
      <c r="AL92" s="448"/>
      <c r="AP92" s="448"/>
    </row>
    <row r="93" spans="1:42" ht="13">
      <c r="A93" s="462"/>
      <c r="B93" s="462"/>
      <c r="C93" t="str">
        <f ca="1">Filtered!I85</f>
        <v>Journal of Pragmatics</v>
      </c>
      <c r="D93" t="str">
        <f ca="1">Filtered!J85</f>
        <v>Humanities, Literature &amp; Arts</v>
      </c>
      <c r="E93" t="str">
        <f ca="1">Filtered!L85</f>
        <v>Double blind</v>
      </c>
      <c r="F93" t="b">
        <f t="shared" ca="1" si="9"/>
        <v>0</v>
      </c>
      <c r="G93" t="b">
        <f t="shared" ca="1" si="10"/>
        <v>0</v>
      </c>
      <c r="H93" t="b">
        <f t="shared" ca="1" si="11"/>
        <v>0</v>
      </c>
      <c r="I93" t="b">
        <f t="shared" ca="1" si="12"/>
        <v>0</v>
      </c>
      <c r="J93" t="b">
        <f t="shared" ca="1" si="13"/>
        <v>1</v>
      </c>
      <c r="K93" t="b">
        <f t="shared" ca="1" si="14"/>
        <v>0</v>
      </c>
      <c r="L93" t="b">
        <f t="shared" ca="1" si="15"/>
        <v>0</v>
      </c>
      <c r="M93" t="b">
        <f t="shared" ca="1" si="16"/>
        <v>0</v>
      </c>
      <c r="N93" s="448"/>
      <c r="O93" s="464"/>
      <c r="R93" s="448"/>
      <c r="S93" s="464"/>
      <c r="V93" s="448"/>
      <c r="W93" s="464"/>
      <c r="Z93" s="448"/>
      <c r="AA93" s="464"/>
      <c r="AD93" s="448"/>
      <c r="AE93" s="464"/>
      <c r="AH93" s="448"/>
      <c r="AI93" s="464"/>
      <c r="AL93" s="448"/>
      <c r="AP93" s="448"/>
    </row>
    <row r="94" spans="1:42" ht="13">
      <c r="A94" s="462"/>
      <c r="B94" s="462"/>
      <c r="C94" t="str">
        <f ca="1">Filtered!I86</f>
        <v>Journal of the American Chemical Society</v>
      </c>
      <c r="D94" t="str">
        <f ca="1">Filtered!J86</f>
        <v>Chemical &amp; Materials Sciences</v>
      </c>
      <c r="E94" t="str">
        <f ca="1">Filtered!L86</f>
        <v>Single blind</v>
      </c>
      <c r="F94" t="b">
        <f t="shared" ca="1" si="9"/>
        <v>0</v>
      </c>
      <c r="G94" t="b">
        <f t="shared" ca="1" si="10"/>
        <v>1</v>
      </c>
      <c r="H94" t="b">
        <f t="shared" ca="1" si="11"/>
        <v>0</v>
      </c>
      <c r="I94" t="b">
        <f t="shared" ca="1" si="12"/>
        <v>0</v>
      </c>
      <c r="J94" t="b">
        <f t="shared" ca="1" si="13"/>
        <v>0</v>
      </c>
      <c r="K94" t="b">
        <f t="shared" ca="1" si="14"/>
        <v>0</v>
      </c>
      <c r="L94" t="b">
        <f t="shared" ca="1" si="15"/>
        <v>0</v>
      </c>
      <c r="M94" t="b">
        <f t="shared" ca="1" si="16"/>
        <v>0</v>
      </c>
      <c r="N94" s="448"/>
      <c r="O94" s="464"/>
      <c r="R94" s="448"/>
      <c r="S94" s="464"/>
      <c r="V94" s="448"/>
      <c r="W94" s="464"/>
      <c r="Z94" s="448"/>
      <c r="AA94" s="464"/>
      <c r="AD94" s="448"/>
      <c r="AE94" s="464"/>
      <c r="AH94" s="448"/>
      <c r="AI94" s="464"/>
      <c r="AL94" s="448"/>
      <c r="AP94" s="448"/>
    </row>
    <row r="95" spans="1:42" ht="13">
      <c r="A95" s="462"/>
      <c r="B95" s="462"/>
      <c r="C95" t="str">
        <f ca="1">Filtered!I87</f>
        <v>Journal of the American College of Cardiology</v>
      </c>
      <c r="D95" t="str">
        <f ca="1">Filtered!J87</f>
        <v>Health &amp; Medical Sciences</v>
      </c>
      <c r="E95" t="str">
        <f ca="1">Filtered!L87</f>
        <v>Single blind</v>
      </c>
      <c r="F95" t="b">
        <f t="shared" ca="1" si="9"/>
        <v>0</v>
      </c>
      <c r="G95" t="b">
        <f t="shared" ca="1" si="10"/>
        <v>0</v>
      </c>
      <c r="H95" t="b">
        <f t="shared" ca="1" si="11"/>
        <v>0</v>
      </c>
      <c r="I95" t="b">
        <f t="shared" ca="1" si="12"/>
        <v>1</v>
      </c>
      <c r="J95" t="b">
        <f t="shared" ca="1" si="13"/>
        <v>0</v>
      </c>
      <c r="K95" t="b">
        <f t="shared" ca="1" si="14"/>
        <v>0</v>
      </c>
      <c r="L95" t="b">
        <f t="shared" ca="1" si="15"/>
        <v>0</v>
      </c>
      <c r="M95" t="b">
        <f t="shared" ca="1" si="16"/>
        <v>0</v>
      </c>
      <c r="N95" s="448"/>
      <c r="O95" s="464"/>
      <c r="R95" s="448"/>
      <c r="S95" s="464"/>
      <c r="V95" s="448"/>
      <c r="W95" s="464"/>
      <c r="Z95" s="448"/>
      <c r="AA95" s="464"/>
      <c r="AD95" s="448"/>
      <c r="AE95" s="464"/>
      <c r="AH95" s="448"/>
      <c r="AI95" s="464"/>
      <c r="AL95" s="448"/>
      <c r="AP95" s="448"/>
    </row>
    <row r="96" spans="1:42" ht="13">
      <c r="A96" s="462"/>
      <c r="B96" s="462"/>
      <c r="C96" t="str">
        <f ca="1">Filtered!I88</f>
        <v>Journal of Youth and Adolescence</v>
      </c>
      <c r="D96" t="str">
        <f ca="1">Filtered!J88</f>
        <v>Social Sciences</v>
      </c>
      <c r="E96" t="str">
        <f ca="1">Filtered!L88</f>
        <v>Double blind</v>
      </c>
      <c r="F96" t="b">
        <f t="shared" ca="1" si="9"/>
        <v>0</v>
      </c>
      <c r="G96" t="b">
        <f t="shared" ca="1" si="10"/>
        <v>0</v>
      </c>
      <c r="H96" t="b">
        <f t="shared" ca="1" si="11"/>
        <v>0</v>
      </c>
      <c r="I96" t="b">
        <f t="shared" ca="1" si="12"/>
        <v>0</v>
      </c>
      <c r="J96" t="b">
        <f t="shared" ca="1" si="13"/>
        <v>0</v>
      </c>
      <c r="K96" t="b">
        <f t="shared" ca="1" si="14"/>
        <v>0</v>
      </c>
      <c r="L96" t="b">
        <f t="shared" ca="1" si="15"/>
        <v>0</v>
      </c>
      <c r="M96" t="b">
        <f t="shared" ca="1" si="16"/>
        <v>1</v>
      </c>
      <c r="N96" s="448"/>
      <c r="O96" s="464"/>
      <c r="R96" s="448"/>
      <c r="S96" s="464"/>
      <c r="V96" s="448"/>
      <c r="W96" s="464"/>
      <c r="Z96" s="448"/>
      <c r="AA96" s="464"/>
      <c r="AD96" s="448"/>
      <c r="AE96" s="464"/>
      <c r="AH96" s="448"/>
      <c r="AI96" s="464"/>
      <c r="AL96" s="448"/>
      <c r="AP96" s="448"/>
    </row>
    <row r="97" spans="1:42" ht="13">
      <c r="A97" s="462"/>
      <c r="B97" s="462"/>
      <c r="C97" t="str">
        <f ca="1">Filtered!I89</f>
        <v>Journalism</v>
      </c>
      <c r="D97" t="str">
        <f ca="1">Filtered!J89</f>
        <v>Humanities, Literature &amp; Arts</v>
      </c>
      <c r="E97" t="str">
        <f ca="1">Filtered!L89</f>
        <v>Double blind</v>
      </c>
      <c r="F97" t="b">
        <f t="shared" ca="1" si="9"/>
        <v>0</v>
      </c>
      <c r="G97" t="b">
        <f t="shared" ca="1" si="10"/>
        <v>0</v>
      </c>
      <c r="H97" t="b">
        <f t="shared" ca="1" si="11"/>
        <v>0</v>
      </c>
      <c r="I97" t="b">
        <f t="shared" ca="1" si="12"/>
        <v>0</v>
      </c>
      <c r="J97" t="b">
        <f t="shared" ca="1" si="13"/>
        <v>1</v>
      </c>
      <c r="K97" t="b">
        <f t="shared" ca="1" si="14"/>
        <v>0</v>
      </c>
      <c r="L97" t="b">
        <f t="shared" ca="1" si="15"/>
        <v>0</v>
      </c>
      <c r="M97" t="b">
        <f t="shared" ca="1" si="16"/>
        <v>0</v>
      </c>
      <c r="N97" s="448"/>
      <c r="O97" s="464"/>
      <c r="R97" s="448"/>
      <c r="S97" s="464"/>
      <c r="V97" s="448"/>
      <c r="W97" s="464"/>
      <c r="Z97" s="448"/>
      <c r="AA97" s="464"/>
      <c r="AD97" s="448"/>
      <c r="AE97" s="464"/>
      <c r="AH97" s="448"/>
      <c r="AI97" s="464"/>
      <c r="AL97" s="448"/>
      <c r="AP97" s="448"/>
    </row>
    <row r="98" spans="1:42" ht="13">
      <c r="A98" s="462"/>
      <c r="B98" s="462"/>
      <c r="C98" t="str">
        <f ca="1">Filtered!I90</f>
        <v>Journalism Practice</v>
      </c>
      <c r="D98" t="str">
        <f ca="1">Filtered!J90</f>
        <v>Humanities, Literature &amp; Arts</v>
      </c>
      <c r="E98" t="str">
        <f ca="1">Filtered!L90</f>
        <v>Double blind</v>
      </c>
      <c r="F98" t="b">
        <f t="shared" ca="1" si="9"/>
        <v>0</v>
      </c>
      <c r="G98" t="b">
        <f t="shared" ca="1" si="10"/>
        <v>0</v>
      </c>
      <c r="H98" t="b">
        <f t="shared" ca="1" si="11"/>
        <v>0</v>
      </c>
      <c r="I98" t="b">
        <f t="shared" ca="1" si="12"/>
        <v>0</v>
      </c>
      <c r="J98" t="b">
        <f t="shared" ca="1" si="13"/>
        <v>1</v>
      </c>
      <c r="K98" t="b">
        <f t="shared" ca="1" si="14"/>
        <v>0</v>
      </c>
      <c r="L98" t="b">
        <f t="shared" ca="1" si="15"/>
        <v>0</v>
      </c>
      <c r="M98" t="b">
        <f t="shared" ca="1" si="16"/>
        <v>0</v>
      </c>
      <c r="N98" s="448"/>
      <c r="O98" s="464"/>
      <c r="R98" s="448"/>
      <c r="S98" s="464"/>
      <c r="V98" s="448"/>
      <c r="W98" s="464"/>
      <c r="Z98" s="448"/>
      <c r="AA98" s="464"/>
      <c r="AD98" s="448"/>
      <c r="AE98" s="464"/>
      <c r="AH98" s="448"/>
      <c r="AI98" s="464"/>
      <c r="AL98" s="448"/>
      <c r="AP98" s="448"/>
    </row>
    <row r="99" spans="1:42" ht="13">
      <c r="A99" s="462"/>
      <c r="B99" s="462"/>
      <c r="C99" t="str">
        <f ca="1">Filtered!I91</f>
        <v>Journalism Studies</v>
      </c>
      <c r="D99" t="str">
        <f ca="1">Filtered!J91</f>
        <v>Humanities, Literature &amp; Arts</v>
      </c>
      <c r="E99" t="str">
        <f ca="1">Filtered!L91</f>
        <v>Double blind</v>
      </c>
      <c r="F99" t="b">
        <f t="shared" ca="1" si="9"/>
        <v>0</v>
      </c>
      <c r="G99" t="b">
        <f t="shared" ca="1" si="10"/>
        <v>0</v>
      </c>
      <c r="H99" t="b">
        <f t="shared" ca="1" si="11"/>
        <v>0</v>
      </c>
      <c r="I99" t="b">
        <f t="shared" ca="1" si="12"/>
        <v>0</v>
      </c>
      <c r="J99" t="b">
        <f t="shared" ca="1" si="13"/>
        <v>1</v>
      </c>
      <c r="K99" t="b">
        <f t="shared" ca="1" si="14"/>
        <v>0</v>
      </c>
      <c r="L99" t="b">
        <f t="shared" ca="1" si="15"/>
        <v>0</v>
      </c>
      <c r="M99" t="b">
        <f t="shared" ca="1" si="16"/>
        <v>0</v>
      </c>
      <c r="N99" s="448"/>
      <c r="O99" s="464"/>
      <c r="R99" s="448"/>
      <c r="S99" s="464"/>
      <c r="V99" s="448"/>
      <c r="W99" s="464"/>
      <c r="Z99" s="448"/>
      <c r="AA99" s="464"/>
      <c r="AD99" s="448"/>
      <c r="AE99" s="464"/>
      <c r="AH99" s="448"/>
      <c r="AI99" s="464"/>
      <c r="AL99" s="448"/>
      <c r="AP99" s="448"/>
    </row>
    <row r="100" spans="1:42" ht="13">
      <c r="A100" s="462"/>
      <c r="B100" s="462"/>
      <c r="C100" t="str">
        <f ca="1">Filtered!I92</f>
        <v>Land Use Policy</v>
      </c>
      <c r="D100" t="str">
        <f ca="1">Filtered!J92</f>
        <v>Social Sciences</v>
      </c>
      <c r="E100" t="str">
        <f ca="1">Filtered!L92</f>
        <v>Double blind</v>
      </c>
      <c r="F100" t="b">
        <f t="shared" ca="1" si="9"/>
        <v>0</v>
      </c>
      <c r="G100" t="b">
        <f t="shared" ca="1" si="10"/>
        <v>0</v>
      </c>
      <c r="H100" t="b">
        <f t="shared" ca="1" si="11"/>
        <v>0</v>
      </c>
      <c r="I100" t="b">
        <f t="shared" ca="1" si="12"/>
        <v>0</v>
      </c>
      <c r="J100" t="b">
        <f t="shared" ca="1" si="13"/>
        <v>0</v>
      </c>
      <c r="K100" t="b">
        <f t="shared" ca="1" si="14"/>
        <v>0</v>
      </c>
      <c r="L100" t="b">
        <f t="shared" ca="1" si="15"/>
        <v>0</v>
      </c>
      <c r="M100" t="b">
        <f t="shared" ca="1" si="16"/>
        <v>1</v>
      </c>
      <c r="N100" s="448"/>
      <c r="O100" s="464"/>
      <c r="R100" s="448"/>
      <c r="S100" s="464"/>
      <c r="V100" s="448"/>
      <c r="W100" s="464"/>
      <c r="Z100" s="448"/>
      <c r="AA100" s="464"/>
      <c r="AD100" s="448"/>
      <c r="AE100" s="464"/>
      <c r="AH100" s="448"/>
      <c r="AI100" s="464"/>
      <c r="AL100" s="448"/>
      <c r="AP100" s="448"/>
    </row>
    <row r="101" spans="1:42" ht="13">
      <c r="A101" s="462"/>
      <c r="B101" s="462"/>
      <c r="C101" t="str">
        <f ca="1">Filtered!I93</f>
        <v>Language Learning</v>
      </c>
      <c r="D101" t="str">
        <f ca="1">Filtered!J93</f>
        <v>Humanities, Literature &amp; Arts</v>
      </c>
      <c r="E101" t="str">
        <f ca="1">Filtered!L93</f>
        <v>Other: author choice of single or double blind</v>
      </c>
      <c r="F101" t="b">
        <f t="shared" ca="1" si="9"/>
        <v>0</v>
      </c>
      <c r="G101" t="b">
        <f t="shared" ca="1" si="10"/>
        <v>0</v>
      </c>
      <c r="H101" t="b">
        <f t="shared" ca="1" si="11"/>
        <v>0</v>
      </c>
      <c r="I101" t="b">
        <f t="shared" ca="1" si="12"/>
        <v>0</v>
      </c>
      <c r="J101" t="b">
        <f t="shared" ca="1" si="13"/>
        <v>1</v>
      </c>
      <c r="K101" t="b">
        <f t="shared" ca="1" si="14"/>
        <v>0</v>
      </c>
      <c r="L101" t="b">
        <f t="shared" ca="1" si="15"/>
        <v>0</v>
      </c>
      <c r="M101" t="b">
        <f t="shared" ca="1" si="16"/>
        <v>0</v>
      </c>
      <c r="N101" s="448"/>
      <c r="O101" s="464"/>
      <c r="R101" s="448"/>
      <c r="S101" s="464"/>
      <c r="V101" s="448"/>
      <c r="W101" s="464"/>
      <c r="Z101" s="448"/>
      <c r="AA101" s="464"/>
      <c r="AD101" s="448"/>
      <c r="AE101" s="464"/>
      <c r="AH101" s="448"/>
      <c r="AI101" s="464"/>
      <c r="AL101" s="448"/>
      <c r="AP101" s="448"/>
    </row>
    <row r="102" spans="1:42" ht="13">
      <c r="A102" s="462"/>
      <c r="B102" s="462"/>
      <c r="C102" t="str">
        <f ca="1">Filtered!I94</f>
        <v>Lingua</v>
      </c>
      <c r="D102" t="str">
        <f ca="1">Filtered!J94</f>
        <v>Humanities, Literature &amp; Arts</v>
      </c>
      <c r="E102" t="str">
        <f ca="1">Filtered!L94</f>
        <v>Double blind</v>
      </c>
      <c r="F102" t="b">
        <f t="shared" ca="1" si="9"/>
        <v>0</v>
      </c>
      <c r="G102" t="b">
        <f t="shared" ca="1" si="10"/>
        <v>0</v>
      </c>
      <c r="H102" t="b">
        <f t="shared" ca="1" si="11"/>
        <v>0</v>
      </c>
      <c r="I102" t="b">
        <f t="shared" ca="1" si="12"/>
        <v>0</v>
      </c>
      <c r="J102" t="b">
        <f t="shared" ca="1" si="13"/>
        <v>1</v>
      </c>
      <c r="K102" t="b">
        <f t="shared" ca="1" si="14"/>
        <v>0</v>
      </c>
      <c r="L102" t="b">
        <f t="shared" ca="1" si="15"/>
        <v>0</v>
      </c>
      <c r="M102" t="b">
        <f t="shared" ca="1" si="16"/>
        <v>0</v>
      </c>
      <c r="N102" s="448"/>
      <c r="O102" s="464"/>
      <c r="R102" s="448"/>
      <c r="S102" s="464"/>
      <c r="V102" s="448"/>
      <c r="W102" s="464"/>
      <c r="Z102" s="448"/>
      <c r="AA102" s="464"/>
      <c r="AD102" s="448"/>
      <c r="AE102" s="464"/>
      <c r="AH102" s="448"/>
      <c r="AI102" s="464"/>
      <c r="AL102" s="448"/>
      <c r="AP102" s="448"/>
    </row>
    <row r="103" spans="1:42" ht="13">
      <c r="A103" s="462"/>
      <c r="B103" s="462"/>
      <c r="C103" t="str">
        <f ca="1">Filtered!I95</f>
        <v>Management Information Systems Quarterly</v>
      </c>
      <c r="D103" t="str">
        <f ca="1">Filtered!J95</f>
        <v>Business, Economics &amp; Management</v>
      </c>
      <c r="E103" t="str">
        <f ca="1">Filtered!L95</f>
        <v>Double-blind</v>
      </c>
      <c r="F103" t="b">
        <f t="shared" ca="1" si="9"/>
        <v>1</v>
      </c>
      <c r="G103" t="b">
        <f t="shared" ca="1" si="10"/>
        <v>0</v>
      </c>
      <c r="H103" t="b">
        <f t="shared" ca="1" si="11"/>
        <v>0</v>
      </c>
      <c r="I103" t="b">
        <f t="shared" ca="1" si="12"/>
        <v>0</v>
      </c>
      <c r="J103" t="b">
        <f t="shared" ca="1" si="13"/>
        <v>0</v>
      </c>
      <c r="K103" t="b">
        <f t="shared" ca="1" si="14"/>
        <v>0</v>
      </c>
      <c r="L103" t="b">
        <f t="shared" ca="1" si="15"/>
        <v>0</v>
      </c>
      <c r="M103" t="b">
        <f t="shared" ca="1" si="16"/>
        <v>0</v>
      </c>
      <c r="N103" s="448"/>
      <c r="O103" s="464"/>
      <c r="R103" s="448"/>
      <c r="S103" s="464"/>
      <c r="V103" s="448"/>
      <c r="W103" s="464"/>
      <c r="Z103" s="448"/>
      <c r="AA103" s="464"/>
      <c r="AD103" s="448"/>
      <c r="AE103" s="464"/>
      <c r="AH103" s="448"/>
      <c r="AI103" s="464"/>
      <c r="AL103" s="448"/>
      <c r="AP103" s="448"/>
    </row>
    <row r="104" spans="1:42" ht="13">
      <c r="A104" s="462"/>
      <c r="B104" s="462"/>
      <c r="C104" t="str">
        <f ca="1">Filtered!I96</f>
        <v>Management Science</v>
      </c>
      <c r="D104" t="str">
        <f ca="1">Filtered!J96</f>
        <v>Business, Economics &amp; Management</v>
      </c>
      <c r="E104" t="str">
        <f ca="1">Filtered!L96</f>
        <v>Double blind</v>
      </c>
      <c r="F104" t="b">
        <f t="shared" ca="1" si="9"/>
        <v>1</v>
      </c>
      <c r="G104" t="b">
        <f t="shared" ca="1" si="10"/>
        <v>0</v>
      </c>
      <c r="H104" t="b">
        <f t="shared" ca="1" si="11"/>
        <v>0</v>
      </c>
      <c r="I104" t="b">
        <f t="shared" ca="1" si="12"/>
        <v>0</v>
      </c>
      <c r="J104" t="b">
        <f t="shared" ca="1" si="13"/>
        <v>0</v>
      </c>
      <c r="K104" t="b">
        <f t="shared" ca="1" si="14"/>
        <v>0</v>
      </c>
      <c r="L104" t="b">
        <f t="shared" ca="1" si="15"/>
        <v>0</v>
      </c>
      <c r="M104" t="b">
        <f t="shared" ca="1" si="16"/>
        <v>0</v>
      </c>
      <c r="N104" s="448"/>
      <c r="O104" s="464"/>
      <c r="R104" s="448"/>
      <c r="S104" s="464"/>
      <c r="V104" s="448"/>
      <c r="W104" s="464"/>
      <c r="Z104" s="448"/>
      <c r="AA104" s="464"/>
      <c r="AD104" s="448"/>
      <c r="AE104" s="464"/>
      <c r="AH104" s="448"/>
      <c r="AI104" s="464"/>
      <c r="AL104" s="448"/>
      <c r="AP104" s="448"/>
    </row>
    <row r="105" spans="1:42" ht="13">
      <c r="A105" s="462"/>
      <c r="B105" s="462"/>
      <c r="C105" t="str">
        <f ca="1">Filtered!I97</f>
        <v>Media, Culture &amp; Society</v>
      </c>
      <c r="D105" t="str">
        <f ca="1">Filtered!J97</f>
        <v>Humanities, Literature &amp; Arts</v>
      </c>
      <c r="E105" t="str">
        <f ca="1">Filtered!L97</f>
        <v>Double blind</v>
      </c>
      <c r="F105" t="b">
        <f t="shared" ca="1" si="9"/>
        <v>0</v>
      </c>
      <c r="G105" t="b">
        <f t="shared" ca="1" si="10"/>
        <v>0</v>
      </c>
      <c r="H105" t="b">
        <f t="shared" ca="1" si="11"/>
        <v>0</v>
      </c>
      <c r="I105" t="b">
        <f t="shared" ca="1" si="12"/>
        <v>0</v>
      </c>
      <c r="J105" t="b">
        <f t="shared" ca="1" si="13"/>
        <v>1</v>
      </c>
      <c r="K105" t="b">
        <f t="shared" ca="1" si="14"/>
        <v>0</v>
      </c>
      <c r="L105" t="b">
        <f t="shared" ca="1" si="15"/>
        <v>0</v>
      </c>
      <c r="M105" t="b">
        <f t="shared" ca="1" si="16"/>
        <v>0</v>
      </c>
      <c r="N105" s="448"/>
      <c r="O105" s="464"/>
      <c r="R105" s="448"/>
      <c r="S105" s="464"/>
      <c r="V105" s="448"/>
      <c r="W105" s="464"/>
      <c r="Z105" s="448"/>
      <c r="AA105" s="464"/>
      <c r="AD105" s="448"/>
      <c r="AE105" s="464"/>
      <c r="AH105" s="448"/>
      <c r="AI105" s="464"/>
      <c r="AL105" s="448"/>
      <c r="AP105" s="448"/>
    </row>
    <row r="106" spans="1:42" ht="13">
      <c r="A106" s="462"/>
      <c r="B106" s="462"/>
      <c r="C106" t="str">
        <f ca="1">Filtered!I98</f>
        <v>Molecular Cell</v>
      </c>
      <c r="D106" t="str">
        <f ca="1">Filtered!J98</f>
        <v>Life Sciences &amp; Earth Sciences</v>
      </c>
      <c r="E106" t="str">
        <f ca="1">Filtered!L98</f>
        <v>Unsure</v>
      </c>
      <c r="F106" t="b">
        <f t="shared" ca="1" si="9"/>
        <v>0</v>
      </c>
      <c r="G106" t="b">
        <f t="shared" ca="1" si="10"/>
        <v>0</v>
      </c>
      <c r="H106" t="b">
        <f t="shared" ca="1" si="11"/>
        <v>0</v>
      </c>
      <c r="I106" t="b">
        <f t="shared" ca="1" si="12"/>
        <v>0</v>
      </c>
      <c r="J106" t="b">
        <f t="shared" ca="1" si="13"/>
        <v>0</v>
      </c>
      <c r="K106" t="b">
        <f t="shared" ca="1" si="14"/>
        <v>1</v>
      </c>
      <c r="L106" t="b">
        <f t="shared" ca="1" si="15"/>
        <v>0</v>
      </c>
      <c r="M106" t="b">
        <f t="shared" ca="1" si="16"/>
        <v>0</v>
      </c>
      <c r="N106" s="448"/>
      <c r="O106" s="464"/>
      <c r="R106" s="448"/>
      <c r="S106" s="464"/>
      <c r="V106" s="448"/>
      <c r="W106" s="464"/>
      <c r="Z106" s="448"/>
      <c r="AA106" s="464"/>
      <c r="AD106" s="448"/>
      <c r="AE106" s="464"/>
      <c r="AH106" s="448"/>
      <c r="AI106" s="464"/>
      <c r="AL106" s="448"/>
      <c r="AP106" s="448"/>
    </row>
    <row r="107" spans="1:42" ht="13">
      <c r="A107" s="462"/>
      <c r="B107" s="462"/>
      <c r="C107" t="str">
        <f ca="1">Filtered!I99</f>
        <v>Monthly Notices of the Royal Astronomical Society</v>
      </c>
      <c r="D107" t="str">
        <f ca="1">Filtered!J99</f>
        <v>Physics &amp; Mathematics</v>
      </c>
      <c r="E107" t="str">
        <f ca="1">Filtered!L99</f>
        <v>Single blind</v>
      </c>
      <c r="F107" t="b">
        <f t="shared" ca="1" si="9"/>
        <v>0</v>
      </c>
      <c r="G107" t="b">
        <f t="shared" ca="1" si="10"/>
        <v>0</v>
      </c>
      <c r="H107" t="b">
        <f t="shared" ca="1" si="11"/>
        <v>0</v>
      </c>
      <c r="I107" t="b">
        <f t="shared" ca="1" si="12"/>
        <v>0</v>
      </c>
      <c r="J107" t="b">
        <f t="shared" ca="1" si="13"/>
        <v>0</v>
      </c>
      <c r="K107" t="b">
        <f t="shared" ca="1" si="14"/>
        <v>0</v>
      </c>
      <c r="L107" t="b">
        <f t="shared" ca="1" si="15"/>
        <v>1</v>
      </c>
      <c r="M107" t="b">
        <f t="shared" ca="1" si="16"/>
        <v>0</v>
      </c>
      <c r="N107" s="448"/>
      <c r="O107" s="464"/>
      <c r="R107" s="448"/>
      <c r="S107" s="464"/>
      <c r="V107" s="448"/>
      <c r="W107" s="464"/>
      <c r="Z107" s="448"/>
      <c r="AA107" s="464"/>
      <c r="AD107" s="448"/>
      <c r="AE107" s="464"/>
      <c r="AH107" s="448"/>
      <c r="AI107" s="464"/>
      <c r="AL107" s="448"/>
      <c r="AP107" s="448"/>
    </row>
    <row r="108" spans="1:42" ht="13">
      <c r="A108" s="462"/>
      <c r="B108" s="462"/>
      <c r="C108" t="str">
        <f ca="1">Filtered!I100</f>
        <v>Nano Letters</v>
      </c>
      <c r="D108" t="str">
        <f ca="1">Filtered!J100</f>
        <v>Chemical &amp; Materials Sciences,
Engineering &amp; Computer Science</v>
      </c>
      <c r="E108" t="str">
        <f ca="1">Filtered!L100</f>
        <v>Unsure</v>
      </c>
      <c r="F108" t="b">
        <f t="shared" ca="1" si="9"/>
        <v>0</v>
      </c>
      <c r="G108" t="b">
        <f t="shared" ca="1" si="10"/>
        <v>1</v>
      </c>
      <c r="H108" t="b">
        <f t="shared" ca="1" si="11"/>
        <v>1</v>
      </c>
      <c r="I108" t="b">
        <f t="shared" ca="1" si="12"/>
        <v>0</v>
      </c>
      <c r="J108" t="b">
        <f t="shared" ca="1" si="13"/>
        <v>0</v>
      </c>
      <c r="K108" t="b">
        <f t="shared" ca="1" si="14"/>
        <v>0</v>
      </c>
      <c r="L108" t="b">
        <f t="shared" ca="1" si="15"/>
        <v>0</v>
      </c>
      <c r="M108" t="b">
        <f t="shared" ca="1" si="16"/>
        <v>0</v>
      </c>
      <c r="N108" s="448"/>
      <c r="O108" s="464"/>
      <c r="R108" s="448"/>
      <c r="S108" s="464"/>
      <c r="V108" s="448"/>
      <c r="W108" s="464"/>
      <c r="Z108" s="448"/>
      <c r="AA108" s="464"/>
      <c r="AD108" s="448"/>
      <c r="AE108" s="464"/>
      <c r="AH108" s="448"/>
      <c r="AI108" s="464"/>
      <c r="AL108" s="448"/>
      <c r="AP108" s="448"/>
    </row>
    <row r="109" spans="1:42" ht="13">
      <c r="A109" s="462"/>
      <c r="B109" s="462"/>
      <c r="C109" t="str">
        <f ca="1">Filtered!I101</f>
        <v>Nanoscale</v>
      </c>
      <c r="D109" t="str">
        <f ca="1">Filtered!J101</f>
        <v>Chemical &amp; Materials Sciences,
Engineering &amp; Computer Science</v>
      </c>
      <c r="E109" t="str">
        <f ca="1">Filtered!L101</f>
        <v>Unsure (at least single blind)</v>
      </c>
      <c r="F109" t="b">
        <f t="shared" ca="1" si="9"/>
        <v>0</v>
      </c>
      <c r="G109" t="b">
        <f t="shared" ca="1" si="10"/>
        <v>1</v>
      </c>
      <c r="H109" t="b">
        <f t="shared" ca="1" si="11"/>
        <v>1</v>
      </c>
      <c r="I109" t="b">
        <f t="shared" ca="1" si="12"/>
        <v>0</v>
      </c>
      <c r="J109" t="b">
        <f t="shared" ca="1" si="13"/>
        <v>0</v>
      </c>
      <c r="K109" t="b">
        <f t="shared" ca="1" si="14"/>
        <v>0</v>
      </c>
      <c r="L109" t="b">
        <f t="shared" ca="1" si="15"/>
        <v>0</v>
      </c>
      <c r="M109" t="b">
        <f t="shared" ca="1" si="16"/>
        <v>0</v>
      </c>
      <c r="N109" s="448"/>
      <c r="O109" s="464"/>
      <c r="R109" s="448"/>
      <c r="S109" s="464"/>
      <c r="V109" s="448"/>
      <c r="W109" s="464"/>
      <c r="Z109" s="448"/>
      <c r="AA109" s="464"/>
      <c r="AD109" s="448"/>
      <c r="AE109" s="464"/>
      <c r="AH109" s="448"/>
      <c r="AI109" s="464"/>
      <c r="AL109" s="448"/>
      <c r="AP109" s="448"/>
    </row>
    <row r="110" spans="1:42" ht="13">
      <c r="A110" s="462"/>
      <c r="B110" s="462"/>
      <c r="C110" t="str">
        <f ca="1">Filtered!I102</f>
        <v>Nature</v>
      </c>
      <c r="D110" t="str">
        <f ca="1">Filtered!J102</f>
        <v>Life Sciences &amp; Earth Sciences</v>
      </c>
      <c r="E110" t="str">
        <f ca="1">Filtered!L102</f>
        <v>Other: Single blind is standard (but authors can choose Double blind, and reviewers can sign their names if they wish)</v>
      </c>
      <c r="F110" t="b">
        <f t="shared" ca="1" si="9"/>
        <v>0</v>
      </c>
      <c r="G110" t="b">
        <f t="shared" ca="1" si="10"/>
        <v>0</v>
      </c>
      <c r="H110" t="b">
        <f t="shared" ca="1" si="11"/>
        <v>0</v>
      </c>
      <c r="I110" t="b">
        <f t="shared" ca="1" si="12"/>
        <v>0</v>
      </c>
      <c r="J110" t="b">
        <f t="shared" ca="1" si="13"/>
        <v>0</v>
      </c>
      <c r="K110" t="b">
        <f t="shared" ca="1" si="14"/>
        <v>1</v>
      </c>
      <c r="L110" t="b">
        <f t="shared" ca="1" si="15"/>
        <v>0</v>
      </c>
      <c r="M110" t="b">
        <f t="shared" ca="1" si="16"/>
        <v>0</v>
      </c>
      <c r="N110" s="448"/>
      <c r="O110" s="464"/>
      <c r="R110" s="448"/>
      <c r="S110" s="464"/>
      <c r="V110" s="448"/>
      <c r="W110" s="464"/>
      <c r="Z110" s="448"/>
      <c r="AA110" s="464"/>
      <c r="AD110" s="448"/>
      <c r="AE110" s="464"/>
      <c r="AH110" s="448"/>
      <c r="AI110" s="464"/>
      <c r="AL110" s="448"/>
      <c r="AP110" s="448"/>
    </row>
    <row r="111" spans="1:42" ht="13">
      <c r="A111" s="462"/>
      <c r="B111" s="462"/>
      <c r="C111" t="str">
        <f ca="1">Filtered!I103</f>
        <v>Nature Biotechnology</v>
      </c>
      <c r="D111" t="str">
        <f ca="1">Filtered!J103</f>
        <v>Life Sciences &amp; Earth Sciences</v>
      </c>
      <c r="E111" t="str">
        <f ca="1">Filtered!L103</f>
        <v>Other (Single blind is standard but authors can choose Double blind, and reviewers can sign their names if they wish)</v>
      </c>
      <c r="F111" t="b">
        <f t="shared" ca="1" si="9"/>
        <v>0</v>
      </c>
      <c r="G111" t="b">
        <f t="shared" ca="1" si="10"/>
        <v>0</v>
      </c>
      <c r="H111" t="b">
        <f t="shared" ca="1" si="11"/>
        <v>0</v>
      </c>
      <c r="I111" t="b">
        <f t="shared" ca="1" si="12"/>
        <v>0</v>
      </c>
      <c r="J111" t="b">
        <f t="shared" ca="1" si="13"/>
        <v>0</v>
      </c>
      <c r="K111" t="b">
        <f t="shared" ca="1" si="14"/>
        <v>1</v>
      </c>
      <c r="L111" t="b">
        <f t="shared" ca="1" si="15"/>
        <v>0</v>
      </c>
      <c r="M111" t="b">
        <f t="shared" ca="1" si="16"/>
        <v>0</v>
      </c>
      <c r="N111" s="448"/>
      <c r="O111" s="464"/>
      <c r="R111" s="448"/>
      <c r="S111" s="464"/>
      <c r="V111" s="448"/>
      <c r="W111" s="464"/>
      <c r="Z111" s="448"/>
      <c r="AA111" s="464"/>
      <c r="AD111" s="448"/>
      <c r="AE111" s="464"/>
      <c r="AH111" s="448"/>
      <c r="AI111" s="464"/>
      <c r="AL111" s="448"/>
      <c r="AP111" s="448"/>
    </row>
    <row r="112" spans="1:42" ht="13">
      <c r="A112" s="462"/>
      <c r="B112" s="462"/>
      <c r="C112" t="str">
        <f ca="1">Filtered!I104</f>
        <v>Nature Cell Biology</v>
      </c>
      <c r="D112" t="str">
        <f ca="1">Filtered!J104</f>
        <v>Life Sciences &amp; Earth Sciences</v>
      </c>
      <c r="E112" t="str">
        <f ca="1">Filtered!L104</f>
        <v>Other (Single blind is standard but authors can choose Double blind, and reviewers can sign their names if they wish)</v>
      </c>
      <c r="F112" t="b">
        <f t="shared" ca="1" si="9"/>
        <v>0</v>
      </c>
      <c r="G112" t="b">
        <f t="shared" ca="1" si="10"/>
        <v>0</v>
      </c>
      <c r="H112" t="b">
        <f t="shared" ca="1" si="11"/>
        <v>0</v>
      </c>
      <c r="I112" t="b">
        <f t="shared" ca="1" si="12"/>
        <v>0</v>
      </c>
      <c r="J112" t="b">
        <f t="shared" ca="1" si="13"/>
        <v>0</v>
      </c>
      <c r="K112" t="b">
        <f t="shared" ca="1" si="14"/>
        <v>1</v>
      </c>
      <c r="L112" t="b">
        <f t="shared" ca="1" si="15"/>
        <v>0</v>
      </c>
      <c r="M112" t="b">
        <f t="shared" ca="1" si="16"/>
        <v>0</v>
      </c>
      <c r="N112" s="448"/>
      <c r="O112" s="464"/>
      <c r="R112" s="448"/>
      <c r="S112" s="464"/>
      <c r="V112" s="448"/>
      <c r="W112" s="464"/>
      <c r="Z112" s="448"/>
      <c r="AA112" s="464"/>
      <c r="AD112" s="448"/>
      <c r="AE112" s="464"/>
      <c r="AH112" s="448"/>
      <c r="AI112" s="464"/>
      <c r="AL112" s="448"/>
      <c r="AP112" s="448"/>
    </row>
    <row r="113" spans="1:42" ht="13">
      <c r="A113" s="462"/>
      <c r="B113" s="462"/>
      <c r="C113" t="str">
        <f ca="1">Filtered!I105</f>
        <v>Nature Chemistry</v>
      </c>
      <c r="D113" t="str">
        <f ca="1">Filtered!J105</f>
        <v>Chemical &amp; Materials Sciences</v>
      </c>
      <c r="E113" t="str">
        <f ca="1">Filtered!L105</f>
        <v>Other (Single blind is standard but authors can choose Double blind, and reviewers can sign their names if they wish)</v>
      </c>
      <c r="F113" t="b">
        <f t="shared" ca="1" si="9"/>
        <v>0</v>
      </c>
      <c r="G113" t="b">
        <f t="shared" ca="1" si="10"/>
        <v>1</v>
      </c>
      <c r="H113" t="b">
        <f t="shared" ca="1" si="11"/>
        <v>0</v>
      </c>
      <c r="I113" t="b">
        <f t="shared" ca="1" si="12"/>
        <v>0</v>
      </c>
      <c r="J113" t="b">
        <f t="shared" ca="1" si="13"/>
        <v>0</v>
      </c>
      <c r="K113" t="b">
        <f t="shared" ca="1" si="14"/>
        <v>0</v>
      </c>
      <c r="L113" t="b">
        <f t="shared" ca="1" si="15"/>
        <v>0</v>
      </c>
      <c r="M113" t="b">
        <f t="shared" ca="1" si="16"/>
        <v>0</v>
      </c>
      <c r="N113" s="448"/>
      <c r="O113" s="464"/>
      <c r="R113" s="448"/>
      <c r="S113" s="464"/>
      <c r="V113" s="448"/>
      <c r="W113" s="464"/>
      <c r="Z113" s="448"/>
      <c r="AA113" s="464"/>
      <c r="AD113" s="448"/>
      <c r="AE113" s="464"/>
      <c r="AH113" s="448"/>
      <c r="AI113" s="464"/>
      <c r="AL113" s="448"/>
      <c r="AP113" s="448"/>
    </row>
    <row r="114" spans="1:42" ht="13">
      <c r="A114" s="462"/>
      <c r="B114" s="462"/>
      <c r="C114" t="str">
        <f ca="1">Filtered!I106</f>
        <v>Nature Climate Change</v>
      </c>
      <c r="D114" t="str">
        <f ca="1">Filtered!J106</f>
        <v>Life Sciences &amp; Earth Sciences</v>
      </c>
      <c r="E114" t="str">
        <f ca="1">Filtered!L106</f>
        <v>Other (Single blind is standard but authors can choose Double blind, and reviewers can sign their names if they wish)</v>
      </c>
      <c r="F114" t="b">
        <f t="shared" ca="1" si="9"/>
        <v>0</v>
      </c>
      <c r="G114" t="b">
        <f t="shared" ca="1" si="10"/>
        <v>0</v>
      </c>
      <c r="H114" t="b">
        <f t="shared" ca="1" si="11"/>
        <v>0</v>
      </c>
      <c r="I114" t="b">
        <f t="shared" ca="1" si="12"/>
        <v>0</v>
      </c>
      <c r="J114" t="b">
        <f t="shared" ca="1" si="13"/>
        <v>0</v>
      </c>
      <c r="K114" t="b">
        <f t="shared" ca="1" si="14"/>
        <v>1</v>
      </c>
      <c r="L114" t="b">
        <f t="shared" ca="1" si="15"/>
        <v>0</v>
      </c>
      <c r="M114" t="b">
        <f t="shared" ca="1" si="16"/>
        <v>0</v>
      </c>
      <c r="N114" s="448"/>
      <c r="O114" s="464"/>
      <c r="R114" s="448"/>
      <c r="S114" s="464"/>
      <c r="V114" s="448"/>
      <c r="W114" s="464"/>
      <c r="Z114" s="448"/>
      <c r="AA114" s="464"/>
      <c r="AD114" s="448"/>
      <c r="AE114" s="464"/>
      <c r="AH114" s="448"/>
      <c r="AI114" s="464"/>
      <c r="AL114" s="448"/>
      <c r="AP114" s="448"/>
    </row>
    <row r="115" spans="1:42" ht="13">
      <c r="A115" s="462"/>
      <c r="B115" s="462"/>
      <c r="C115" t="str">
        <f ca="1">Filtered!I107</f>
        <v>Nature Communications</v>
      </c>
      <c r="D115" t="str">
        <f ca="1">Filtered!J107</f>
        <v>Life Sciences &amp; Earth Sciences</v>
      </c>
      <c r="E115" t="str">
        <f ca="1">Filtered!L107</f>
        <v>Other (Single blind is standard but authors can choose Double blind, and reviewers can sign their names if they wish)</v>
      </c>
      <c r="F115" t="b">
        <f t="shared" ca="1" si="9"/>
        <v>0</v>
      </c>
      <c r="G115" t="b">
        <f t="shared" ca="1" si="10"/>
        <v>0</v>
      </c>
      <c r="H115" t="b">
        <f t="shared" ca="1" si="11"/>
        <v>0</v>
      </c>
      <c r="I115" t="b">
        <f t="shared" ca="1" si="12"/>
        <v>0</v>
      </c>
      <c r="J115" t="b">
        <f t="shared" ca="1" si="13"/>
        <v>0</v>
      </c>
      <c r="K115" t="b">
        <f t="shared" ca="1" si="14"/>
        <v>1</v>
      </c>
      <c r="L115" t="b">
        <f t="shared" ca="1" si="15"/>
        <v>0</v>
      </c>
      <c r="M115" t="b">
        <f t="shared" ca="1" si="16"/>
        <v>0</v>
      </c>
      <c r="N115" s="448"/>
      <c r="O115" s="464"/>
      <c r="R115" s="448"/>
      <c r="S115" s="464"/>
      <c r="V115" s="448"/>
      <c r="W115" s="464"/>
      <c r="Z115" s="448"/>
      <c r="AA115" s="464"/>
      <c r="AD115" s="448"/>
      <c r="AE115" s="464"/>
      <c r="AH115" s="448"/>
      <c r="AI115" s="464"/>
      <c r="AL115" s="448"/>
      <c r="AP115" s="448"/>
    </row>
    <row r="116" spans="1:42" ht="13">
      <c r="A116" s="462"/>
      <c r="B116" s="462"/>
      <c r="C116" t="str">
        <f ca="1">Filtered!I108</f>
        <v>Nature Genetics</v>
      </c>
      <c r="D116" t="str">
        <f ca="1">Filtered!J108</f>
        <v>Health &amp; Medical Sciences,
Life Sciences &amp; Earth Sciences</v>
      </c>
      <c r="E116" t="str">
        <f ca="1">Filtered!L108</f>
        <v>Other (Single blind is standard but authors can choose Double blind, and reviewers can sign their names if they wish)</v>
      </c>
      <c r="F116" t="b">
        <f t="shared" ca="1" si="9"/>
        <v>0</v>
      </c>
      <c r="G116" t="b">
        <f t="shared" ca="1" si="10"/>
        <v>0</v>
      </c>
      <c r="H116" t="b">
        <f t="shared" ca="1" si="11"/>
        <v>0</v>
      </c>
      <c r="I116" t="b">
        <f t="shared" ca="1" si="12"/>
        <v>1</v>
      </c>
      <c r="J116" t="b">
        <f t="shared" ca="1" si="13"/>
        <v>0</v>
      </c>
      <c r="K116" t="b">
        <f t="shared" ca="1" si="14"/>
        <v>1</v>
      </c>
      <c r="L116" t="b">
        <f t="shared" ca="1" si="15"/>
        <v>0</v>
      </c>
      <c r="M116" t="b">
        <f t="shared" ca="1" si="16"/>
        <v>0</v>
      </c>
      <c r="N116" s="448"/>
      <c r="O116" s="464"/>
      <c r="R116" s="448"/>
      <c r="S116" s="464"/>
      <c r="V116" s="448"/>
      <c r="W116" s="464"/>
      <c r="Z116" s="448"/>
      <c r="AA116" s="464"/>
      <c r="AD116" s="448"/>
      <c r="AE116" s="464"/>
      <c r="AH116" s="448"/>
      <c r="AI116" s="464"/>
      <c r="AL116" s="448"/>
      <c r="AP116" s="448"/>
    </row>
    <row r="117" spans="1:42" ht="13">
      <c r="A117" s="462"/>
      <c r="B117" s="462"/>
      <c r="C117" t="str">
        <f ca="1">Filtered!I109</f>
        <v>Nature Immunology</v>
      </c>
      <c r="D117" t="str">
        <f ca="1">Filtered!J109</f>
        <v/>
      </c>
      <c r="E117" t="str">
        <f ca="1">Filtered!L109</f>
        <v>Other (Single blind is standard but authors can choose Double blind, and reviewers can sign their names if they wish)</v>
      </c>
      <c r="F117" t="b">
        <f t="shared" ca="1" si="9"/>
        <v>0</v>
      </c>
      <c r="G117" t="b">
        <f t="shared" ca="1" si="10"/>
        <v>0</v>
      </c>
      <c r="H117" t="b">
        <f t="shared" ca="1" si="11"/>
        <v>0</v>
      </c>
      <c r="I117" t="b">
        <f t="shared" ca="1" si="12"/>
        <v>0</v>
      </c>
      <c r="J117" t="b">
        <f t="shared" ca="1" si="13"/>
        <v>0</v>
      </c>
      <c r="K117" t="b">
        <f t="shared" ca="1" si="14"/>
        <v>0</v>
      </c>
      <c r="L117" t="b">
        <f t="shared" ca="1" si="15"/>
        <v>0</v>
      </c>
      <c r="M117" t="b">
        <f t="shared" ca="1" si="16"/>
        <v>0</v>
      </c>
      <c r="N117" s="448"/>
      <c r="O117" s="464"/>
      <c r="R117" s="448"/>
      <c r="S117" s="464"/>
      <c r="V117" s="448"/>
      <c r="W117" s="464"/>
      <c r="Z117" s="448"/>
      <c r="AA117" s="464"/>
      <c r="AD117" s="448"/>
      <c r="AE117" s="464"/>
      <c r="AH117" s="448"/>
      <c r="AI117" s="464"/>
      <c r="AL117" s="448"/>
      <c r="AP117" s="448"/>
    </row>
    <row r="118" spans="1:42" ht="13">
      <c r="A118" s="462"/>
      <c r="B118" s="462"/>
      <c r="C118" t="str">
        <f ca="1">Filtered!I110</f>
        <v>Nature Materials</v>
      </c>
      <c r="D118" t="str">
        <f ca="1">Filtered!J110</f>
        <v>Chemical &amp; Materials Sciences,
Engineering &amp; Computer Science</v>
      </c>
      <c r="E118" t="str">
        <f ca="1">Filtered!L110</f>
        <v>Other (Single blind is standard but authors can choose Double blind, and reviewers can sign their names if they wish)</v>
      </c>
      <c r="F118" t="b">
        <f t="shared" ca="1" si="9"/>
        <v>0</v>
      </c>
      <c r="G118" t="b">
        <f t="shared" ca="1" si="10"/>
        <v>1</v>
      </c>
      <c r="H118" t="b">
        <f t="shared" ca="1" si="11"/>
        <v>1</v>
      </c>
      <c r="I118" t="b">
        <f t="shared" ca="1" si="12"/>
        <v>0</v>
      </c>
      <c r="J118" t="b">
        <f t="shared" ca="1" si="13"/>
        <v>0</v>
      </c>
      <c r="K118" t="b">
        <f t="shared" ca="1" si="14"/>
        <v>0</v>
      </c>
      <c r="L118" t="b">
        <f t="shared" ca="1" si="15"/>
        <v>0</v>
      </c>
      <c r="M118" t="b">
        <f t="shared" ca="1" si="16"/>
        <v>0</v>
      </c>
      <c r="N118" s="448"/>
      <c r="O118" s="464"/>
      <c r="R118" s="448"/>
      <c r="S118" s="464"/>
      <c r="V118" s="448"/>
      <c r="W118" s="464"/>
      <c r="Z118" s="448"/>
      <c r="AA118" s="464"/>
      <c r="AD118" s="448"/>
      <c r="AE118" s="464"/>
      <c r="AH118" s="448"/>
      <c r="AI118" s="464"/>
      <c r="AL118" s="448"/>
      <c r="AP118" s="448"/>
    </row>
    <row r="119" spans="1:42" ht="13">
      <c r="A119" s="462"/>
      <c r="B119" s="462"/>
      <c r="C119" t="str">
        <f ca="1">Filtered!I111</f>
        <v>Nature Medicine</v>
      </c>
      <c r="D119" t="str">
        <f ca="1">Filtered!J111</f>
        <v>Health &amp; Medical Sciences</v>
      </c>
      <c r="E119" t="str">
        <f ca="1">Filtered!L111</f>
        <v>Other (Single blind is standard but authors can choose Double blind, and reviewers can sign their names if they wish)</v>
      </c>
      <c r="F119" t="b">
        <f t="shared" ca="1" si="9"/>
        <v>0</v>
      </c>
      <c r="G119" t="b">
        <f t="shared" ca="1" si="10"/>
        <v>0</v>
      </c>
      <c r="H119" t="b">
        <f t="shared" ca="1" si="11"/>
        <v>0</v>
      </c>
      <c r="I119" t="b">
        <f t="shared" ca="1" si="12"/>
        <v>1</v>
      </c>
      <c r="J119" t="b">
        <f t="shared" ca="1" si="13"/>
        <v>0</v>
      </c>
      <c r="K119" t="b">
        <f t="shared" ca="1" si="14"/>
        <v>0</v>
      </c>
      <c r="L119" t="b">
        <f t="shared" ca="1" si="15"/>
        <v>0</v>
      </c>
      <c r="M119" t="b">
        <f t="shared" ca="1" si="16"/>
        <v>0</v>
      </c>
      <c r="N119" s="448"/>
      <c r="O119" s="464"/>
      <c r="R119" s="448"/>
      <c r="S119" s="464"/>
      <c r="V119" s="448"/>
      <c r="W119" s="464"/>
      <c r="Z119" s="448"/>
      <c r="AA119" s="464"/>
      <c r="AD119" s="448"/>
      <c r="AE119" s="464"/>
      <c r="AH119" s="448"/>
      <c r="AI119" s="464"/>
      <c r="AL119" s="448"/>
      <c r="AP119" s="448"/>
    </row>
    <row r="120" spans="1:42" ht="13">
      <c r="A120" s="462"/>
      <c r="B120" s="462"/>
      <c r="C120" t="str">
        <f ca="1">Filtered!I112</f>
        <v>Nature Methods</v>
      </c>
      <c r="D120" t="str">
        <f ca="1">Filtered!J112</f>
        <v>Life Sciences &amp; Earth Sciences</v>
      </c>
      <c r="E120" t="str">
        <f ca="1">Filtered!L112</f>
        <v>Other (Single blind is standard but authors can choose Double blind, and reviewers can sign their names if they wish)</v>
      </c>
      <c r="F120" t="b">
        <f t="shared" ca="1" si="9"/>
        <v>0</v>
      </c>
      <c r="G120" t="b">
        <f t="shared" ca="1" si="10"/>
        <v>0</v>
      </c>
      <c r="H120" t="b">
        <f t="shared" ca="1" si="11"/>
        <v>0</v>
      </c>
      <c r="I120" t="b">
        <f t="shared" ca="1" si="12"/>
        <v>0</v>
      </c>
      <c r="J120" t="b">
        <f t="shared" ca="1" si="13"/>
        <v>0</v>
      </c>
      <c r="K120" t="b">
        <f t="shared" ca="1" si="14"/>
        <v>1</v>
      </c>
      <c r="L120" t="b">
        <f t="shared" ca="1" si="15"/>
        <v>0</v>
      </c>
      <c r="M120" t="b">
        <f t="shared" ca="1" si="16"/>
        <v>0</v>
      </c>
      <c r="N120" s="448"/>
      <c r="O120" s="464"/>
      <c r="R120" s="448"/>
      <c r="S120" s="464"/>
      <c r="V120" s="448"/>
      <c r="W120" s="464"/>
      <c r="Z120" s="448"/>
      <c r="AA120" s="464"/>
      <c r="AD120" s="448"/>
      <c r="AE120" s="464"/>
      <c r="AH120" s="448"/>
      <c r="AI120" s="464"/>
      <c r="AL120" s="448"/>
      <c r="AP120" s="448"/>
    </row>
    <row r="121" spans="1:42" ht="13">
      <c r="A121" s="462"/>
      <c r="B121" s="462"/>
      <c r="C121" t="str">
        <f ca="1">Filtered!I113</f>
        <v>Nature Nanotechnology</v>
      </c>
      <c r="D121" t="str">
        <f ca="1">Filtered!J113</f>
        <v>Chemical &amp; Materials Sciences,
Engineering &amp; Computer Science</v>
      </c>
      <c r="E121" t="str">
        <f ca="1">Filtered!L113</f>
        <v>Other (Single blind is standard but authors can choose Double blind, and reviewers can sign their names if they wish)</v>
      </c>
      <c r="F121" t="b">
        <f t="shared" ca="1" si="9"/>
        <v>0</v>
      </c>
      <c r="G121" t="b">
        <f t="shared" ca="1" si="10"/>
        <v>1</v>
      </c>
      <c r="H121" t="b">
        <f t="shared" ca="1" si="11"/>
        <v>1</v>
      </c>
      <c r="I121" t="b">
        <f t="shared" ca="1" si="12"/>
        <v>0</v>
      </c>
      <c r="J121" t="b">
        <f t="shared" ca="1" si="13"/>
        <v>0</v>
      </c>
      <c r="K121" t="b">
        <f t="shared" ca="1" si="14"/>
        <v>0</v>
      </c>
      <c r="L121" t="b">
        <f t="shared" ca="1" si="15"/>
        <v>0</v>
      </c>
      <c r="M121" t="b">
        <f t="shared" ca="1" si="16"/>
        <v>0</v>
      </c>
      <c r="N121" s="448"/>
      <c r="O121" s="464"/>
      <c r="R121" s="448"/>
      <c r="S121" s="464"/>
      <c r="V121" s="448"/>
      <c r="W121" s="464"/>
      <c r="Z121" s="448"/>
      <c r="AA121" s="464"/>
      <c r="AD121" s="448"/>
      <c r="AE121" s="464"/>
      <c r="AH121" s="448"/>
      <c r="AI121" s="464"/>
      <c r="AL121" s="448"/>
      <c r="AP121" s="448"/>
    </row>
    <row r="122" spans="1:42" ht="13">
      <c r="A122" s="462"/>
      <c r="B122" s="462"/>
      <c r="C122" t="str">
        <f ca="1">Filtered!I114</f>
        <v>Nature Neuroscience</v>
      </c>
      <c r="D122" t="str">
        <f ca="1">Filtered!J114</f>
        <v>Health &amp; Medical Sciences</v>
      </c>
      <c r="E122" t="str">
        <f ca="1">Filtered!L114</f>
        <v>Other (Single blind is standard but authors can choose Double blind, and reviewers can sign their names if they wish)</v>
      </c>
      <c r="F122" t="b">
        <f t="shared" ca="1" si="9"/>
        <v>0</v>
      </c>
      <c r="G122" t="b">
        <f t="shared" ca="1" si="10"/>
        <v>0</v>
      </c>
      <c r="H122" t="b">
        <f t="shared" ca="1" si="11"/>
        <v>0</v>
      </c>
      <c r="I122" t="b">
        <f t="shared" ca="1" si="12"/>
        <v>1</v>
      </c>
      <c r="J122" t="b">
        <f t="shared" ca="1" si="13"/>
        <v>0</v>
      </c>
      <c r="K122" t="b">
        <f t="shared" ca="1" si="14"/>
        <v>0</v>
      </c>
      <c r="L122" t="b">
        <f t="shared" ca="1" si="15"/>
        <v>0</v>
      </c>
      <c r="M122" t="b">
        <f t="shared" ca="1" si="16"/>
        <v>0</v>
      </c>
      <c r="N122" s="448"/>
      <c r="O122" s="464"/>
      <c r="R122" s="448"/>
      <c r="S122" s="464"/>
      <c r="V122" s="448"/>
      <c r="W122" s="464"/>
      <c r="Z122" s="448"/>
      <c r="AA122" s="464"/>
      <c r="AD122" s="448"/>
      <c r="AE122" s="464"/>
      <c r="AH122" s="448"/>
      <c r="AI122" s="464"/>
      <c r="AL122" s="448"/>
      <c r="AP122" s="448"/>
    </row>
    <row r="123" spans="1:42" ht="13">
      <c r="A123" s="462"/>
      <c r="B123" s="462"/>
      <c r="C123" t="str">
        <f ca="1">Filtered!I115</f>
        <v>Nature Photonics</v>
      </c>
      <c r="D123" t="str">
        <f ca="1">Filtered!J115</f>
        <v>Engineering &amp; Computer Science,
Physics &amp; Mathematics</v>
      </c>
      <c r="E123" t="str">
        <f ca="1">Filtered!L115</f>
        <v>Other (Single blind is standard but authors can choose Double blind, and reviewers can sign their names if they wish)</v>
      </c>
      <c r="F123" t="b">
        <f t="shared" ca="1" si="9"/>
        <v>0</v>
      </c>
      <c r="G123" t="b">
        <f t="shared" ca="1" si="10"/>
        <v>0</v>
      </c>
      <c r="H123" t="b">
        <f t="shared" ca="1" si="11"/>
        <v>1</v>
      </c>
      <c r="I123" t="b">
        <f t="shared" ca="1" si="12"/>
        <v>0</v>
      </c>
      <c r="J123" t="b">
        <f t="shared" ca="1" si="13"/>
        <v>0</v>
      </c>
      <c r="K123" t="b">
        <f t="shared" ca="1" si="14"/>
        <v>0</v>
      </c>
      <c r="L123" t="b">
        <f t="shared" ca="1" si="15"/>
        <v>1</v>
      </c>
      <c r="M123" t="b">
        <f t="shared" ca="1" si="16"/>
        <v>0</v>
      </c>
      <c r="N123" s="448"/>
      <c r="O123" s="464"/>
      <c r="R123" s="448"/>
      <c r="S123" s="464"/>
      <c r="V123" s="448"/>
      <c r="W123" s="464"/>
      <c r="Z123" s="448"/>
      <c r="AA123" s="464"/>
      <c r="AD123" s="448"/>
      <c r="AE123" s="464"/>
      <c r="AH123" s="448"/>
      <c r="AI123" s="464"/>
      <c r="AL123" s="448"/>
      <c r="AP123" s="448"/>
    </row>
    <row r="124" spans="1:42" ht="13">
      <c r="A124" s="462"/>
      <c r="B124" s="462"/>
      <c r="C124" t="str">
        <f ca="1">Filtered!I116</f>
        <v>Nature Physics</v>
      </c>
      <c r="D124" t="str">
        <f ca="1">Filtered!J116</f>
        <v>Physics &amp; Mathematics</v>
      </c>
      <c r="E124" t="str">
        <f ca="1">Filtered!L116</f>
        <v>Other (Single blind is standard but authors can choose Double blind, and reviewers can sign their names if they wish)</v>
      </c>
      <c r="F124" t="b">
        <f t="shared" ca="1" si="9"/>
        <v>0</v>
      </c>
      <c r="G124" t="b">
        <f t="shared" ca="1" si="10"/>
        <v>0</v>
      </c>
      <c r="H124" t="b">
        <f t="shared" ca="1" si="11"/>
        <v>0</v>
      </c>
      <c r="I124" t="b">
        <f t="shared" ca="1" si="12"/>
        <v>0</v>
      </c>
      <c r="J124" t="b">
        <f t="shared" ca="1" si="13"/>
        <v>0</v>
      </c>
      <c r="K124" t="b">
        <f t="shared" ca="1" si="14"/>
        <v>0</v>
      </c>
      <c r="L124" t="b">
        <f t="shared" ca="1" si="15"/>
        <v>1</v>
      </c>
      <c r="M124" t="b">
        <f t="shared" ca="1" si="16"/>
        <v>0</v>
      </c>
      <c r="N124" s="448"/>
      <c r="O124" s="464"/>
      <c r="R124" s="448"/>
      <c r="S124" s="464"/>
      <c r="V124" s="448"/>
      <c r="W124" s="464"/>
      <c r="Z124" s="448"/>
      <c r="AA124" s="464"/>
      <c r="AD124" s="448"/>
      <c r="AE124" s="464"/>
      <c r="AH124" s="448"/>
      <c r="AI124" s="464"/>
      <c r="AL124" s="448"/>
      <c r="AP124" s="448"/>
    </row>
    <row r="125" spans="1:42" ht="13">
      <c r="A125" s="462"/>
      <c r="B125" s="462"/>
      <c r="C125" t="str">
        <f ca="1">Filtered!I117</f>
        <v>Nature Reviews Cancer</v>
      </c>
      <c r="D125" t="str">
        <f ca="1">Filtered!J117</f>
        <v/>
      </c>
      <c r="E125" t="str">
        <f ca="1">Filtered!L117</f>
        <v>Unsure</v>
      </c>
      <c r="F125" t="b">
        <f t="shared" ca="1" si="9"/>
        <v>0</v>
      </c>
      <c r="G125" t="b">
        <f t="shared" ca="1" si="10"/>
        <v>0</v>
      </c>
      <c r="H125" t="b">
        <f t="shared" ca="1" si="11"/>
        <v>0</v>
      </c>
      <c r="I125" t="b">
        <f t="shared" ca="1" si="12"/>
        <v>0</v>
      </c>
      <c r="J125" t="b">
        <f t="shared" ca="1" si="13"/>
        <v>0</v>
      </c>
      <c r="K125" t="b">
        <f t="shared" ca="1" si="14"/>
        <v>0</v>
      </c>
      <c r="L125" t="b">
        <f t="shared" ca="1" si="15"/>
        <v>0</v>
      </c>
      <c r="M125" t="b">
        <f t="shared" ca="1" si="16"/>
        <v>0</v>
      </c>
      <c r="N125" s="448"/>
      <c r="O125" s="464"/>
      <c r="R125" s="448"/>
      <c r="S125" s="464"/>
      <c r="V125" s="448"/>
      <c r="W125" s="464"/>
      <c r="Z125" s="448"/>
      <c r="AA125" s="464"/>
      <c r="AD125" s="448"/>
      <c r="AE125" s="464"/>
      <c r="AH125" s="448"/>
      <c r="AI125" s="464"/>
      <c r="AL125" s="448"/>
      <c r="AP125" s="448"/>
    </row>
    <row r="126" spans="1:42" ht="13">
      <c r="A126" s="462"/>
      <c r="B126" s="462"/>
      <c r="C126" t="str">
        <f ca="1">Filtered!I118</f>
        <v>Nature Reviews Genetics</v>
      </c>
      <c r="D126" t="str">
        <f ca="1">Filtered!J118</f>
        <v>Life Sciences &amp; Earth Sciences</v>
      </c>
      <c r="E126" t="str">
        <f ca="1">Filtered!L118</f>
        <v>Unsure</v>
      </c>
      <c r="F126" t="b">
        <f t="shared" ca="1" si="9"/>
        <v>0</v>
      </c>
      <c r="G126" t="b">
        <f t="shared" ca="1" si="10"/>
        <v>0</v>
      </c>
      <c r="H126" t="b">
        <f t="shared" ca="1" si="11"/>
        <v>0</v>
      </c>
      <c r="I126" t="b">
        <f t="shared" ca="1" si="12"/>
        <v>0</v>
      </c>
      <c r="J126" t="b">
        <f t="shared" ca="1" si="13"/>
        <v>0</v>
      </c>
      <c r="K126" t="b">
        <f t="shared" ca="1" si="14"/>
        <v>1</v>
      </c>
      <c r="L126" t="b">
        <f t="shared" ca="1" si="15"/>
        <v>0</v>
      </c>
      <c r="M126" t="b">
        <f t="shared" ca="1" si="16"/>
        <v>0</v>
      </c>
      <c r="N126" s="448"/>
      <c r="O126" s="464"/>
      <c r="R126" s="448"/>
      <c r="S126" s="464"/>
      <c r="V126" s="448"/>
      <c r="W126" s="464"/>
      <c r="Z126" s="448"/>
      <c r="AA126" s="464"/>
      <c r="AD126" s="448"/>
      <c r="AE126" s="464"/>
      <c r="AH126" s="448"/>
      <c r="AI126" s="464"/>
      <c r="AL126" s="448"/>
      <c r="AP126" s="448"/>
    </row>
    <row r="127" spans="1:42" ht="13">
      <c r="A127" s="462"/>
      <c r="B127" s="462"/>
      <c r="C127" t="str">
        <f ca="1">Filtered!I119</f>
        <v>Nature Reviews Immunology</v>
      </c>
      <c r="D127" t="str">
        <f ca="1">Filtered!J119</f>
        <v/>
      </c>
      <c r="E127" t="str">
        <f ca="1">Filtered!L119</f>
        <v>Unsure</v>
      </c>
      <c r="F127" t="b">
        <f t="shared" ca="1" si="9"/>
        <v>0</v>
      </c>
      <c r="G127" t="b">
        <f t="shared" ca="1" si="10"/>
        <v>0</v>
      </c>
      <c r="H127" t="b">
        <f t="shared" ca="1" si="11"/>
        <v>0</v>
      </c>
      <c r="I127" t="b">
        <f t="shared" ca="1" si="12"/>
        <v>0</v>
      </c>
      <c r="J127" t="b">
        <f t="shared" ca="1" si="13"/>
        <v>0</v>
      </c>
      <c r="K127" t="b">
        <f t="shared" ca="1" si="14"/>
        <v>0</v>
      </c>
      <c r="L127" t="b">
        <f t="shared" ca="1" si="15"/>
        <v>0</v>
      </c>
      <c r="M127" t="b">
        <f t="shared" ca="1" si="16"/>
        <v>0</v>
      </c>
      <c r="N127" s="448"/>
      <c r="O127" s="464"/>
      <c r="R127" s="448"/>
      <c r="S127" s="464"/>
      <c r="V127" s="448"/>
      <c r="W127" s="464"/>
      <c r="Z127" s="448"/>
      <c r="AA127" s="464"/>
      <c r="AD127" s="448"/>
      <c r="AE127" s="464"/>
      <c r="AH127" s="448"/>
      <c r="AI127" s="464"/>
      <c r="AL127" s="448"/>
      <c r="AP127" s="448"/>
    </row>
    <row r="128" spans="1:42" ht="13">
      <c r="A128" s="462"/>
      <c r="B128" s="462"/>
      <c r="C128" t="str">
        <f ca="1">Filtered!I120</f>
        <v>Nature Reviews Neuroscience</v>
      </c>
      <c r="D128" t="str">
        <f ca="1">Filtered!J120</f>
        <v/>
      </c>
      <c r="E128" t="str">
        <f ca="1">Filtered!L120</f>
        <v>Unsure</v>
      </c>
      <c r="F128" t="b">
        <f t="shared" ca="1" si="9"/>
        <v>0</v>
      </c>
      <c r="G128" t="b">
        <f t="shared" ca="1" si="10"/>
        <v>0</v>
      </c>
      <c r="H128" t="b">
        <f t="shared" ca="1" si="11"/>
        <v>0</v>
      </c>
      <c r="I128" t="b">
        <f t="shared" ca="1" si="12"/>
        <v>0</v>
      </c>
      <c r="J128" t="b">
        <f t="shared" ca="1" si="13"/>
        <v>0</v>
      </c>
      <c r="K128" t="b">
        <f t="shared" ca="1" si="14"/>
        <v>0</v>
      </c>
      <c r="L128" t="b">
        <f t="shared" ca="1" si="15"/>
        <v>0</v>
      </c>
      <c r="M128" t="b">
        <f t="shared" ca="1" si="16"/>
        <v>0</v>
      </c>
      <c r="N128" s="448"/>
      <c r="O128" s="464"/>
      <c r="R128" s="448"/>
      <c r="S128" s="464"/>
      <c r="V128" s="448"/>
      <c r="W128" s="464"/>
      <c r="Z128" s="448"/>
      <c r="AA128" s="464"/>
      <c r="AD128" s="448"/>
      <c r="AE128" s="464"/>
      <c r="AH128" s="448"/>
      <c r="AI128" s="464"/>
      <c r="AL128" s="448"/>
      <c r="AP128" s="448"/>
    </row>
    <row r="129" spans="1:42" ht="13">
      <c r="A129" s="462"/>
      <c r="B129" s="462"/>
      <c r="C129" t="str">
        <f ca="1">Filtered!I121</f>
        <v>Nature Reviews. Drug Discovery</v>
      </c>
      <c r="D129" t="str">
        <f ca="1">Filtered!J121</f>
        <v/>
      </c>
      <c r="E129" t="str">
        <f ca="1">Filtered!L121</f>
        <v>Unsure</v>
      </c>
      <c r="F129" t="b">
        <f t="shared" ca="1" si="9"/>
        <v>0</v>
      </c>
      <c r="G129" t="b">
        <f t="shared" ca="1" si="10"/>
        <v>0</v>
      </c>
      <c r="H129" t="b">
        <f t="shared" ca="1" si="11"/>
        <v>0</v>
      </c>
      <c r="I129" t="b">
        <f t="shared" ca="1" si="12"/>
        <v>0</v>
      </c>
      <c r="J129" t="b">
        <f t="shared" ca="1" si="13"/>
        <v>0</v>
      </c>
      <c r="K129" t="b">
        <f t="shared" ca="1" si="14"/>
        <v>0</v>
      </c>
      <c r="L129" t="b">
        <f t="shared" ca="1" si="15"/>
        <v>0</v>
      </c>
      <c r="M129" t="b">
        <f t="shared" ca="1" si="16"/>
        <v>0</v>
      </c>
      <c r="N129" s="448"/>
      <c r="O129" s="464"/>
      <c r="R129" s="448"/>
      <c r="S129" s="464"/>
      <c r="V129" s="448"/>
      <c r="W129" s="464"/>
      <c r="Z129" s="448"/>
      <c r="AA129" s="464"/>
      <c r="AD129" s="448"/>
      <c r="AE129" s="464"/>
      <c r="AH129" s="448"/>
      <c r="AI129" s="464"/>
      <c r="AL129" s="448"/>
      <c r="AP129" s="448"/>
    </row>
    <row r="130" spans="1:42" ht="13">
      <c r="A130" s="462"/>
      <c r="B130" s="462"/>
      <c r="C130" t="str">
        <f ca="1">Filtered!I122</f>
        <v>Nature Reviews. Molecular Cell Biology</v>
      </c>
      <c r="D130" t="str">
        <f ca="1">Filtered!J122</f>
        <v>Life Sciences &amp; Earth Sciences</v>
      </c>
      <c r="E130" t="str">
        <f ca="1">Filtered!L122</f>
        <v>Unsure</v>
      </c>
      <c r="F130" t="b">
        <f t="shared" ca="1" si="9"/>
        <v>0</v>
      </c>
      <c r="G130" t="b">
        <f t="shared" ca="1" si="10"/>
        <v>0</v>
      </c>
      <c r="H130" t="b">
        <f t="shared" ca="1" si="11"/>
        <v>0</v>
      </c>
      <c r="I130" t="b">
        <f t="shared" ca="1" si="12"/>
        <v>0</v>
      </c>
      <c r="J130" t="b">
        <f t="shared" ca="1" si="13"/>
        <v>0</v>
      </c>
      <c r="K130" t="b">
        <f t="shared" ca="1" si="14"/>
        <v>1</v>
      </c>
      <c r="L130" t="b">
        <f t="shared" ca="1" si="15"/>
        <v>0</v>
      </c>
      <c r="M130" t="b">
        <f t="shared" ca="1" si="16"/>
        <v>0</v>
      </c>
      <c r="N130" s="448"/>
      <c r="O130" s="464"/>
      <c r="R130" s="448"/>
      <c r="S130" s="464"/>
      <c r="V130" s="448"/>
      <c r="W130" s="464"/>
      <c r="Z130" s="448"/>
      <c r="AA130" s="464"/>
      <c r="AD130" s="448"/>
      <c r="AE130" s="464"/>
      <c r="AH130" s="448"/>
      <c r="AI130" s="464"/>
      <c r="AL130" s="448"/>
      <c r="AP130" s="448"/>
    </row>
    <row r="131" spans="1:42" ht="13">
      <c r="A131" s="462"/>
      <c r="B131" s="462"/>
      <c r="C131" t="str">
        <f ca="1">Filtered!I123</f>
        <v>Neural Information Processing Systems (NIPS)</v>
      </c>
      <c r="D131" t="str">
        <f ca="1">Filtered!J123</f>
        <v>Engineering &amp; Computer Science</v>
      </c>
      <c r="E131" t="str">
        <f ca="1">Filtered!L123</f>
        <v>Double blind</v>
      </c>
      <c r="F131" t="b">
        <f t="shared" ca="1" si="9"/>
        <v>0</v>
      </c>
      <c r="G131" t="b">
        <f t="shared" ca="1" si="10"/>
        <v>0</v>
      </c>
      <c r="H131" t="b">
        <f t="shared" ca="1" si="11"/>
        <v>1</v>
      </c>
      <c r="I131" t="b">
        <f t="shared" ca="1" si="12"/>
        <v>0</v>
      </c>
      <c r="J131" t="b">
        <f t="shared" ca="1" si="13"/>
        <v>0</v>
      </c>
      <c r="K131" t="b">
        <f t="shared" ca="1" si="14"/>
        <v>0</v>
      </c>
      <c r="L131" t="b">
        <f t="shared" ca="1" si="15"/>
        <v>0</v>
      </c>
      <c r="M131" t="b">
        <f t="shared" ca="1" si="16"/>
        <v>0</v>
      </c>
      <c r="N131" s="448"/>
      <c r="O131" s="464"/>
      <c r="R131" s="448"/>
      <c r="S131" s="464"/>
      <c r="V131" s="448"/>
      <c r="W131" s="464"/>
      <c r="Z131" s="448"/>
      <c r="AA131" s="464"/>
      <c r="AD131" s="448"/>
      <c r="AE131" s="464"/>
      <c r="AH131" s="448"/>
      <c r="AI131" s="464"/>
      <c r="AL131" s="448"/>
      <c r="AP131" s="448"/>
    </row>
    <row r="132" spans="1:42" ht="13">
      <c r="A132" s="462"/>
      <c r="B132" s="462"/>
      <c r="C132" t="str">
        <f ca="1">Filtered!I124</f>
        <v>NeuroImage</v>
      </c>
      <c r="D132" t="str">
        <f ca="1">Filtered!J124</f>
        <v/>
      </c>
      <c r="E132" t="str">
        <f ca="1">Filtered!L124</f>
        <v>Single blind</v>
      </c>
      <c r="F132" t="b">
        <f t="shared" ca="1" si="9"/>
        <v>0</v>
      </c>
      <c r="G132" t="b">
        <f t="shared" ca="1" si="10"/>
        <v>0</v>
      </c>
      <c r="H132" t="b">
        <f t="shared" ca="1" si="11"/>
        <v>0</v>
      </c>
      <c r="I132" t="b">
        <f t="shared" ca="1" si="12"/>
        <v>0</v>
      </c>
      <c r="J132" t="b">
        <f t="shared" ca="1" si="13"/>
        <v>0</v>
      </c>
      <c r="K132" t="b">
        <f t="shared" ca="1" si="14"/>
        <v>0</v>
      </c>
      <c r="L132" t="b">
        <f t="shared" ca="1" si="15"/>
        <v>0</v>
      </c>
      <c r="M132" t="b">
        <f t="shared" ca="1" si="16"/>
        <v>0</v>
      </c>
      <c r="N132" s="448"/>
      <c r="O132" s="464"/>
      <c r="R132" s="448"/>
      <c r="S132" s="464"/>
      <c r="V132" s="448"/>
      <c r="W132" s="464"/>
      <c r="Z132" s="448"/>
      <c r="AA132" s="464"/>
      <c r="AD132" s="448"/>
      <c r="AE132" s="464"/>
      <c r="AH132" s="448"/>
      <c r="AI132" s="464"/>
      <c r="AL132" s="448"/>
      <c r="AP132" s="448"/>
    </row>
    <row r="133" spans="1:42" ht="13">
      <c r="A133" s="462"/>
      <c r="B133" s="462"/>
      <c r="C133" t="str">
        <f ca="1">Filtered!I125</f>
        <v>Neuron</v>
      </c>
      <c r="D133" t="str">
        <f ca="1">Filtered!J125</f>
        <v>Health &amp; Medical Sciences,
Life Sciences &amp; Earth Sciences</v>
      </c>
      <c r="E133" t="str">
        <f ca="1">Filtered!L125</f>
        <v>Single blind</v>
      </c>
      <c r="F133" t="b">
        <f t="shared" ca="1" si="9"/>
        <v>0</v>
      </c>
      <c r="G133" t="b">
        <f t="shared" ca="1" si="10"/>
        <v>0</v>
      </c>
      <c r="H133" t="b">
        <f t="shared" ca="1" si="11"/>
        <v>0</v>
      </c>
      <c r="I133" t="b">
        <f t="shared" ca="1" si="12"/>
        <v>1</v>
      </c>
      <c r="J133" t="b">
        <f t="shared" ca="1" si="13"/>
        <v>0</v>
      </c>
      <c r="K133" t="b">
        <f t="shared" ca="1" si="14"/>
        <v>1</v>
      </c>
      <c r="L133" t="b">
        <f t="shared" ca="1" si="15"/>
        <v>0</v>
      </c>
      <c r="M133" t="b">
        <f t="shared" ca="1" si="16"/>
        <v>0</v>
      </c>
      <c r="N133" s="448"/>
      <c r="O133" s="464"/>
      <c r="R133" s="448"/>
      <c r="S133" s="464"/>
      <c r="V133" s="448"/>
      <c r="W133" s="464"/>
      <c r="Z133" s="448"/>
      <c r="AA133" s="464"/>
      <c r="AD133" s="448"/>
      <c r="AE133" s="464"/>
      <c r="AH133" s="448"/>
      <c r="AI133" s="464"/>
      <c r="AL133" s="448"/>
      <c r="AP133" s="448"/>
    </row>
    <row r="134" spans="1:42" ht="13">
      <c r="A134" s="462"/>
      <c r="B134" s="462"/>
      <c r="C134" t="str">
        <f ca="1">Filtered!I126</f>
        <v>New Media and Society</v>
      </c>
      <c r="D134" t="str">
        <f ca="1">Filtered!J126</f>
        <v>Social Sciences</v>
      </c>
      <c r="E134" t="str">
        <f ca="1">Filtered!L126</f>
        <v>Double blind</v>
      </c>
      <c r="F134" t="b">
        <f t="shared" ca="1" si="9"/>
        <v>0</v>
      </c>
      <c r="G134" t="b">
        <f t="shared" ca="1" si="10"/>
        <v>0</v>
      </c>
      <c r="H134" t="b">
        <f t="shared" ca="1" si="11"/>
        <v>0</v>
      </c>
      <c r="I134" t="b">
        <f t="shared" ca="1" si="12"/>
        <v>0</v>
      </c>
      <c r="J134" t="b">
        <f t="shared" ca="1" si="13"/>
        <v>0</v>
      </c>
      <c r="K134" t="b">
        <f t="shared" ca="1" si="14"/>
        <v>0</v>
      </c>
      <c r="L134" t="b">
        <f t="shared" ca="1" si="15"/>
        <v>0</v>
      </c>
      <c r="M134" t="b">
        <f t="shared" ca="1" si="16"/>
        <v>1</v>
      </c>
      <c r="N134" s="448"/>
      <c r="O134" s="464"/>
      <c r="R134" s="448"/>
      <c r="S134" s="464"/>
      <c r="V134" s="448"/>
      <c r="W134" s="464"/>
      <c r="Z134" s="448"/>
      <c r="AA134" s="464"/>
      <c r="AD134" s="448"/>
      <c r="AE134" s="464"/>
      <c r="AH134" s="448"/>
      <c r="AI134" s="464"/>
      <c r="AL134" s="448"/>
      <c r="AP134" s="448"/>
    </row>
    <row r="135" spans="1:42" ht="13">
      <c r="A135" s="462"/>
      <c r="B135" s="462"/>
      <c r="C135" t="str">
        <f ca="1">Filtered!I127</f>
        <v>Noûs</v>
      </c>
      <c r="D135" t="str">
        <f ca="1">Filtered!J127</f>
        <v>Social Sciences, Humanities, Literature &amp; Arts</v>
      </c>
      <c r="E135" t="str">
        <f ca="1">Filtered!L127</f>
        <v>Other (Triple blind)</v>
      </c>
      <c r="F135" t="b">
        <f t="shared" ca="1" si="9"/>
        <v>0</v>
      </c>
      <c r="G135" t="b">
        <f t="shared" ca="1" si="10"/>
        <v>0</v>
      </c>
      <c r="H135" t="b">
        <f t="shared" ca="1" si="11"/>
        <v>0</v>
      </c>
      <c r="I135" t="b">
        <f t="shared" ca="1" si="12"/>
        <v>0</v>
      </c>
      <c r="J135" t="b">
        <f t="shared" ca="1" si="13"/>
        <v>1</v>
      </c>
      <c r="K135" t="b">
        <f t="shared" ca="1" si="14"/>
        <v>0</v>
      </c>
      <c r="L135" t="b">
        <f t="shared" ca="1" si="15"/>
        <v>0</v>
      </c>
      <c r="M135" t="b">
        <f t="shared" ca="1" si="16"/>
        <v>1</v>
      </c>
      <c r="N135" s="448"/>
      <c r="O135" s="464"/>
      <c r="R135" s="448"/>
      <c r="S135" s="464"/>
      <c r="V135" s="448"/>
      <c r="W135" s="464"/>
      <c r="Z135" s="448"/>
      <c r="AA135" s="464"/>
      <c r="AD135" s="448"/>
      <c r="AE135" s="464"/>
      <c r="AH135" s="448"/>
      <c r="AI135" s="464"/>
      <c r="AL135" s="448"/>
      <c r="AP135" s="448"/>
    </row>
    <row r="136" spans="1:42" ht="13">
      <c r="A136" s="462"/>
      <c r="B136" s="462"/>
      <c r="C136" t="str">
        <f ca="1">Filtered!I128</f>
        <v>Nucleic Acids Research</v>
      </c>
      <c r="D136" t="str">
        <f ca="1">Filtered!J128</f>
        <v>Life Sciences &amp; Earth Sciences</v>
      </c>
      <c r="E136" t="str">
        <f ca="1">Filtered!L128</f>
        <v>Unsure</v>
      </c>
      <c r="F136" t="b">
        <f t="shared" ca="1" si="9"/>
        <v>0</v>
      </c>
      <c r="G136" t="b">
        <f t="shared" ca="1" si="10"/>
        <v>0</v>
      </c>
      <c r="H136" t="b">
        <f t="shared" ca="1" si="11"/>
        <v>0</v>
      </c>
      <c r="I136" t="b">
        <f t="shared" ca="1" si="12"/>
        <v>0</v>
      </c>
      <c r="J136" t="b">
        <f t="shared" ca="1" si="13"/>
        <v>0</v>
      </c>
      <c r="K136" t="b">
        <f t="shared" ca="1" si="14"/>
        <v>1</v>
      </c>
      <c r="L136" t="b">
        <f t="shared" ca="1" si="15"/>
        <v>0</v>
      </c>
      <c r="M136" t="b">
        <f t="shared" ca="1" si="16"/>
        <v>0</v>
      </c>
      <c r="N136" s="448"/>
      <c r="O136" s="464"/>
      <c r="R136" s="448"/>
      <c r="S136" s="464"/>
      <c r="V136" s="448"/>
      <c r="W136" s="464"/>
      <c r="Z136" s="448"/>
      <c r="AA136" s="464"/>
      <c r="AD136" s="448"/>
      <c r="AE136" s="464"/>
      <c r="AH136" s="448"/>
      <c r="AI136" s="464"/>
      <c r="AL136" s="448"/>
      <c r="AP136" s="448"/>
    </row>
    <row r="137" spans="1:42" ht="13">
      <c r="A137" s="462"/>
      <c r="B137" s="462"/>
      <c r="C137" t="str">
        <f ca="1">Filtered!I129</f>
        <v>Obstetrical &amp; Gynecological Survey</v>
      </c>
      <c r="D137" t="str">
        <f ca="1">Filtered!J129</f>
        <v/>
      </c>
      <c r="E137" t="str">
        <f ca="1">Filtered!L129</f>
        <v>Unsure</v>
      </c>
      <c r="F137" t="b">
        <f t="shared" ca="1" si="9"/>
        <v>0</v>
      </c>
      <c r="G137" t="b">
        <f t="shared" ca="1" si="10"/>
        <v>0</v>
      </c>
      <c r="H137" t="b">
        <f t="shared" ca="1" si="11"/>
        <v>0</v>
      </c>
      <c r="I137" t="b">
        <f t="shared" ca="1" si="12"/>
        <v>0</v>
      </c>
      <c r="J137" t="b">
        <f t="shared" ca="1" si="13"/>
        <v>0</v>
      </c>
      <c r="K137" t="b">
        <f t="shared" ca="1" si="14"/>
        <v>0</v>
      </c>
      <c r="L137" t="b">
        <f t="shared" ca="1" si="15"/>
        <v>0</v>
      </c>
      <c r="M137" t="b">
        <f t="shared" ca="1" si="16"/>
        <v>0</v>
      </c>
      <c r="N137" s="448"/>
      <c r="O137" s="464"/>
      <c r="R137" s="448"/>
      <c r="S137" s="464"/>
      <c r="V137" s="448"/>
      <c r="W137" s="464"/>
      <c r="Z137" s="448"/>
      <c r="AA137" s="464"/>
      <c r="AD137" s="448"/>
      <c r="AE137" s="464"/>
      <c r="AH137" s="448"/>
      <c r="AI137" s="464"/>
      <c r="AL137" s="448"/>
      <c r="AP137" s="448"/>
    </row>
    <row r="138" spans="1:42" ht="13">
      <c r="A138" s="462"/>
      <c r="B138" s="462"/>
      <c r="C138" t="str">
        <f ca="1">Filtered!I130</f>
        <v>Optics Express</v>
      </c>
      <c r="D138" t="str">
        <f ca="1">Filtered!J130</f>
        <v>Physics &amp; Mathematics</v>
      </c>
      <c r="E138" t="str">
        <f ca="1">Filtered!L130</f>
        <v>Single blind</v>
      </c>
      <c r="F138" t="b">
        <f t="shared" ca="1" si="9"/>
        <v>0</v>
      </c>
      <c r="G138" t="b">
        <f t="shared" ca="1" si="10"/>
        <v>0</v>
      </c>
      <c r="H138" t="b">
        <f t="shared" ca="1" si="11"/>
        <v>0</v>
      </c>
      <c r="I138" t="b">
        <f t="shared" ca="1" si="12"/>
        <v>0</v>
      </c>
      <c r="J138" t="b">
        <f t="shared" ca="1" si="13"/>
        <v>0</v>
      </c>
      <c r="K138" t="b">
        <f t="shared" ca="1" si="14"/>
        <v>0</v>
      </c>
      <c r="L138" t="b">
        <f t="shared" ca="1" si="15"/>
        <v>1</v>
      </c>
      <c r="M138" t="b">
        <f t="shared" ca="1" si="16"/>
        <v>0</v>
      </c>
      <c r="N138" s="448"/>
      <c r="O138" s="464"/>
      <c r="R138" s="448"/>
      <c r="S138" s="464"/>
      <c r="V138" s="448"/>
      <c r="W138" s="464"/>
      <c r="Z138" s="448"/>
      <c r="AA138" s="464"/>
      <c r="AD138" s="448"/>
      <c r="AE138" s="464"/>
      <c r="AH138" s="448"/>
      <c r="AI138" s="464"/>
      <c r="AL138" s="448"/>
      <c r="AP138" s="448"/>
    </row>
    <row r="139" spans="1:42" ht="13">
      <c r="A139" s="462"/>
      <c r="B139" s="462"/>
      <c r="C139" t="str">
        <f ca="1">Filtered!I131</f>
        <v>Pediatrics</v>
      </c>
      <c r="D139" t="str">
        <f ca="1">Filtered!J131</f>
        <v/>
      </c>
      <c r="E139" t="str">
        <f ca="1">Filtered!L131</f>
        <v>Unsure (reviewers anon, but not clear if author anon or not)</v>
      </c>
      <c r="F139" t="b">
        <f t="shared" ca="1" si="9"/>
        <v>0</v>
      </c>
      <c r="G139" t="b">
        <f t="shared" ca="1" si="10"/>
        <v>0</v>
      </c>
      <c r="H139" t="b">
        <f t="shared" ca="1" si="11"/>
        <v>0</v>
      </c>
      <c r="I139" t="b">
        <f t="shared" ca="1" si="12"/>
        <v>0</v>
      </c>
      <c r="J139" t="b">
        <f t="shared" ca="1" si="13"/>
        <v>0</v>
      </c>
      <c r="K139" t="b">
        <f t="shared" ca="1" si="14"/>
        <v>0</v>
      </c>
      <c r="L139" t="b">
        <f t="shared" ca="1" si="15"/>
        <v>0</v>
      </c>
      <c r="M139" t="b">
        <f t="shared" ca="1" si="16"/>
        <v>0</v>
      </c>
      <c r="N139" s="448"/>
      <c r="O139" s="464"/>
      <c r="R139" s="448"/>
      <c r="S139" s="464"/>
      <c r="V139" s="448"/>
      <c r="W139" s="464"/>
      <c r="Z139" s="448"/>
      <c r="AA139" s="464"/>
      <c r="AD139" s="448"/>
      <c r="AE139" s="464"/>
      <c r="AH139" s="448"/>
      <c r="AI139" s="464"/>
      <c r="AL139" s="448"/>
      <c r="AP139" s="448"/>
    </row>
    <row r="140" spans="1:42" ht="13">
      <c r="A140" s="462"/>
      <c r="B140" s="462"/>
      <c r="C140" t="str">
        <f ca="1">Filtered!I132</f>
        <v>Philosophical Studies</v>
      </c>
      <c r="D140" t="str">
        <f ca="1">Filtered!J132</f>
        <v>Humanities, Literature &amp; Arts</v>
      </c>
      <c r="E140" t="str">
        <f ca="1">Filtered!L132</f>
        <v>Double blind</v>
      </c>
      <c r="F140" t="b">
        <f t="shared" ca="1" si="9"/>
        <v>0</v>
      </c>
      <c r="G140" t="b">
        <f t="shared" ca="1" si="10"/>
        <v>0</v>
      </c>
      <c r="H140" t="b">
        <f t="shared" ca="1" si="11"/>
        <v>0</v>
      </c>
      <c r="I140" t="b">
        <f t="shared" ca="1" si="12"/>
        <v>0</v>
      </c>
      <c r="J140" t="b">
        <f t="shared" ca="1" si="13"/>
        <v>1</v>
      </c>
      <c r="K140" t="b">
        <f t="shared" ca="1" si="14"/>
        <v>0</v>
      </c>
      <c r="L140" t="b">
        <f t="shared" ca="1" si="15"/>
        <v>0</v>
      </c>
      <c r="M140" t="b">
        <f t="shared" ca="1" si="16"/>
        <v>0</v>
      </c>
      <c r="N140" s="448"/>
      <c r="O140" s="464"/>
      <c r="R140" s="448"/>
      <c r="S140" s="464"/>
      <c r="V140" s="448"/>
      <c r="W140" s="464"/>
      <c r="Z140" s="448"/>
      <c r="AA140" s="464"/>
      <c r="AD140" s="448"/>
      <c r="AE140" s="464"/>
      <c r="AH140" s="448"/>
      <c r="AI140" s="464"/>
      <c r="AL140" s="448"/>
      <c r="AP140" s="448"/>
    </row>
    <row r="141" spans="1:42" ht="13">
      <c r="A141" s="462"/>
      <c r="B141" s="462"/>
      <c r="C141" t="str">
        <f ca="1">Filtered!I133</f>
        <v>Physical Review B</v>
      </c>
      <c r="D141" t="str">
        <f ca="1">Filtered!J133</f>
        <v>Physics &amp; Mathematics</v>
      </c>
      <c r="E141" t="str">
        <f ca="1">Filtered!L133</f>
        <v>Single blind</v>
      </c>
      <c r="F141" t="b">
        <f t="shared" ca="1" si="9"/>
        <v>0</v>
      </c>
      <c r="G141" t="b">
        <f t="shared" ca="1" si="10"/>
        <v>0</v>
      </c>
      <c r="H141" t="b">
        <f t="shared" ca="1" si="11"/>
        <v>0</v>
      </c>
      <c r="I141" t="b">
        <f t="shared" ca="1" si="12"/>
        <v>0</v>
      </c>
      <c r="J141" t="b">
        <f t="shared" ca="1" si="13"/>
        <v>0</v>
      </c>
      <c r="K141" t="b">
        <f t="shared" ca="1" si="14"/>
        <v>0</v>
      </c>
      <c r="L141" t="b">
        <f t="shared" ca="1" si="15"/>
        <v>1</v>
      </c>
      <c r="M141" t="b">
        <f t="shared" ca="1" si="16"/>
        <v>0</v>
      </c>
      <c r="N141" s="448"/>
      <c r="O141" s="464"/>
      <c r="R141" s="448"/>
      <c r="S141" s="464"/>
      <c r="V141" s="448"/>
      <c r="W141" s="464"/>
      <c r="Z141" s="448"/>
      <c r="AA141" s="464"/>
      <c r="AD141" s="448"/>
      <c r="AE141" s="464"/>
      <c r="AH141" s="448"/>
      <c r="AI141" s="464"/>
      <c r="AL141" s="448"/>
      <c r="AP141" s="448"/>
    </row>
    <row r="142" spans="1:42" ht="13">
      <c r="A142" s="462"/>
      <c r="B142" s="462"/>
      <c r="C142" t="str">
        <f ca="1">Filtered!I134</f>
        <v>Physical Review D</v>
      </c>
      <c r="D142" t="str">
        <f ca="1">Filtered!J134</f>
        <v>Physics &amp; Mathematics</v>
      </c>
      <c r="E142" t="str">
        <f ca="1">Filtered!L134</f>
        <v>Single blind</v>
      </c>
      <c r="F142" t="b">
        <f t="shared" ca="1" si="9"/>
        <v>0</v>
      </c>
      <c r="G142" t="b">
        <f t="shared" ca="1" si="10"/>
        <v>0</v>
      </c>
      <c r="H142" t="b">
        <f t="shared" ca="1" si="11"/>
        <v>0</v>
      </c>
      <c r="I142" t="b">
        <f t="shared" ca="1" si="12"/>
        <v>0</v>
      </c>
      <c r="J142" t="b">
        <f t="shared" ca="1" si="13"/>
        <v>0</v>
      </c>
      <c r="K142" t="b">
        <f t="shared" ca="1" si="14"/>
        <v>0</v>
      </c>
      <c r="L142" t="b">
        <f t="shared" ca="1" si="15"/>
        <v>1</v>
      </c>
      <c r="M142" t="b">
        <f t="shared" ca="1" si="16"/>
        <v>0</v>
      </c>
      <c r="N142" s="448"/>
      <c r="O142" s="464"/>
      <c r="R142" s="448"/>
      <c r="S142" s="464"/>
      <c r="V142" s="448"/>
      <c r="W142" s="464"/>
      <c r="Z142" s="448"/>
      <c r="AA142" s="464"/>
      <c r="AD142" s="448"/>
      <c r="AE142" s="464"/>
      <c r="AH142" s="448"/>
      <c r="AI142" s="464"/>
      <c r="AL142" s="448"/>
      <c r="AP142" s="448"/>
    </row>
    <row r="143" spans="1:42" ht="13">
      <c r="A143" s="462"/>
      <c r="B143" s="462"/>
      <c r="C143" t="str">
        <f ca="1">Filtered!I135</f>
        <v>Physical Review Letters</v>
      </c>
      <c r="D143" t="str">
        <f ca="1">Filtered!J135</f>
        <v>Physics &amp; Mathematics</v>
      </c>
      <c r="E143" t="str">
        <f ca="1">Filtered!L135</f>
        <v>Single blind</v>
      </c>
      <c r="F143" t="b">
        <f t="shared" ca="1" si="9"/>
        <v>0</v>
      </c>
      <c r="G143" t="b">
        <f t="shared" ca="1" si="10"/>
        <v>0</v>
      </c>
      <c r="H143" t="b">
        <f t="shared" ca="1" si="11"/>
        <v>0</v>
      </c>
      <c r="I143" t="b">
        <f t="shared" ca="1" si="12"/>
        <v>0</v>
      </c>
      <c r="J143" t="b">
        <f t="shared" ca="1" si="13"/>
        <v>0</v>
      </c>
      <c r="K143" t="b">
        <f t="shared" ca="1" si="14"/>
        <v>0</v>
      </c>
      <c r="L143" t="b">
        <f t="shared" ca="1" si="15"/>
        <v>1</v>
      </c>
      <c r="M143" t="b">
        <f t="shared" ca="1" si="16"/>
        <v>0</v>
      </c>
      <c r="N143" s="448"/>
      <c r="O143" s="464"/>
      <c r="R143" s="448"/>
      <c r="S143" s="464"/>
      <c r="V143" s="448"/>
      <c r="W143" s="464"/>
      <c r="Z143" s="448"/>
      <c r="AA143" s="464"/>
      <c r="AD143" s="448"/>
      <c r="AE143" s="464"/>
      <c r="AH143" s="448"/>
      <c r="AI143" s="464"/>
      <c r="AL143" s="448"/>
      <c r="AP143" s="448"/>
    </row>
    <row r="144" spans="1:42" ht="13">
      <c r="A144" s="462"/>
      <c r="B144" s="462"/>
      <c r="C144" t="str">
        <f ca="1">Filtered!I136</f>
        <v>Physical Review X</v>
      </c>
      <c r="D144" t="str">
        <f ca="1">Filtered!J136</f>
        <v>Physics &amp; Mathematics</v>
      </c>
      <c r="E144" t="str">
        <f ca="1">Filtered!L136</f>
        <v>Single blind</v>
      </c>
      <c r="F144" t="b">
        <f t="shared" ca="1" si="9"/>
        <v>0</v>
      </c>
      <c r="G144" t="b">
        <f t="shared" ca="1" si="10"/>
        <v>0</v>
      </c>
      <c r="H144" t="b">
        <f t="shared" ca="1" si="11"/>
        <v>0</v>
      </c>
      <c r="I144" t="b">
        <f t="shared" ca="1" si="12"/>
        <v>0</v>
      </c>
      <c r="J144" t="b">
        <f t="shared" ca="1" si="13"/>
        <v>0</v>
      </c>
      <c r="K144" t="b">
        <f t="shared" ca="1" si="14"/>
        <v>0</v>
      </c>
      <c r="L144" t="b">
        <f t="shared" ca="1" si="15"/>
        <v>1</v>
      </c>
      <c r="M144" t="b">
        <f t="shared" ca="1" si="16"/>
        <v>0</v>
      </c>
      <c r="N144" s="448"/>
      <c r="O144" s="464"/>
      <c r="R144" s="448"/>
      <c r="S144" s="464"/>
      <c r="V144" s="448"/>
      <c r="W144" s="464"/>
      <c r="Z144" s="448"/>
      <c r="AA144" s="464"/>
      <c r="AD144" s="448"/>
      <c r="AE144" s="464"/>
      <c r="AH144" s="448"/>
      <c r="AI144" s="464"/>
      <c r="AL144" s="448"/>
      <c r="AP144" s="448"/>
    </row>
    <row r="145" spans="1:42" ht="13">
      <c r="A145" s="462"/>
      <c r="B145" s="462"/>
      <c r="C145" t="str">
        <f ca="1">Filtered!I137</f>
        <v>Physics Letters B</v>
      </c>
      <c r="D145" t="str">
        <f ca="1">Filtered!J137</f>
        <v>Physics &amp; Mathematics</v>
      </c>
      <c r="E145" t="str">
        <f ca="1">Filtered!L137</f>
        <v>Single blind</v>
      </c>
      <c r="F145" t="b">
        <f t="shared" ca="1" si="9"/>
        <v>0</v>
      </c>
      <c r="G145" t="b">
        <f t="shared" ca="1" si="10"/>
        <v>0</v>
      </c>
      <c r="H145" t="b">
        <f t="shared" ca="1" si="11"/>
        <v>0</v>
      </c>
      <c r="I145" t="b">
        <f t="shared" ca="1" si="12"/>
        <v>0</v>
      </c>
      <c r="J145" t="b">
        <f t="shared" ca="1" si="13"/>
        <v>0</v>
      </c>
      <c r="K145" t="b">
        <f t="shared" ca="1" si="14"/>
        <v>0</v>
      </c>
      <c r="L145" t="b">
        <f t="shared" ca="1" si="15"/>
        <v>1</v>
      </c>
      <c r="M145" t="b">
        <f t="shared" ca="1" si="16"/>
        <v>0</v>
      </c>
      <c r="N145" s="448"/>
      <c r="O145" s="464"/>
      <c r="R145" s="448"/>
      <c r="S145" s="464"/>
      <c r="V145" s="448"/>
      <c r="W145" s="464"/>
      <c r="Z145" s="448"/>
      <c r="AA145" s="464"/>
      <c r="AD145" s="448"/>
      <c r="AE145" s="464"/>
      <c r="AH145" s="448"/>
      <c r="AI145" s="464"/>
      <c r="AL145" s="448"/>
      <c r="AP145" s="448"/>
    </row>
    <row r="146" spans="1:42" ht="13">
      <c r="A146" s="462"/>
      <c r="B146" s="462"/>
      <c r="C146" t="str">
        <f ca="1">Filtered!I138</f>
        <v>PLoS One</v>
      </c>
      <c r="D146" t="str">
        <f ca="1">Filtered!J138</f>
        <v>Health &amp; Medical Sciences,
Life Sciences &amp; Earth Sciences</v>
      </c>
      <c r="E146" t="str">
        <f ca="1">Filtered!L138</f>
        <v>Single blind</v>
      </c>
      <c r="F146" t="b">
        <f t="shared" ca="1" si="9"/>
        <v>0</v>
      </c>
      <c r="G146" t="b">
        <f t="shared" ca="1" si="10"/>
        <v>0</v>
      </c>
      <c r="H146" t="b">
        <f t="shared" ca="1" si="11"/>
        <v>0</v>
      </c>
      <c r="I146" t="b">
        <f t="shared" ca="1" si="12"/>
        <v>1</v>
      </c>
      <c r="J146" t="b">
        <f t="shared" ca="1" si="13"/>
        <v>0</v>
      </c>
      <c r="K146" t="b">
        <f t="shared" ca="1" si="14"/>
        <v>1</v>
      </c>
      <c r="L146" t="b">
        <f t="shared" ca="1" si="15"/>
        <v>0</v>
      </c>
      <c r="M146" t="b">
        <f t="shared" ca="1" si="16"/>
        <v>0</v>
      </c>
      <c r="N146" s="448"/>
      <c r="O146" s="464"/>
      <c r="R146" s="448"/>
      <c r="S146" s="464"/>
      <c r="V146" s="448"/>
      <c r="W146" s="464"/>
      <c r="Z146" s="448"/>
      <c r="AA146" s="464"/>
      <c r="AD146" s="448"/>
      <c r="AE146" s="464"/>
      <c r="AH146" s="448"/>
      <c r="AI146" s="464"/>
      <c r="AL146" s="448"/>
      <c r="AP146" s="448"/>
    </row>
    <row r="147" spans="1:42" ht="13">
      <c r="A147" s="462"/>
      <c r="B147" s="462"/>
      <c r="C147" t="str">
        <f ca="1">Filtered!I139</f>
        <v>Proceedings of the National Academy of Sciences</v>
      </c>
      <c r="D147" t="str">
        <f ca="1">Filtered!J139</f>
        <v>Health &amp; Medical Sciences,
Life Sciences &amp; Earth Sciences</v>
      </c>
      <c r="E147" t="str">
        <f ca="1">Filtered!L139</f>
        <v>Single blind (Single blind peer review inferred: referee must disclose COI based on author relationship (knows identity) but typically referee identity is not disclosed)</v>
      </c>
      <c r="F147" t="b">
        <f t="shared" ca="1" si="9"/>
        <v>0</v>
      </c>
      <c r="G147" t="b">
        <f t="shared" ca="1" si="10"/>
        <v>0</v>
      </c>
      <c r="H147" t="b">
        <f t="shared" ca="1" si="11"/>
        <v>0</v>
      </c>
      <c r="I147" t="b">
        <f t="shared" ca="1" si="12"/>
        <v>1</v>
      </c>
      <c r="J147" t="b">
        <f t="shared" ca="1" si="13"/>
        <v>0</v>
      </c>
      <c r="K147" t="b">
        <f t="shared" ca="1" si="14"/>
        <v>1</v>
      </c>
      <c r="L147" t="b">
        <f t="shared" ca="1" si="15"/>
        <v>0</v>
      </c>
      <c r="M147" t="b">
        <f t="shared" ca="1" si="16"/>
        <v>0</v>
      </c>
      <c r="N147" s="448"/>
      <c r="O147" s="464"/>
      <c r="R147" s="448"/>
      <c r="S147" s="464"/>
      <c r="V147" s="448"/>
      <c r="W147" s="464"/>
      <c r="Z147" s="448"/>
      <c r="AA147" s="464"/>
      <c r="AD147" s="448"/>
      <c r="AE147" s="464"/>
      <c r="AH147" s="448"/>
      <c r="AI147" s="464"/>
      <c r="AL147" s="448"/>
      <c r="AP147" s="448"/>
    </row>
    <row r="148" spans="1:42" ht="13">
      <c r="A148" s="462"/>
      <c r="B148" s="462"/>
      <c r="C148" t="str">
        <f ca="1">Filtered!I140</f>
        <v>Progress in Human Geography</v>
      </c>
      <c r="D148" t="str">
        <f ca="1">Filtered!J140</f>
        <v>Social Sciences</v>
      </c>
      <c r="E148" t="str">
        <f ca="1">Filtered!L140</f>
        <v>Double blind</v>
      </c>
      <c r="F148" t="b">
        <f t="shared" ca="1" si="9"/>
        <v>0</v>
      </c>
      <c r="G148" t="b">
        <f t="shared" ca="1" si="10"/>
        <v>0</v>
      </c>
      <c r="H148" t="b">
        <f t="shared" ca="1" si="11"/>
        <v>0</v>
      </c>
      <c r="I148" t="b">
        <f t="shared" ca="1" si="12"/>
        <v>0</v>
      </c>
      <c r="J148" t="b">
        <f t="shared" ca="1" si="13"/>
        <v>0</v>
      </c>
      <c r="K148" t="b">
        <f t="shared" ca="1" si="14"/>
        <v>0</v>
      </c>
      <c r="L148" t="b">
        <f t="shared" ca="1" si="15"/>
        <v>0</v>
      </c>
      <c r="M148" t="b">
        <f t="shared" ca="1" si="16"/>
        <v>1</v>
      </c>
      <c r="N148" s="448"/>
      <c r="O148" s="464"/>
      <c r="R148" s="448"/>
      <c r="S148" s="464"/>
      <c r="V148" s="448"/>
      <c r="W148" s="464"/>
      <c r="Z148" s="448"/>
      <c r="AA148" s="464"/>
      <c r="AD148" s="448"/>
      <c r="AE148" s="464"/>
      <c r="AH148" s="448"/>
      <c r="AI148" s="464"/>
      <c r="AL148" s="448"/>
      <c r="AP148" s="448"/>
    </row>
    <row r="149" spans="1:42" ht="13">
      <c r="A149" s="462"/>
      <c r="B149" s="462"/>
      <c r="C149" t="str">
        <f ca="1">Filtered!I141</f>
        <v>Public Opinion Quarterly</v>
      </c>
      <c r="D149" t="str">
        <f ca="1">Filtered!J141</f>
        <v>Humanities, Literature &amp; Arts</v>
      </c>
      <c r="E149" t="str">
        <f ca="1">Filtered!L141</f>
        <v>Double blind</v>
      </c>
      <c r="F149" t="b">
        <f t="shared" ca="1" si="9"/>
        <v>0</v>
      </c>
      <c r="G149" t="b">
        <f t="shared" ca="1" si="10"/>
        <v>0</v>
      </c>
      <c r="H149" t="b">
        <f t="shared" ca="1" si="11"/>
        <v>0</v>
      </c>
      <c r="I149" t="b">
        <f t="shared" ca="1" si="12"/>
        <v>0</v>
      </c>
      <c r="J149" t="b">
        <f t="shared" ca="1" si="13"/>
        <v>1</v>
      </c>
      <c r="K149" t="b">
        <f t="shared" ca="1" si="14"/>
        <v>0</v>
      </c>
      <c r="L149" t="b">
        <f t="shared" ca="1" si="15"/>
        <v>0</v>
      </c>
      <c r="M149" t="b">
        <f t="shared" ca="1" si="16"/>
        <v>0</v>
      </c>
      <c r="N149" s="448"/>
      <c r="O149" s="464"/>
      <c r="R149" s="448"/>
      <c r="S149" s="464"/>
      <c r="V149" s="448"/>
      <c r="W149" s="464"/>
      <c r="Z149" s="448"/>
      <c r="AA149" s="464"/>
      <c r="AD149" s="448"/>
      <c r="AE149" s="464"/>
      <c r="AH149" s="448"/>
      <c r="AI149" s="464"/>
      <c r="AL149" s="448"/>
      <c r="AP149" s="448"/>
    </row>
    <row r="150" spans="1:42" ht="13">
      <c r="A150" s="462"/>
      <c r="B150" s="462"/>
      <c r="C150" t="str">
        <f ca="1">Filtered!I142</f>
        <v>Regional Studies</v>
      </c>
      <c r="D150" t="str">
        <f ca="1">Filtered!J142</f>
        <v>Social Sciences</v>
      </c>
      <c r="E150" t="str">
        <f ca="1">Filtered!L142</f>
        <v>Double blind</v>
      </c>
      <c r="F150" t="b">
        <f t="shared" ca="1" si="9"/>
        <v>0</v>
      </c>
      <c r="G150" t="b">
        <f t="shared" ca="1" si="10"/>
        <v>0</v>
      </c>
      <c r="H150" t="b">
        <f t="shared" ca="1" si="11"/>
        <v>0</v>
      </c>
      <c r="I150" t="b">
        <f t="shared" ca="1" si="12"/>
        <v>0</v>
      </c>
      <c r="J150" t="b">
        <f t="shared" ca="1" si="13"/>
        <v>0</v>
      </c>
      <c r="K150" t="b">
        <f t="shared" ca="1" si="14"/>
        <v>0</v>
      </c>
      <c r="L150" t="b">
        <f t="shared" ca="1" si="15"/>
        <v>0</v>
      </c>
      <c r="M150" t="b">
        <f t="shared" ca="1" si="16"/>
        <v>1</v>
      </c>
      <c r="N150" s="448"/>
      <c r="O150" s="464"/>
      <c r="R150" s="448"/>
      <c r="S150" s="464"/>
      <c r="V150" s="448"/>
      <c r="W150" s="464"/>
      <c r="Z150" s="448"/>
      <c r="AA150" s="464"/>
      <c r="AD150" s="448"/>
      <c r="AE150" s="464"/>
      <c r="AH150" s="448"/>
      <c r="AI150" s="464"/>
      <c r="AL150" s="448"/>
      <c r="AP150" s="448"/>
    </row>
    <row r="151" spans="1:42" ht="13">
      <c r="A151" s="462"/>
      <c r="B151" s="462"/>
      <c r="C151" t="str">
        <f ca="1">Filtered!I143</f>
        <v>Renewable and Sustainable Energy Reviews</v>
      </c>
      <c r="D151" t="str">
        <f ca="1">Filtered!J143</f>
        <v>Engineering &amp; Computer Science</v>
      </c>
      <c r="E151" t="str">
        <f ca="1">Filtered!L143</f>
        <v>Single blind</v>
      </c>
      <c r="F151" t="b">
        <f t="shared" ca="1" si="9"/>
        <v>0</v>
      </c>
      <c r="G151" t="b">
        <f t="shared" ca="1" si="10"/>
        <v>0</v>
      </c>
      <c r="H151" t="b">
        <f t="shared" ca="1" si="11"/>
        <v>1</v>
      </c>
      <c r="I151" t="b">
        <f t="shared" ca="1" si="12"/>
        <v>0</v>
      </c>
      <c r="J151" t="b">
        <f t="shared" ca="1" si="13"/>
        <v>0</v>
      </c>
      <c r="K151" t="b">
        <f t="shared" ca="1" si="14"/>
        <v>0</v>
      </c>
      <c r="L151" t="b">
        <f t="shared" ca="1" si="15"/>
        <v>0</v>
      </c>
      <c r="M151" t="b">
        <f t="shared" ca="1" si="16"/>
        <v>0</v>
      </c>
      <c r="N151" s="448"/>
      <c r="O151" s="464"/>
      <c r="R151" s="448"/>
      <c r="S151" s="464"/>
      <c r="V151" s="448"/>
      <c r="W151" s="464"/>
      <c r="Z151" s="448"/>
      <c r="AA151" s="464"/>
      <c r="AD151" s="448"/>
      <c r="AE151" s="464"/>
      <c r="AH151" s="448"/>
      <c r="AI151" s="464"/>
      <c r="AL151" s="448"/>
      <c r="AP151" s="448"/>
    </row>
    <row r="152" spans="1:42" ht="13">
      <c r="A152" s="462"/>
      <c r="B152" s="462"/>
      <c r="C152" t="str">
        <f ca="1">Filtered!I144</f>
        <v>Research Policy</v>
      </c>
      <c r="D152" t="str">
        <f ca="1">Filtered!J144</f>
        <v>Social Sciences</v>
      </c>
      <c r="E152" t="str">
        <f ca="1">Filtered!L144</f>
        <v>Double blind</v>
      </c>
      <c r="F152" t="b">
        <f t="shared" ca="1" si="9"/>
        <v>0</v>
      </c>
      <c r="G152" t="b">
        <f t="shared" ca="1" si="10"/>
        <v>0</v>
      </c>
      <c r="H152" t="b">
        <f t="shared" ca="1" si="11"/>
        <v>0</v>
      </c>
      <c r="I152" t="b">
        <f t="shared" ca="1" si="12"/>
        <v>0</v>
      </c>
      <c r="J152" t="b">
        <f t="shared" ca="1" si="13"/>
        <v>0</v>
      </c>
      <c r="K152" t="b">
        <f t="shared" ca="1" si="14"/>
        <v>0</v>
      </c>
      <c r="L152" t="b">
        <f t="shared" ca="1" si="15"/>
        <v>0</v>
      </c>
      <c r="M152" t="b">
        <f t="shared" ca="1" si="16"/>
        <v>1</v>
      </c>
      <c r="N152" s="448"/>
      <c r="O152" s="464"/>
      <c r="R152" s="448"/>
      <c r="S152" s="464"/>
      <c r="V152" s="448"/>
      <c r="W152" s="464"/>
      <c r="Z152" s="448"/>
      <c r="AA152" s="464"/>
      <c r="AD152" s="448"/>
      <c r="AE152" s="464"/>
      <c r="AH152" s="448"/>
      <c r="AI152" s="464"/>
      <c r="AL152" s="448"/>
      <c r="AP152" s="448"/>
    </row>
    <row r="153" spans="1:42" ht="13">
      <c r="A153" s="462"/>
      <c r="B153" s="462"/>
      <c r="C153" t="str">
        <f ca="1">Filtered!I145</f>
        <v>Review of Economics and Statistics</v>
      </c>
      <c r="D153" t="str">
        <f ca="1">Filtered!J145</f>
        <v>Business, Economics &amp; Management</v>
      </c>
      <c r="E153" t="str">
        <f ca="1">Filtered!L145</f>
        <v>Unsure</v>
      </c>
      <c r="F153" t="b">
        <f t="shared" ca="1" si="9"/>
        <v>1</v>
      </c>
      <c r="G153" t="b">
        <f t="shared" ca="1" si="10"/>
        <v>0</v>
      </c>
      <c r="H153" t="b">
        <f t="shared" ca="1" si="11"/>
        <v>0</v>
      </c>
      <c r="I153" t="b">
        <f t="shared" ca="1" si="12"/>
        <v>0</v>
      </c>
      <c r="J153" t="b">
        <f t="shared" ca="1" si="13"/>
        <v>0</v>
      </c>
      <c r="K153" t="b">
        <f t="shared" ca="1" si="14"/>
        <v>0</v>
      </c>
      <c r="L153" t="b">
        <f t="shared" ca="1" si="15"/>
        <v>0</v>
      </c>
      <c r="M153" t="b">
        <f t="shared" ca="1" si="16"/>
        <v>0</v>
      </c>
      <c r="N153" s="448"/>
      <c r="O153" s="464"/>
      <c r="R153" s="448"/>
      <c r="S153" s="464"/>
      <c r="V153" s="448"/>
      <c r="W153" s="464"/>
      <c r="Z153" s="448"/>
      <c r="AA153" s="464"/>
      <c r="AD153" s="448"/>
      <c r="AE153" s="464"/>
      <c r="AH153" s="448"/>
      <c r="AI153" s="464"/>
      <c r="AL153" s="448"/>
      <c r="AP153" s="448"/>
    </row>
    <row r="154" spans="1:42" ht="13">
      <c r="A154" s="462"/>
      <c r="B154" s="462"/>
      <c r="C154" t="str">
        <f ca="1">Filtered!I146</f>
        <v>Reviews of Modern Physics</v>
      </c>
      <c r="D154" t="str">
        <f ca="1">Filtered!J146</f>
        <v>Physics &amp; Mathematics</v>
      </c>
      <c r="E154" t="str">
        <f ca="1">Filtered!L146</f>
        <v>Single blind</v>
      </c>
      <c r="F154" t="b">
        <f t="shared" ca="1" si="9"/>
        <v>0</v>
      </c>
      <c r="G154" t="b">
        <f t="shared" ca="1" si="10"/>
        <v>0</v>
      </c>
      <c r="H154" t="b">
        <f t="shared" ca="1" si="11"/>
        <v>0</v>
      </c>
      <c r="I154" t="b">
        <f t="shared" ca="1" si="12"/>
        <v>0</v>
      </c>
      <c r="J154" t="b">
        <f t="shared" ca="1" si="13"/>
        <v>0</v>
      </c>
      <c r="K154" t="b">
        <f t="shared" ca="1" si="14"/>
        <v>0</v>
      </c>
      <c r="L154" t="b">
        <f t="shared" ca="1" si="15"/>
        <v>1</v>
      </c>
      <c r="M154" t="b">
        <f t="shared" ca="1" si="16"/>
        <v>0</v>
      </c>
      <c r="N154" s="448"/>
      <c r="O154" s="464"/>
      <c r="R154" s="448"/>
      <c r="S154" s="464"/>
      <c r="V154" s="448"/>
      <c r="W154" s="464"/>
      <c r="Z154" s="448"/>
      <c r="AA154" s="464"/>
      <c r="AD154" s="448"/>
      <c r="AE154" s="464"/>
      <c r="AH154" s="448"/>
      <c r="AI154" s="464"/>
      <c r="AL154" s="448"/>
      <c r="AP154" s="448"/>
    </row>
    <row r="155" spans="1:42" ht="13">
      <c r="A155" s="462"/>
      <c r="B155" s="462"/>
      <c r="C155" t="str">
        <f ca="1">Filtered!I147</f>
        <v>Science</v>
      </c>
      <c r="D155" t="str">
        <f ca="1">Filtered!J147</f>
        <v>Life Sciences &amp; Earth Sciences</v>
      </c>
      <c r="E155" t="str">
        <f ca="1">Filtered!L147</f>
        <v>Unsure</v>
      </c>
      <c r="F155" t="b">
        <f t="shared" ca="1" si="9"/>
        <v>0</v>
      </c>
      <c r="G155" t="b">
        <f t="shared" ca="1" si="10"/>
        <v>0</v>
      </c>
      <c r="H155" t="b">
        <f t="shared" ca="1" si="11"/>
        <v>0</v>
      </c>
      <c r="I155" t="b">
        <f t="shared" ca="1" si="12"/>
        <v>0</v>
      </c>
      <c r="J155" t="b">
        <f t="shared" ca="1" si="13"/>
        <v>0</v>
      </c>
      <c r="K155" t="b">
        <f t="shared" ca="1" si="14"/>
        <v>1</v>
      </c>
      <c r="L155" t="b">
        <f t="shared" ca="1" si="15"/>
        <v>0</v>
      </c>
      <c r="M155" t="b">
        <f t="shared" ca="1" si="16"/>
        <v>0</v>
      </c>
      <c r="N155" s="448"/>
      <c r="O155" s="464"/>
      <c r="R155" s="448"/>
      <c r="S155" s="464"/>
      <c r="V155" s="448"/>
      <c r="W155" s="464"/>
      <c r="Z155" s="448"/>
      <c r="AA155" s="464"/>
      <c r="AD155" s="448"/>
      <c r="AE155" s="464"/>
      <c r="AH155" s="448"/>
      <c r="AI155" s="464"/>
      <c r="AL155" s="448"/>
      <c r="AP155" s="448"/>
    </row>
    <row r="156" spans="1:42" ht="13">
      <c r="A156" s="462"/>
      <c r="B156" s="462"/>
      <c r="C156" t="str">
        <f ca="1">Filtered!I148</f>
        <v>Science Translational Medicine</v>
      </c>
      <c r="D156" t="str">
        <f ca="1">Filtered!J148</f>
        <v/>
      </c>
      <c r="E156" t="str">
        <f ca="1">Filtered!L148</f>
        <v>Unsure</v>
      </c>
      <c r="F156" t="b">
        <f t="shared" ca="1" si="9"/>
        <v>0</v>
      </c>
      <c r="G156" t="b">
        <f t="shared" ca="1" si="10"/>
        <v>0</v>
      </c>
      <c r="H156" t="b">
        <f t="shared" ca="1" si="11"/>
        <v>0</v>
      </c>
      <c r="I156" t="b">
        <f t="shared" ca="1" si="12"/>
        <v>0</v>
      </c>
      <c r="J156" t="b">
        <f t="shared" ca="1" si="13"/>
        <v>0</v>
      </c>
      <c r="K156" t="b">
        <f t="shared" ca="1" si="14"/>
        <v>0</v>
      </c>
      <c r="L156" t="b">
        <f t="shared" ca="1" si="15"/>
        <v>0</v>
      </c>
      <c r="M156" t="b">
        <f t="shared" ca="1" si="16"/>
        <v>0</v>
      </c>
      <c r="N156" s="448"/>
      <c r="O156" s="464"/>
      <c r="R156" s="448"/>
      <c r="S156" s="464"/>
      <c r="V156" s="448"/>
      <c r="W156" s="464"/>
      <c r="Z156" s="448"/>
      <c r="AA156" s="464"/>
      <c r="AD156" s="448"/>
      <c r="AE156" s="464"/>
      <c r="AH156" s="448"/>
      <c r="AI156" s="464"/>
      <c r="AL156" s="448"/>
      <c r="AP156" s="448"/>
    </row>
    <row r="157" spans="1:42" ht="13">
      <c r="A157" s="462"/>
      <c r="B157" s="462"/>
      <c r="C157" t="str">
        <f ca="1">Filtered!I149</f>
        <v>Scientific Reports</v>
      </c>
      <c r="D157" t="str">
        <f ca="1">Filtered!J149</f>
        <v>Life Sciences &amp; Earth Sciences</v>
      </c>
      <c r="E157" t="str">
        <f ca="1">Filtered!L149</f>
        <v>Single blind</v>
      </c>
      <c r="F157" t="b">
        <f t="shared" ca="1" si="9"/>
        <v>0</v>
      </c>
      <c r="G157" t="b">
        <f t="shared" ca="1" si="10"/>
        <v>0</v>
      </c>
      <c r="H157" t="b">
        <f t="shared" ca="1" si="11"/>
        <v>0</v>
      </c>
      <c r="I157" t="b">
        <f t="shared" ca="1" si="12"/>
        <v>0</v>
      </c>
      <c r="J157" t="b">
        <f t="shared" ca="1" si="13"/>
        <v>0</v>
      </c>
      <c r="K157" t="b">
        <f t="shared" ca="1" si="14"/>
        <v>1</v>
      </c>
      <c r="L157" t="b">
        <f t="shared" ca="1" si="15"/>
        <v>0</v>
      </c>
      <c r="M157" t="b">
        <f t="shared" ca="1" si="16"/>
        <v>0</v>
      </c>
      <c r="N157" s="448"/>
      <c r="O157" s="464"/>
      <c r="R157" s="448"/>
      <c r="S157" s="464"/>
      <c r="V157" s="448"/>
      <c r="W157" s="464"/>
      <c r="Z157" s="448"/>
      <c r="AA157" s="464"/>
      <c r="AD157" s="448"/>
      <c r="AE157" s="464"/>
      <c r="AH157" s="448"/>
      <c r="AI157" s="464"/>
      <c r="AL157" s="448"/>
      <c r="AP157" s="448"/>
    </row>
    <row r="158" spans="1:42" ht="13">
      <c r="A158" s="462"/>
      <c r="B158" s="462"/>
      <c r="C158" t="str">
        <f ca="1">Filtered!I150</f>
        <v>Social Science &amp; Medicine</v>
      </c>
      <c r="D158" t="str">
        <f ca="1">Filtered!J150</f>
        <v>Social Sciences</v>
      </c>
      <c r="E158" t="str">
        <f ca="1">Filtered!L150</f>
        <v>Double blind</v>
      </c>
      <c r="F158" t="b">
        <f t="shared" ca="1" si="9"/>
        <v>0</v>
      </c>
      <c r="G158" t="b">
        <f t="shared" ca="1" si="10"/>
        <v>0</v>
      </c>
      <c r="H158" t="b">
        <f t="shared" ca="1" si="11"/>
        <v>0</v>
      </c>
      <c r="I158" t="b">
        <f t="shared" ca="1" si="12"/>
        <v>0</v>
      </c>
      <c r="J158" t="b">
        <f t="shared" ca="1" si="13"/>
        <v>0</v>
      </c>
      <c r="K158" t="b">
        <f t="shared" ca="1" si="14"/>
        <v>0</v>
      </c>
      <c r="L158" t="b">
        <f t="shared" ca="1" si="15"/>
        <v>0</v>
      </c>
      <c r="M158" t="b">
        <f t="shared" ca="1" si="16"/>
        <v>1</v>
      </c>
      <c r="N158" s="448"/>
      <c r="O158" s="464"/>
      <c r="R158" s="448"/>
      <c r="S158" s="464"/>
      <c r="V158" s="448"/>
      <c r="W158" s="464"/>
      <c r="Z158" s="448"/>
      <c r="AA158" s="464"/>
      <c r="AD158" s="448"/>
      <c r="AE158" s="464"/>
      <c r="AH158" s="448"/>
      <c r="AI158" s="464"/>
      <c r="AL158" s="448"/>
      <c r="AP158" s="448"/>
    </row>
    <row r="159" spans="1:42" ht="13">
      <c r="A159" s="462"/>
      <c r="B159" s="462"/>
      <c r="C159" t="str">
        <f ca="1">Filtered!I151</f>
        <v>Strategic Management Journal</v>
      </c>
      <c r="D159" t="str">
        <f ca="1">Filtered!J151</f>
        <v>Business, Economics &amp; Management</v>
      </c>
      <c r="E159" t="str">
        <f ca="1">Filtered!L151</f>
        <v>Unsure</v>
      </c>
      <c r="F159" t="b">
        <f t="shared" ca="1" si="9"/>
        <v>1</v>
      </c>
      <c r="G159" t="b">
        <f t="shared" ca="1" si="10"/>
        <v>0</v>
      </c>
      <c r="H159" t="b">
        <f t="shared" ca="1" si="11"/>
        <v>0</v>
      </c>
      <c r="I159" t="b">
        <f t="shared" ca="1" si="12"/>
        <v>0</v>
      </c>
      <c r="J159" t="b">
        <f t="shared" ca="1" si="13"/>
        <v>0</v>
      </c>
      <c r="K159" t="b">
        <f t="shared" ca="1" si="14"/>
        <v>0</v>
      </c>
      <c r="L159" t="b">
        <f t="shared" ca="1" si="15"/>
        <v>0</v>
      </c>
      <c r="M159" t="b">
        <f t="shared" ca="1" si="16"/>
        <v>0</v>
      </c>
      <c r="N159" s="448"/>
      <c r="O159" s="464"/>
      <c r="R159" s="448"/>
      <c r="S159" s="464"/>
      <c r="V159" s="448"/>
      <c r="W159" s="464"/>
      <c r="Z159" s="448"/>
      <c r="AA159" s="464"/>
      <c r="AD159" s="448"/>
      <c r="AE159" s="464"/>
      <c r="AH159" s="448"/>
      <c r="AI159" s="464"/>
      <c r="AL159" s="448"/>
      <c r="AP159" s="448"/>
    </row>
    <row r="160" spans="1:42" ht="13">
      <c r="A160" s="462"/>
      <c r="B160" s="462"/>
      <c r="C160" t="str">
        <f ca="1">Filtered!I152</f>
        <v>Synthese</v>
      </c>
      <c r="D160" t="str">
        <f ca="1">Filtered!J152</f>
        <v>Humanities, Literature &amp; Arts</v>
      </c>
      <c r="E160" t="str">
        <f ca="1">Filtered!L152</f>
        <v>Double blind</v>
      </c>
      <c r="F160" t="b">
        <f t="shared" ca="1" si="9"/>
        <v>0</v>
      </c>
      <c r="G160" t="b">
        <f t="shared" ca="1" si="10"/>
        <v>0</v>
      </c>
      <c r="H160" t="b">
        <f t="shared" ca="1" si="11"/>
        <v>0</v>
      </c>
      <c r="I160" t="b">
        <f t="shared" ca="1" si="12"/>
        <v>0</v>
      </c>
      <c r="J160" t="b">
        <f t="shared" ca="1" si="13"/>
        <v>1</v>
      </c>
      <c r="K160" t="b">
        <f t="shared" ca="1" si="14"/>
        <v>0</v>
      </c>
      <c r="L160" t="b">
        <f t="shared" ca="1" si="15"/>
        <v>0</v>
      </c>
      <c r="M160" t="b">
        <f t="shared" ca="1" si="16"/>
        <v>0</v>
      </c>
      <c r="N160" s="448"/>
      <c r="O160" s="464"/>
      <c r="R160" s="448"/>
      <c r="S160" s="464"/>
      <c r="V160" s="448"/>
      <c r="W160" s="464"/>
      <c r="Z160" s="448"/>
      <c r="AA160" s="464"/>
      <c r="AD160" s="448"/>
      <c r="AE160" s="464"/>
      <c r="AH160" s="448"/>
      <c r="AI160" s="464"/>
      <c r="AL160" s="448"/>
      <c r="AP160" s="448"/>
    </row>
    <row r="161" spans="1:42" ht="13">
      <c r="A161" s="462"/>
      <c r="B161" s="462"/>
      <c r="C161" t="str">
        <f ca="1">Filtered!I153</f>
        <v>System</v>
      </c>
      <c r="D161" t="str">
        <f ca="1">Filtered!J153</f>
        <v>Humanities, Literature &amp; Arts</v>
      </c>
      <c r="E161" t="str">
        <f ca="1">Filtered!L153</f>
        <v>Double blind</v>
      </c>
      <c r="F161" t="b">
        <f t="shared" ca="1" si="9"/>
        <v>0</v>
      </c>
      <c r="G161" t="b">
        <f t="shared" ca="1" si="10"/>
        <v>0</v>
      </c>
      <c r="H161" t="b">
        <f t="shared" ca="1" si="11"/>
        <v>0</v>
      </c>
      <c r="I161" t="b">
        <f t="shared" ca="1" si="12"/>
        <v>0</v>
      </c>
      <c r="J161" t="b">
        <f t="shared" ca="1" si="13"/>
        <v>1</v>
      </c>
      <c r="K161" t="b">
        <f t="shared" ca="1" si="14"/>
        <v>0</v>
      </c>
      <c r="L161" t="b">
        <f t="shared" ca="1" si="15"/>
        <v>0</v>
      </c>
      <c r="M161" t="b">
        <f t="shared" ca="1" si="16"/>
        <v>0</v>
      </c>
      <c r="N161" s="448"/>
      <c r="O161" s="464"/>
      <c r="R161" s="448"/>
      <c r="S161" s="464"/>
      <c r="V161" s="448"/>
      <c r="W161" s="464"/>
      <c r="Z161" s="448"/>
      <c r="AA161" s="464"/>
      <c r="AD161" s="448"/>
      <c r="AE161" s="464"/>
      <c r="AH161" s="448"/>
      <c r="AI161" s="464"/>
      <c r="AL161" s="448"/>
      <c r="AP161" s="448"/>
    </row>
    <row r="162" spans="1:42" ht="13">
      <c r="A162" s="462"/>
      <c r="B162" s="462"/>
      <c r="C162" t="str">
        <f ca="1">Filtered!I154</f>
        <v>Teaching and Teacher Education</v>
      </c>
      <c r="D162" t="str">
        <f ca="1">Filtered!J154</f>
        <v>Social Sciences</v>
      </c>
      <c r="E162" t="str">
        <f ca="1">Filtered!L154</f>
        <v>Double blind</v>
      </c>
      <c r="F162" t="b">
        <f t="shared" ca="1" si="9"/>
        <v>0</v>
      </c>
      <c r="G162" t="b">
        <f t="shared" ca="1" si="10"/>
        <v>0</v>
      </c>
      <c r="H162" t="b">
        <f t="shared" ca="1" si="11"/>
        <v>0</v>
      </c>
      <c r="I162" t="b">
        <f t="shared" ca="1" si="12"/>
        <v>0</v>
      </c>
      <c r="J162" t="b">
        <f t="shared" ca="1" si="13"/>
        <v>0</v>
      </c>
      <c r="K162" t="b">
        <f t="shared" ca="1" si="14"/>
        <v>0</v>
      </c>
      <c r="L162" t="b">
        <f t="shared" ca="1" si="15"/>
        <v>0</v>
      </c>
      <c r="M162" t="b">
        <f t="shared" ca="1" si="16"/>
        <v>1</v>
      </c>
      <c r="N162" s="448"/>
      <c r="O162" s="464"/>
      <c r="R162" s="448"/>
      <c r="S162" s="464"/>
      <c r="V162" s="448"/>
      <c r="W162" s="464"/>
      <c r="Z162" s="448"/>
      <c r="AA162" s="464"/>
      <c r="AD162" s="448"/>
      <c r="AE162" s="464"/>
      <c r="AH162" s="448"/>
      <c r="AI162" s="464"/>
      <c r="AL162" s="448"/>
      <c r="AP162" s="448"/>
    </row>
    <row r="163" spans="1:42" ht="13">
      <c r="A163" s="462"/>
      <c r="B163" s="462"/>
      <c r="C163" t="str">
        <f ca="1">Filtered!I155</f>
        <v>TESOL Quarterly</v>
      </c>
      <c r="D163" t="str">
        <f ca="1">Filtered!J155</f>
        <v>Humanities, Literature &amp; Arts</v>
      </c>
      <c r="E163" t="str">
        <f ca="1">Filtered!L155</f>
        <v>Unsure - but possibly double blinded as instructions to authors say "If you cite your own work in your paper, please do not blind that citation so that the reviewers can better assess what literature you are reviewing."</v>
      </c>
      <c r="F163" t="b">
        <f t="shared" ca="1" si="9"/>
        <v>0</v>
      </c>
      <c r="G163" t="b">
        <f t="shared" ca="1" si="10"/>
        <v>0</v>
      </c>
      <c r="H163" t="b">
        <f t="shared" ca="1" si="11"/>
        <v>0</v>
      </c>
      <c r="I163" t="b">
        <f t="shared" ca="1" si="12"/>
        <v>0</v>
      </c>
      <c r="J163" t="b">
        <f t="shared" ca="1" si="13"/>
        <v>1</v>
      </c>
      <c r="K163" t="b">
        <f t="shared" ca="1" si="14"/>
        <v>0</v>
      </c>
      <c r="L163" t="b">
        <f t="shared" ca="1" si="15"/>
        <v>0</v>
      </c>
      <c r="M163" t="b">
        <f t="shared" ca="1" si="16"/>
        <v>0</v>
      </c>
      <c r="N163" s="448"/>
      <c r="O163" s="464"/>
      <c r="R163" s="448"/>
      <c r="S163" s="464"/>
      <c r="V163" s="448"/>
      <c r="W163" s="464"/>
      <c r="Z163" s="448"/>
      <c r="AA163" s="464"/>
      <c r="AD163" s="448"/>
      <c r="AE163" s="464"/>
      <c r="AH163" s="448"/>
      <c r="AI163" s="464"/>
      <c r="AL163" s="448"/>
      <c r="AP163" s="448"/>
    </row>
    <row r="164" spans="1:42" ht="13">
      <c r="A164" s="462"/>
      <c r="B164" s="462"/>
      <c r="C164" t="str">
        <f ca="1">Filtered!I156</f>
        <v>The Astrophysical Journal</v>
      </c>
      <c r="D164" t="str">
        <f ca="1">Filtered!J156</f>
        <v>Physics &amp; Mathematics</v>
      </c>
      <c r="E164" t="str">
        <f ca="1">Filtered!L156</f>
        <v>Unsure</v>
      </c>
      <c r="F164" t="b">
        <f t="shared" ca="1" si="9"/>
        <v>0</v>
      </c>
      <c r="G164" t="b">
        <f t="shared" ca="1" si="10"/>
        <v>0</v>
      </c>
      <c r="H164" t="b">
        <f t="shared" ca="1" si="11"/>
        <v>0</v>
      </c>
      <c r="I164" t="b">
        <f t="shared" ca="1" si="12"/>
        <v>0</v>
      </c>
      <c r="J164" t="b">
        <f t="shared" ca="1" si="13"/>
        <v>0</v>
      </c>
      <c r="K164" t="b">
        <f t="shared" ca="1" si="14"/>
        <v>0</v>
      </c>
      <c r="L164" t="b">
        <f t="shared" ca="1" si="15"/>
        <v>1</v>
      </c>
      <c r="M164" t="b">
        <f t="shared" ca="1" si="16"/>
        <v>0</v>
      </c>
      <c r="N164" s="448"/>
      <c r="O164" s="464"/>
      <c r="R164" s="448"/>
      <c r="S164" s="464"/>
      <c r="V164" s="448"/>
      <c r="W164" s="464"/>
      <c r="Z164" s="448"/>
      <c r="AA164" s="464"/>
      <c r="AD164" s="448"/>
      <c r="AE164" s="464"/>
      <c r="AH164" s="448"/>
      <c r="AI164" s="464"/>
      <c r="AL164" s="448"/>
      <c r="AP164" s="448"/>
    </row>
    <row r="165" spans="1:42" ht="13">
      <c r="A165" s="462"/>
      <c r="B165" s="462"/>
      <c r="C165" t="str">
        <f ca="1">Filtered!I157</f>
        <v>The China Quarterly</v>
      </c>
      <c r="D165" t="str">
        <f ca="1">Filtered!J157</f>
        <v>Humanities, Literature &amp; Arts</v>
      </c>
      <c r="E165" t="str">
        <f ca="1">Filtered!L157</f>
        <v xml:space="preserve">Double blind </v>
      </c>
      <c r="F165" t="b">
        <f t="shared" ca="1" si="9"/>
        <v>0</v>
      </c>
      <c r="G165" t="b">
        <f t="shared" ca="1" si="10"/>
        <v>0</v>
      </c>
      <c r="H165" t="b">
        <f t="shared" ca="1" si="11"/>
        <v>0</v>
      </c>
      <c r="I165" t="b">
        <f t="shared" ca="1" si="12"/>
        <v>0</v>
      </c>
      <c r="J165" t="b">
        <f t="shared" ca="1" si="13"/>
        <v>1</v>
      </c>
      <c r="K165" t="b">
        <f t="shared" ca="1" si="14"/>
        <v>0</v>
      </c>
      <c r="L165" t="b">
        <f t="shared" ca="1" si="15"/>
        <v>0</v>
      </c>
      <c r="M165" t="b">
        <f t="shared" ca="1" si="16"/>
        <v>0</v>
      </c>
      <c r="N165" s="448"/>
      <c r="O165" s="464"/>
      <c r="R165" s="448"/>
      <c r="S165" s="464"/>
      <c r="V165" s="448"/>
      <c r="W165" s="464"/>
      <c r="Z165" s="448"/>
      <c r="AA165" s="464"/>
      <c r="AD165" s="448"/>
      <c r="AE165" s="464"/>
      <c r="AH165" s="448"/>
      <c r="AI165" s="464"/>
      <c r="AL165" s="448"/>
      <c r="AP165" s="448"/>
    </row>
    <row r="166" spans="1:42" ht="13">
      <c r="A166" s="462"/>
      <c r="B166" s="462"/>
      <c r="C166" t="str">
        <f ca="1">Filtered!I158</f>
        <v>The Cochrane Database of Systematic Reviews</v>
      </c>
      <c r="D166" t="str">
        <f ca="1">Filtered!J158</f>
        <v>Health &amp; Medical Sciences</v>
      </c>
      <c r="E166" t="str">
        <f ca="1">Filtered!L158</f>
        <v>Not blinded</v>
      </c>
      <c r="F166" t="b">
        <f t="shared" ca="1" si="9"/>
        <v>0</v>
      </c>
      <c r="G166" t="b">
        <f t="shared" ca="1" si="10"/>
        <v>0</v>
      </c>
      <c r="H166" t="b">
        <f t="shared" ca="1" si="11"/>
        <v>0</v>
      </c>
      <c r="I166" t="b">
        <f t="shared" ca="1" si="12"/>
        <v>1</v>
      </c>
      <c r="J166" t="b">
        <f t="shared" ca="1" si="13"/>
        <v>0</v>
      </c>
      <c r="K166" t="b">
        <f t="shared" ca="1" si="14"/>
        <v>0</v>
      </c>
      <c r="L166" t="b">
        <f t="shared" ca="1" si="15"/>
        <v>0</v>
      </c>
      <c r="M166" t="b">
        <f t="shared" ca="1" si="16"/>
        <v>0</v>
      </c>
      <c r="N166" s="448"/>
      <c r="O166" s="464"/>
      <c r="R166" s="448"/>
      <c r="S166" s="464"/>
      <c r="V166" s="448"/>
      <c r="W166" s="464"/>
      <c r="Z166" s="448"/>
      <c r="AA166" s="464"/>
      <c r="AD166" s="448"/>
      <c r="AE166" s="464"/>
      <c r="AH166" s="448"/>
      <c r="AI166" s="464"/>
      <c r="AL166" s="448"/>
      <c r="AP166" s="448"/>
    </row>
    <row r="167" spans="1:42" ht="13">
      <c r="A167" s="462"/>
      <c r="B167" s="462"/>
      <c r="C167" t="str">
        <f ca="1">Filtered!I159</f>
        <v>The European Physical Journal C</v>
      </c>
      <c r="D167" t="str">
        <f ca="1">Filtered!J159</f>
        <v>Physics &amp; Mathematics</v>
      </c>
      <c r="E167" t="str">
        <f ca="1">Filtered!L159</f>
        <v>Single blind</v>
      </c>
      <c r="F167" t="b">
        <f t="shared" ca="1" si="9"/>
        <v>0</v>
      </c>
      <c r="G167" t="b">
        <f t="shared" ca="1" si="10"/>
        <v>0</v>
      </c>
      <c r="H167" t="b">
        <f t="shared" ca="1" si="11"/>
        <v>0</v>
      </c>
      <c r="I167" t="b">
        <f t="shared" ca="1" si="12"/>
        <v>0</v>
      </c>
      <c r="J167" t="b">
        <f t="shared" ca="1" si="13"/>
        <v>0</v>
      </c>
      <c r="K167" t="b">
        <f t="shared" ca="1" si="14"/>
        <v>0</v>
      </c>
      <c r="L167" t="b">
        <f t="shared" ca="1" si="15"/>
        <v>1</v>
      </c>
      <c r="M167" t="b">
        <f t="shared" ca="1" si="16"/>
        <v>0</v>
      </c>
      <c r="N167" s="448"/>
      <c r="O167" s="464"/>
      <c r="R167" s="448"/>
      <c r="S167" s="464"/>
      <c r="V167" s="448"/>
      <c r="W167" s="464"/>
      <c r="Z167" s="448"/>
      <c r="AA167" s="464"/>
      <c r="AD167" s="448"/>
      <c r="AE167" s="464"/>
      <c r="AH167" s="448"/>
      <c r="AI167" s="464"/>
      <c r="AL167" s="448"/>
      <c r="AP167" s="448"/>
    </row>
    <row r="168" spans="1:42" ht="13">
      <c r="A168" s="462"/>
      <c r="B168" s="462"/>
      <c r="C168" t="str">
        <f ca="1">Filtered!I160</f>
        <v>The Journal of Clinical Investigation</v>
      </c>
      <c r="D168" t="str">
        <f ca="1">Filtered!J160</f>
        <v/>
      </c>
      <c r="E168" t="str">
        <f ca="1">Filtered!L160</f>
        <v>Unsure</v>
      </c>
      <c r="F168" t="b">
        <f t="shared" ca="1" si="9"/>
        <v>0</v>
      </c>
      <c r="G168" t="b">
        <f t="shared" ca="1" si="10"/>
        <v>0</v>
      </c>
      <c r="H168" t="b">
        <f t="shared" ca="1" si="11"/>
        <v>0</v>
      </c>
      <c r="I168" t="b">
        <f t="shared" ca="1" si="12"/>
        <v>0</v>
      </c>
      <c r="J168" t="b">
        <f t="shared" ca="1" si="13"/>
        <v>0</v>
      </c>
      <c r="K168" t="b">
        <f t="shared" ca="1" si="14"/>
        <v>0</v>
      </c>
      <c r="L168" t="b">
        <f t="shared" ca="1" si="15"/>
        <v>0</v>
      </c>
      <c r="M168" t="b">
        <f t="shared" ca="1" si="16"/>
        <v>0</v>
      </c>
      <c r="N168" s="448"/>
      <c r="O168" s="464"/>
      <c r="R168" s="448"/>
      <c r="S168" s="464"/>
      <c r="V168" s="448"/>
      <c r="W168" s="464"/>
      <c r="Z168" s="448"/>
      <c r="AA168" s="464"/>
      <c r="AD168" s="448"/>
      <c r="AE168" s="464"/>
      <c r="AH168" s="448"/>
      <c r="AI168" s="464"/>
      <c r="AL168" s="448"/>
      <c r="AP168" s="448"/>
    </row>
    <row r="169" spans="1:42" ht="13">
      <c r="A169" s="462"/>
      <c r="B169" s="462"/>
      <c r="C169" t="str">
        <f ca="1">Filtered!I161</f>
        <v>The Journal of Finance</v>
      </c>
      <c r="D169" t="str">
        <f ca="1">Filtered!J161</f>
        <v>Business, Economics &amp; Management</v>
      </c>
      <c r="E169" t="str">
        <f ca="1">Filtered!L161</f>
        <v>Unsure</v>
      </c>
      <c r="F169" t="b">
        <f t="shared" ca="1" si="9"/>
        <v>1</v>
      </c>
      <c r="G169" t="b">
        <f t="shared" ca="1" si="10"/>
        <v>0</v>
      </c>
      <c r="H169" t="b">
        <f t="shared" ca="1" si="11"/>
        <v>0</v>
      </c>
      <c r="I169" t="b">
        <f t="shared" ca="1" si="12"/>
        <v>0</v>
      </c>
      <c r="J169" t="b">
        <f t="shared" ca="1" si="13"/>
        <v>0</v>
      </c>
      <c r="K169" t="b">
        <f t="shared" ca="1" si="14"/>
        <v>0</v>
      </c>
      <c r="L169" t="b">
        <f t="shared" ca="1" si="15"/>
        <v>0</v>
      </c>
      <c r="M169" t="b">
        <f t="shared" ca="1" si="16"/>
        <v>0</v>
      </c>
      <c r="N169" s="448"/>
      <c r="O169" s="464"/>
      <c r="R169" s="448"/>
      <c r="S169" s="464"/>
      <c r="V169" s="448"/>
      <c r="W169" s="464"/>
      <c r="Z169" s="448"/>
      <c r="AA169" s="464"/>
      <c r="AD169" s="448"/>
      <c r="AE169" s="464"/>
      <c r="AH169" s="448"/>
      <c r="AI169" s="464"/>
      <c r="AL169" s="448"/>
      <c r="AP169" s="448"/>
    </row>
    <row r="170" spans="1:42" ht="13">
      <c r="A170" s="462"/>
      <c r="B170" s="462"/>
      <c r="C170" t="str">
        <f ca="1">Filtered!I162</f>
        <v>The Journal of Physical Chemistry Letters</v>
      </c>
      <c r="D170" t="str">
        <f ca="1">Filtered!J162</f>
        <v>Physics &amp; Mathematics, Chemical &amp; Materials Sciences</v>
      </c>
      <c r="E170" t="str">
        <f ca="1">Filtered!L162</f>
        <v>Single blind</v>
      </c>
      <c r="F170" t="b">
        <f t="shared" ca="1" si="9"/>
        <v>0</v>
      </c>
      <c r="G170" t="b">
        <f t="shared" ca="1" si="10"/>
        <v>1</v>
      </c>
      <c r="H170" t="b">
        <f t="shared" ca="1" si="11"/>
        <v>0</v>
      </c>
      <c r="I170" t="b">
        <f t="shared" ca="1" si="12"/>
        <v>0</v>
      </c>
      <c r="J170" t="b">
        <f t="shared" ca="1" si="13"/>
        <v>0</v>
      </c>
      <c r="K170" t="b">
        <f t="shared" ca="1" si="14"/>
        <v>0</v>
      </c>
      <c r="L170" t="b">
        <f t="shared" ca="1" si="15"/>
        <v>1</v>
      </c>
      <c r="M170" t="b">
        <f t="shared" ca="1" si="16"/>
        <v>0</v>
      </c>
      <c r="N170" s="448"/>
      <c r="O170" s="464"/>
      <c r="R170" s="448"/>
      <c r="S170" s="464"/>
      <c r="V170" s="448"/>
      <c r="W170" s="464"/>
      <c r="Z170" s="448"/>
      <c r="AA170" s="464"/>
      <c r="AD170" s="448"/>
      <c r="AE170" s="464"/>
      <c r="AH170" s="448"/>
      <c r="AI170" s="464"/>
      <c r="AL170" s="448"/>
      <c r="AP170" s="448"/>
    </row>
    <row r="171" spans="1:42" ht="13">
      <c r="A171" s="462"/>
      <c r="B171" s="462"/>
      <c r="C171" t="str">
        <f ca="1">Filtered!I163</f>
        <v>The Lancet</v>
      </c>
      <c r="D171" t="str">
        <f ca="1">Filtered!J163</f>
        <v>Health &amp; Medical Sciences</v>
      </c>
      <c r="E171" t="str">
        <f ca="1">Filtered!L163</f>
        <v>Unsure</v>
      </c>
      <c r="F171" t="b">
        <f t="shared" ca="1" si="9"/>
        <v>0</v>
      </c>
      <c r="G171" t="b">
        <f t="shared" ca="1" si="10"/>
        <v>0</v>
      </c>
      <c r="H171" t="b">
        <f t="shared" ca="1" si="11"/>
        <v>0</v>
      </c>
      <c r="I171" t="b">
        <f t="shared" ca="1" si="12"/>
        <v>1</v>
      </c>
      <c r="J171" t="b">
        <f t="shared" ca="1" si="13"/>
        <v>0</v>
      </c>
      <c r="K171" t="b">
        <f t="shared" ca="1" si="14"/>
        <v>0</v>
      </c>
      <c r="L171" t="b">
        <f t="shared" ca="1" si="15"/>
        <v>0</v>
      </c>
      <c r="M171" t="b">
        <f t="shared" ca="1" si="16"/>
        <v>0</v>
      </c>
      <c r="N171" s="448"/>
      <c r="O171" s="464"/>
      <c r="R171" s="448"/>
      <c r="S171" s="464"/>
      <c r="V171" s="448"/>
      <c r="W171" s="464"/>
      <c r="Z171" s="448"/>
      <c r="AA171" s="464"/>
      <c r="AD171" s="448"/>
      <c r="AE171" s="464"/>
      <c r="AH171" s="448"/>
      <c r="AI171" s="464"/>
      <c r="AL171" s="448"/>
      <c r="AP171" s="448"/>
    </row>
    <row r="172" spans="1:42" ht="13">
      <c r="A172" s="462"/>
      <c r="B172" s="462"/>
      <c r="C172" t="str">
        <f ca="1">Filtered!I164</f>
        <v>The Lancet Neurology</v>
      </c>
      <c r="D172" t="str">
        <f ca="1">Filtered!J164</f>
        <v/>
      </c>
      <c r="E172" t="str">
        <f ca="1">Filtered!L164</f>
        <v>Unsure</v>
      </c>
      <c r="F172" t="b">
        <f t="shared" ca="1" si="9"/>
        <v>0</v>
      </c>
      <c r="G172" t="b">
        <f t="shared" ca="1" si="10"/>
        <v>0</v>
      </c>
      <c r="H172" t="b">
        <f t="shared" ca="1" si="11"/>
        <v>0</v>
      </c>
      <c r="I172" t="b">
        <f t="shared" ca="1" si="12"/>
        <v>0</v>
      </c>
      <c r="J172" t="b">
        <f t="shared" ca="1" si="13"/>
        <v>0</v>
      </c>
      <c r="K172" t="b">
        <f t="shared" ca="1" si="14"/>
        <v>0</v>
      </c>
      <c r="L172" t="b">
        <f t="shared" ca="1" si="15"/>
        <v>0</v>
      </c>
      <c r="M172" t="b">
        <f t="shared" ca="1" si="16"/>
        <v>0</v>
      </c>
      <c r="N172" s="448"/>
      <c r="O172" s="464"/>
      <c r="R172" s="448"/>
      <c r="S172" s="464"/>
      <c r="V172" s="448"/>
      <c r="W172" s="464"/>
      <c r="Z172" s="448"/>
      <c r="AA172" s="464"/>
      <c r="AD172" s="448"/>
      <c r="AE172" s="464"/>
      <c r="AH172" s="448"/>
      <c r="AI172" s="464"/>
      <c r="AL172" s="448"/>
      <c r="AP172" s="448"/>
    </row>
    <row r="173" spans="1:42" ht="13">
      <c r="A173" s="462"/>
      <c r="B173" s="462"/>
      <c r="C173" t="str">
        <f ca="1">Filtered!I165</f>
        <v>The Lancet Oncology</v>
      </c>
      <c r="D173" t="str">
        <f ca="1">Filtered!J165</f>
        <v>Health &amp; Medical Sciences</v>
      </c>
      <c r="E173" t="str">
        <f ca="1">Filtered!L165</f>
        <v>Unsure</v>
      </c>
      <c r="F173" t="b">
        <f t="shared" ca="1" si="9"/>
        <v>0</v>
      </c>
      <c r="G173" t="b">
        <f t="shared" ca="1" si="10"/>
        <v>0</v>
      </c>
      <c r="H173" t="b">
        <f t="shared" ca="1" si="11"/>
        <v>0</v>
      </c>
      <c r="I173" t="b">
        <f t="shared" ca="1" si="12"/>
        <v>1</v>
      </c>
      <c r="J173" t="b">
        <f t="shared" ca="1" si="13"/>
        <v>0</v>
      </c>
      <c r="K173" t="b">
        <f t="shared" ca="1" si="14"/>
        <v>0</v>
      </c>
      <c r="L173" t="b">
        <f t="shared" ca="1" si="15"/>
        <v>0</v>
      </c>
      <c r="M173" t="b">
        <f t="shared" ca="1" si="16"/>
        <v>0</v>
      </c>
      <c r="N173" s="448"/>
      <c r="O173" s="464"/>
      <c r="R173" s="448"/>
      <c r="S173" s="464"/>
      <c r="V173" s="448"/>
      <c r="W173" s="464"/>
      <c r="Z173" s="448"/>
      <c r="AA173" s="464"/>
      <c r="AD173" s="448"/>
      <c r="AE173" s="464"/>
      <c r="AH173" s="448"/>
      <c r="AI173" s="464"/>
      <c r="AL173" s="448"/>
      <c r="AP173" s="448"/>
    </row>
    <row r="174" spans="1:42" ht="13">
      <c r="A174" s="462"/>
      <c r="B174" s="462"/>
      <c r="C174" t="str">
        <f ca="1">Filtered!I166</f>
        <v>The Modern Language Journal</v>
      </c>
      <c r="D174" t="str">
        <f ca="1">Filtered!J166</f>
        <v>Humanities, Literature &amp; Arts</v>
      </c>
      <c r="E174" t="str">
        <f ca="1">Filtered!L166</f>
        <v>Double blind</v>
      </c>
      <c r="F174" t="b">
        <f t="shared" ca="1" si="9"/>
        <v>0</v>
      </c>
      <c r="G174" t="b">
        <f t="shared" ca="1" si="10"/>
        <v>0</v>
      </c>
      <c r="H174" t="b">
        <f t="shared" ca="1" si="11"/>
        <v>0</v>
      </c>
      <c r="I174" t="b">
        <f t="shared" ca="1" si="12"/>
        <v>0</v>
      </c>
      <c r="J174" t="b">
        <f t="shared" ca="1" si="13"/>
        <v>1</v>
      </c>
      <c r="K174" t="b">
        <f t="shared" ca="1" si="14"/>
        <v>0</v>
      </c>
      <c r="L174" t="b">
        <f t="shared" ca="1" si="15"/>
        <v>0</v>
      </c>
      <c r="M174" t="b">
        <f t="shared" ca="1" si="16"/>
        <v>0</v>
      </c>
      <c r="N174" s="448"/>
      <c r="O174" s="464"/>
      <c r="R174" s="448"/>
      <c r="S174" s="464"/>
      <c r="V174" s="448"/>
      <c r="W174" s="464"/>
      <c r="Z174" s="448"/>
      <c r="AA174" s="464"/>
      <c r="AD174" s="448"/>
      <c r="AE174" s="464"/>
      <c r="AH174" s="448"/>
      <c r="AI174" s="464"/>
      <c r="AL174" s="448"/>
      <c r="AP174" s="448"/>
    </row>
    <row r="175" spans="1:42" ht="13">
      <c r="A175" s="462"/>
      <c r="B175" s="462"/>
      <c r="C175" t="str">
        <f ca="1">Filtered!I167</f>
        <v>The New England Journal of Medicine</v>
      </c>
      <c r="D175" t="str">
        <f ca="1">Filtered!J167</f>
        <v>Health &amp; Medical Sciences</v>
      </c>
      <c r="E175" t="str">
        <f ca="1">Filtered!L167</f>
        <v>Single blind (inferred; reviewers see author identity to know COI)</v>
      </c>
      <c r="F175" t="b">
        <f t="shared" ca="1" si="9"/>
        <v>0</v>
      </c>
      <c r="G175" t="b">
        <f t="shared" ca="1" si="10"/>
        <v>0</v>
      </c>
      <c r="H175" t="b">
        <f t="shared" ca="1" si="11"/>
        <v>0</v>
      </c>
      <c r="I175" t="b">
        <f t="shared" ca="1" si="12"/>
        <v>1</v>
      </c>
      <c r="J175" t="b">
        <f t="shared" ca="1" si="13"/>
        <v>0</v>
      </c>
      <c r="K175" t="b">
        <f t="shared" ca="1" si="14"/>
        <v>0</v>
      </c>
      <c r="L175" t="b">
        <f t="shared" ca="1" si="15"/>
        <v>0</v>
      </c>
      <c r="M175" t="b">
        <f t="shared" ca="1" si="16"/>
        <v>0</v>
      </c>
      <c r="N175" s="448"/>
      <c r="O175" s="464"/>
      <c r="R175" s="448"/>
      <c r="S175" s="464"/>
      <c r="V175" s="448"/>
      <c r="W175" s="464"/>
      <c r="Z175" s="448"/>
      <c r="AA175" s="464"/>
      <c r="AD175" s="448"/>
      <c r="AE175" s="464"/>
      <c r="AH175" s="448"/>
      <c r="AI175" s="464"/>
      <c r="AL175" s="448"/>
      <c r="AP175" s="448"/>
    </row>
    <row r="176" spans="1:42" ht="13">
      <c r="A176" s="462"/>
      <c r="B176" s="462"/>
      <c r="C176" t="str">
        <f ca="1">Filtered!I168</f>
        <v>The Quarterly Journal of Economics</v>
      </c>
      <c r="D176" t="str">
        <f ca="1">Filtered!J168</f>
        <v>Business, Economics &amp; Management</v>
      </c>
      <c r="E176" t="str">
        <f ca="1">Filtered!L168</f>
        <v>Unsure</v>
      </c>
      <c r="F176" t="b">
        <f t="shared" ca="1" si="9"/>
        <v>1</v>
      </c>
      <c r="G176" t="b">
        <f t="shared" ca="1" si="10"/>
        <v>0</v>
      </c>
      <c r="H176" t="b">
        <f t="shared" ca="1" si="11"/>
        <v>0</v>
      </c>
      <c r="I176" t="b">
        <f t="shared" ca="1" si="12"/>
        <v>0</v>
      </c>
      <c r="J176" t="b">
        <f t="shared" ca="1" si="13"/>
        <v>0</v>
      </c>
      <c r="K176" t="b">
        <f t="shared" ca="1" si="14"/>
        <v>0</v>
      </c>
      <c r="L176" t="b">
        <f t="shared" ca="1" si="15"/>
        <v>0</v>
      </c>
      <c r="M176" t="b">
        <f t="shared" ca="1" si="16"/>
        <v>0</v>
      </c>
      <c r="N176" s="448"/>
      <c r="O176" s="464"/>
      <c r="R176" s="448"/>
      <c r="S176" s="464"/>
      <c r="V176" s="448"/>
      <c r="W176" s="464"/>
      <c r="Z176" s="448"/>
      <c r="AA176" s="464"/>
      <c r="AD176" s="448"/>
      <c r="AE176" s="464"/>
      <c r="AH176" s="448"/>
      <c r="AI176" s="464"/>
      <c r="AL176" s="448"/>
      <c r="AP176" s="448"/>
    </row>
    <row r="177" spans="1:42" ht="13">
      <c r="A177" s="462"/>
      <c r="B177" s="462"/>
      <c r="C177" t="str">
        <f ca="1">Filtered!I169</f>
        <v>The Review of Economic Studies</v>
      </c>
      <c r="D177" t="str">
        <f ca="1">Filtered!J169</f>
        <v>Business, Economics &amp; Management</v>
      </c>
      <c r="E177" t="str">
        <f ca="1">Filtered!L169</f>
        <v>Unsure</v>
      </c>
      <c r="F177" t="b">
        <f t="shared" ca="1" si="9"/>
        <v>1</v>
      </c>
      <c r="G177" t="b">
        <f t="shared" ca="1" si="10"/>
        <v>0</v>
      </c>
      <c r="H177" t="b">
        <f t="shared" ca="1" si="11"/>
        <v>0</v>
      </c>
      <c r="I177" t="b">
        <f t="shared" ca="1" si="12"/>
        <v>0</v>
      </c>
      <c r="J177" t="b">
        <f t="shared" ca="1" si="13"/>
        <v>0</v>
      </c>
      <c r="K177" t="b">
        <f t="shared" ca="1" si="14"/>
        <v>0</v>
      </c>
      <c r="L177" t="b">
        <f t="shared" ca="1" si="15"/>
        <v>0</v>
      </c>
      <c r="M177" t="b">
        <f t="shared" ca="1" si="16"/>
        <v>0</v>
      </c>
      <c r="N177" s="448"/>
      <c r="O177" s="464"/>
      <c r="R177" s="448"/>
      <c r="S177" s="464"/>
      <c r="V177" s="448"/>
      <c r="W177" s="464"/>
      <c r="Z177" s="448"/>
      <c r="AA177" s="464"/>
      <c r="AD177" s="448"/>
      <c r="AE177" s="464"/>
      <c r="AH177" s="448"/>
      <c r="AI177" s="464"/>
      <c r="AL177" s="448"/>
      <c r="AP177" s="448"/>
    </row>
    <row r="178" spans="1:42" ht="13">
      <c r="A178" s="462"/>
      <c r="B178" s="462"/>
      <c r="C178" t="str">
        <f ca="1">Filtered!I170</f>
        <v>The Review of Financial Studies</v>
      </c>
      <c r="D178" t="str">
        <f ca="1">Filtered!J170</f>
        <v>Business, Economics &amp; Management</v>
      </c>
      <c r="E178" t="str">
        <f ca="1">Filtered!L170</f>
        <v>Unsure</v>
      </c>
      <c r="F178" t="b">
        <f t="shared" ca="1" si="9"/>
        <v>1</v>
      </c>
      <c r="G178" t="b">
        <f t="shared" ca="1" si="10"/>
        <v>0</v>
      </c>
      <c r="H178" t="b">
        <f t="shared" ca="1" si="11"/>
        <v>0</v>
      </c>
      <c r="I178" t="b">
        <f t="shared" ca="1" si="12"/>
        <v>0</v>
      </c>
      <c r="J178" t="b">
        <f t="shared" ca="1" si="13"/>
        <v>0</v>
      </c>
      <c r="K178" t="b">
        <f t="shared" ca="1" si="14"/>
        <v>0</v>
      </c>
      <c r="L178" t="b">
        <f t="shared" ca="1" si="15"/>
        <v>0</v>
      </c>
      <c r="M178" t="b">
        <f t="shared" ca="1" si="16"/>
        <v>0</v>
      </c>
      <c r="N178" s="448"/>
      <c r="O178" s="464"/>
      <c r="R178" s="448"/>
      <c r="S178" s="464"/>
      <c r="V178" s="448"/>
      <c r="W178" s="464"/>
      <c r="Z178" s="448"/>
      <c r="AA178" s="464"/>
      <c r="AD178" s="448"/>
      <c r="AE178" s="464"/>
      <c r="AH178" s="448"/>
      <c r="AI178" s="464"/>
      <c r="AL178" s="448"/>
      <c r="AP178" s="448"/>
    </row>
    <row r="179" spans="1:42" ht="13">
      <c r="A179" s="462"/>
      <c r="B179" s="462"/>
      <c r="C179" t="str">
        <f ca="1">Filtered!I171</f>
        <v>Tourism Management</v>
      </c>
      <c r="D179" t="str">
        <f ca="1">Filtered!J171</f>
        <v>Business, Economics &amp; Management</v>
      </c>
      <c r="E179" t="str">
        <f ca="1">Filtered!L171</f>
        <v>Double blind</v>
      </c>
      <c r="F179" t="b">
        <f t="shared" ca="1" si="9"/>
        <v>1</v>
      </c>
      <c r="G179" t="b">
        <f t="shared" ca="1" si="10"/>
        <v>0</v>
      </c>
      <c r="H179" t="b">
        <f t="shared" ca="1" si="11"/>
        <v>0</v>
      </c>
      <c r="I179" t="b">
        <f t="shared" ca="1" si="12"/>
        <v>0</v>
      </c>
      <c r="J179" t="b">
        <f t="shared" ca="1" si="13"/>
        <v>0</v>
      </c>
      <c r="K179" t="b">
        <f t="shared" ca="1" si="14"/>
        <v>0</v>
      </c>
      <c r="L179" t="b">
        <f t="shared" ca="1" si="15"/>
        <v>0</v>
      </c>
      <c r="M179" t="b">
        <f t="shared" ca="1" si="16"/>
        <v>0</v>
      </c>
      <c r="N179" s="448"/>
      <c r="O179" s="464"/>
      <c r="R179" s="448"/>
      <c r="S179" s="464"/>
      <c r="V179" s="448"/>
      <c r="W179" s="464"/>
      <c r="Z179" s="448"/>
      <c r="AA179" s="464"/>
      <c r="AD179" s="448"/>
      <c r="AE179" s="464"/>
      <c r="AH179" s="448"/>
      <c r="AI179" s="464"/>
      <c r="AL179" s="448"/>
      <c r="AP179" s="448"/>
    </row>
    <row r="180" spans="1:42" ht="13">
      <c r="A180" s="462"/>
      <c r="B180" s="462"/>
      <c r="C180" t="str">
        <f ca="1">Filtered!I172</f>
        <v>World Development</v>
      </c>
      <c r="D180" t="str">
        <f ca="1">Filtered!J172</f>
        <v>Business, Economics &amp; Management</v>
      </c>
      <c r="E180" t="str">
        <f ca="1">Filtered!L172</f>
        <v>Double blind</v>
      </c>
      <c r="F180" t="b">
        <f t="shared" ca="1" si="9"/>
        <v>1</v>
      </c>
      <c r="G180" t="b">
        <f t="shared" ca="1" si="10"/>
        <v>0</v>
      </c>
      <c r="H180" t="b">
        <f t="shared" ca="1" si="11"/>
        <v>0</v>
      </c>
      <c r="I180" t="b">
        <f t="shared" ca="1" si="12"/>
        <v>0</v>
      </c>
      <c r="J180" t="b">
        <f t="shared" ca="1" si="13"/>
        <v>0</v>
      </c>
      <c r="K180" t="b">
        <f t="shared" ca="1" si="14"/>
        <v>0</v>
      </c>
      <c r="L180" t="b">
        <f t="shared" ca="1" si="15"/>
        <v>0</v>
      </c>
      <c r="M180" t="b">
        <f t="shared" ca="1" si="16"/>
        <v>0</v>
      </c>
      <c r="N180" s="448"/>
      <c r="O180" s="464"/>
      <c r="R180" s="448"/>
      <c r="S180" s="464"/>
      <c r="V180" s="448"/>
      <c r="W180" s="464"/>
      <c r="Z180" s="448"/>
      <c r="AA180" s="464"/>
      <c r="AD180" s="448"/>
      <c r="AE180" s="464"/>
      <c r="AH180" s="448"/>
      <c r="AI180" s="464"/>
      <c r="AL180" s="448"/>
      <c r="AP180" s="448"/>
    </row>
    <row r="181" spans="1:42" ht="13">
      <c r="A181" s="462"/>
      <c r="B181" s="462"/>
      <c r="C181">
        <f>Filtered!I173</f>
        <v>0</v>
      </c>
      <c r="D181">
        <f>Filtered!J173</f>
        <v>0</v>
      </c>
      <c r="E181">
        <f>Filtered!L173</f>
        <v>0</v>
      </c>
      <c r="N181" s="448"/>
      <c r="O181" s="464"/>
      <c r="R181" s="448"/>
      <c r="S181" s="464"/>
      <c r="V181" s="448"/>
      <c r="W181" s="464"/>
      <c r="Z181" s="448"/>
      <c r="AA181" s="464"/>
      <c r="AD181" s="448"/>
      <c r="AE181" s="464"/>
      <c r="AH181" s="448"/>
      <c r="AI181" s="464"/>
      <c r="AL181" s="448"/>
      <c r="AP181" s="448"/>
    </row>
    <row r="182" spans="1:42" ht="13">
      <c r="A182" s="462"/>
      <c r="B182" s="462"/>
      <c r="C182">
        <f>Filtered!I174</f>
        <v>0</v>
      </c>
      <c r="D182">
        <f>Filtered!J174</f>
        <v>0</v>
      </c>
      <c r="E182">
        <f>Filtered!L174</f>
        <v>0</v>
      </c>
      <c r="N182" s="448"/>
      <c r="O182" s="464"/>
      <c r="R182" s="448"/>
      <c r="S182" s="464"/>
      <c r="V182" s="448"/>
      <c r="W182" s="464"/>
      <c r="Z182" s="448"/>
      <c r="AA182" s="464"/>
      <c r="AD182" s="448"/>
      <c r="AE182" s="464"/>
      <c r="AH182" s="448"/>
      <c r="AI182" s="464"/>
      <c r="AL182" s="448"/>
      <c r="AP182" s="448"/>
    </row>
    <row r="183" spans="1:42" ht="13">
      <c r="A183" s="462"/>
      <c r="B183" s="462"/>
      <c r="C183">
        <f>Filtered!I175</f>
        <v>0</v>
      </c>
      <c r="D183">
        <f>Filtered!J175</f>
        <v>0</v>
      </c>
      <c r="E183">
        <f>Filtered!L175</f>
        <v>0</v>
      </c>
      <c r="N183" s="448"/>
      <c r="O183" s="464"/>
      <c r="R183" s="448"/>
      <c r="S183" s="464"/>
      <c r="V183" s="448"/>
      <c r="W183" s="464"/>
      <c r="Z183" s="448"/>
      <c r="AA183" s="464"/>
      <c r="AD183" s="448"/>
      <c r="AE183" s="464"/>
      <c r="AH183" s="448"/>
      <c r="AI183" s="464"/>
      <c r="AL183" s="448"/>
      <c r="AP183" s="448"/>
    </row>
    <row r="184" spans="1:42" ht="13">
      <c r="A184" s="462"/>
      <c r="B184" s="462"/>
      <c r="C184">
        <f>Filtered!I176</f>
        <v>0</v>
      </c>
      <c r="D184">
        <f>Filtered!J176</f>
        <v>0</v>
      </c>
      <c r="E184">
        <f>Filtered!L176</f>
        <v>0</v>
      </c>
      <c r="N184" s="448"/>
      <c r="O184" s="464"/>
      <c r="R184" s="448"/>
      <c r="S184" s="464"/>
      <c r="V184" s="448"/>
      <c r="W184" s="464"/>
      <c r="Z184" s="448"/>
      <c r="AA184" s="464"/>
      <c r="AD184" s="448"/>
      <c r="AE184" s="464"/>
      <c r="AH184" s="448"/>
      <c r="AI184" s="464"/>
      <c r="AL184" s="448"/>
      <c r="AP184" s="448"/>
    </row>
    <row r="185" spans="1:42" ht="13">
      <c r="A185" s="462"/>
      <c r="B185" s="462"/>
      <c r="C185">
        <f>Filtered!I177</f>
        <v>0</v>
      </c>
      <c r="D185">
        <f>Filtered!J177</f>
        <v>0</v>
      </c>
      <c r="E185">
        <f>Filtered!L177</f>
        <v>0</v>
      </c>
      <c r="N185" s="448"/>
      <c r="O185" s="464"/>
      <c r="R185" s="448"/>
      <c r="S185" s="464"/>
      <c r="V185" s="448"/>
      <c r="W185" s="464"/>
      <c r="Z185" s="448"/>
      <c r="AA185" s="464"/>
      <c r="AD185" s="448"/>
      <c r="AE185" s="464"/>
      <c r="AH185" s="448"/>
      <c r="AI185" s="464"/>
      <c r="AL185" s="448"/>
      <c r="AP185" s="448"/>
    </row>
    <row r="186" spans="1:42" ht="13">
      <c r="A186" s="462"/>
      <c r="B186" s="462"/>
      <c r="C186">
        <f>Filtered!I178</f>
        <v>0</v>
      </c>
      <c r="D186">
        <f>Filtered!J178</f>
        <v>0</v>
      </c>
      <c r="E186">
        <f>Filtered!L178</f>
        <v>0</v>
      </c>
      <c r="N186" s="448"/>
      <c r="O186" s="464"/>
      <c r="R186" s="448"/>
      <c r="S186" s="464"/>
      <c r="V186" s="448"/>
      <c r="W186" s="464"/>
      <c r="Z186" s="448"/>
      <c r="AA186" s="464"/>
      <c r="AD186" s="448"/>
      <c r="AE186" s="464"/>
      <c r="AH186" s="448"/>
      <c r="AI186" s="464"/>
      <c r="AL186" s="448"/>
      <c r="AP186" s="448"/>
    </row>
    <row r="187" spans="1:42" ht="13">
      <c r="A187" s="462"/>
      <c r="B187" s="462"/>
      <c r="C187">
        <f>Filtered!I179</f>
        <v>0</v>
      </c>
      <c r="D187">
        <f>Filtered!J179</f>
        <v>0</v>
      </c>
      <c r="E187">
        <f>Filtered!L179</f>
        <v>0</v>
      </c>
      <c r="N187" s="448"/>
      <c r="O187" s="464"/>
      <c r="R187" s="448"/>
      <c r="S187" s="464"/>
      <c r="V187" s="448"/>
      <c r="W187" s="464"/>
      <c r="Z187" s="448"/>
      <c r="AA187" s="464"/>
      <c r="AD187" s="448"/>
      <c r="AE187" s="464"/>
      <c r="AH187" s="448"/>
      <c r="AI187" s="464"/>
      <c r="AL187" s="448"/>
      <c r="AP187" s="448"/>
    </row>
    <row r="188" spans="1:42" ht="13">
      <c r="A188" s="462"/>
      <c r="B188" s="462"/>
      <c r="C188">
        <f>Filtered!I180</f>
        <v>0</v>
      </c>
      <c r="D188">
        <f>Filtered!J180</f>
        <v>0</v>
      </c>
      <c r="E188">
        <f>Filtered!L180</f>
        <v>0</v>
      </c>
      <c r="N188" s="448"/>
      <c r="O188" s="464"/>
      <c r="R188" s="448"/>
      <c r="S188" s="464"/>
      <c r="V188" s="448"/>
      <c r="W188" s="464"/>
      <c r="Z188" s="448"/>
      <c r="AA188" s="464"/>
      <c r="AD188" s="448"/>
      <c r="AE188" s="464"/>
      <c r="AH188" s="448"/>
      <c r="AI188" s="464"/>
      <c r="AL188" s="448"/>
      <c r="AP188" s="448"/>
    </row>
    <row r="189" spans="1:42" ht="13">
      <c r="A189" s="462"/>
      <c r="B189" s="462"/>
      <c r="C189">
        <f>Filtered!I181</f>
        <v>0</v>
      </c>
      <c r="D189">
        <f>Filtered!J181</f>
        <v>0</v>
      </c>
      <c r="E189">
        <f>Filtered!L181</f>
        <v>0</v>
      </c>
      <c r="N189" s="448"/>
      <c r="O189" s="464"/>
      <c r="R189" s="448"/>
      <c r="S189" s="464"/>
      <c r="V189" s="448"/>
      <c r="W189" s="464"/>
      <c r="Z189" s="448"/>
      <c r="AA189" s="464"/>
      <c r="AD189" s="448"/>
      <c r="AE189" s="464"/>
      <c r="AH189" s="448"/>
      <c r="AI189" s="464"/>
      <c r="AL189" s="448"/>
      <c r="AP189" s="448"/>
    </row>
    <row r="190" spans="1:42" ht="13">
      <c r="A190" s="462"/>
      <c r="B190" s="462"/>
      <c r="C190">
        <f>Filtered!I182</f>
        <v>0</v>
      </c>
      <c r="D190">
        <f>Filtered!J182</f>
        <v>0</v>
      </c>
      <c r="E190">
        <f>Filtered!L182</f>
        <v>0</v>
      </c>
      <c r="N190" s="448"/>
      <c r="O190" s="464"/>
      <c r="R190" s="448"/>
      <c r="S190" s="464"/>
      <c r="V190" s="448"/>
      <c r="W190" s="464"/>
      <c r="Z190" s="448"/>
      <c r="AA190" s="464"/>
      <c r="AD190" s="448"/>
      <c r="AE190" s="464"/>
      <c r="AH190" s="448"/>
      <c r="AI190" s="464"/>
      <c r="AL190" s="448"/>
      <c r="AP190" s="448"/>
    </row>
    <row r="191" spans="1:42" ht="13">
      <c r="A191" s="462"/>
      <c r="B191" s="462"/>
      <c r="C191">
        <f>Filtered!I183</f>
        <v>0</v>
      </c>
      <c r="D191">
        <f>Filtered!J183</f>
        <v>0</v>
      </c>
      <c r="E191">
        <f>Filtered!L183</f>
        <v>0</v>
      </c>
      <c r="N191" s="448"/>
      <c r="O191" s="464"/>
      <c r="R191" s="448"/>
      <c r="S191" s="464"/>
      <c r="V191" s="448"/>
      <c r="W191" s="464"/>
      <c r="Z191" s="448"/>
      <c r="AA191" s="464"/>
      <c r="AD191" s="448"/>
      <c r="AE191" s="464"/>
      <c r="AH191" s="448"/>
      <c r="AI191" s="464"/>
      <c r="AL191" s="448"/>
      <c r="AP191" s="448"/>
    </row>
    <row r="192" spans="1:42" ht="13">
      <c r="A192" s="462"/>
      <c r="B192" s="462"/>
      <c r="C192">
        <f>Filtered!I184</f>
        <v>0</v>
      </c>
      <c r="D192">
        <f>Filtered!J184</f>
        <v>0</v>
      </c>
      <c r="E192">
        <f>Filtered!L184</f>
        <v>0</v>
      </c>
      <c r="N192" s="448"/>
      <c r="O192" s="464"/>
      <c r="R192" s="448"/>
      <c r="S192" s="464"/>
      <c r="V192" s="448"/>
      <c r="W192" s="464"/>
      <c r="Z192" s="448"/>
      <c r="AA192" s="464"/>
      <c r="AD192" s="448"/>
      <c r="AE192" s="464"/>
      <c r="AH192" s="448"/>
      <c r="AI192" s="464"/>
      <c r="AL192" s="448"/>
      <c r="AP192" s="448"/>
    </row>
    <row r="193" spans="1:42" ht="13">
      <c r="A193" s="462"/>
      <c r="B193" s="462"/>
      <c r="C193">
        <f>Filtered!I185</f>
        <v>0</v>
      </c>
      <c r="D193">
        <f>Filtered!J185</f>
        <v>0</v>
      </c>
      <c r="E193">
        <f>Filtered!L185</f>
        <v>0</v>
      </c>
      <c r="N193" s="448"/>
      <c r="O193" s="464"/>
      <c r="R193" s="448"/>
      <c r="S193" s="464"/>
      <c r="V193" s="448"/>
      <c r="W193" s="464"/>
      <c r="Z193" s="448"/>
      <c r="AA193" s="464"/>
      <c r="AD193" s="448"/>
      <c r="AE193" s="464"/>
      <c r="AH193" s="448"/>
      <c r="AI193" s="464"/>
      <c r="AL193" s="448"/>
      <c r="AP193" s="448"/>
    </row>
    <row r="194" spans="1:42" ht="13">
      <c r="A194" s="462"/>
      <c r="B194" s="462"/>
      <c r="C194">
        <f>Filtered!I186</f>
        <v>0</v>
      </c>
      <c r="D194">
        <f>Filtered!J186</f>
        <v>0</v>
      </c>
      <c r="E194">
        <f>Filtered!L186</f>
        <v>0</v>
      </c>
      <c r="N194" s="448"/>
      <c r="O194" s="464"/>
      <c r="R194" s="448"/>
      <c r="S194" s="464"/>
      <c r="V194" s="448"/>
      <c r="W194" s="464"/>
      <c r="Z194" s="448"/>
      <c r="AA194" s="464"/>
      <c r="AD194" s="448"/>
      <c r="AE194" s="464"/>
      <c r="AH194" s="448"/>
      <c r="AI194" s="464"/>
      <c r="AL194" s="448"/>
      <c r="AP194" s="448"/>
    </row>
    <row r="195" spans="1:42" ht="13">
      <c r="A195" s="462"/>
      <c r="B195" s="462"/>
      <c r="N195" s="448"/>
      <c r="O195" s="464"/>
      <c r="R195" s="448"/>
      <c r="S195" s="464"/>
      <c r="V195" s="448"/>
      <c r="W195" s="464"/>
      <c r="Z195" s="448"/>
      <c r="AA195" s="464"/>
      <c r="AD195" s="448"/>
      <c r="AE195" s="464"/>
      <c r="AH195" s="448"/>
      <c r="AI195" s="464"/>
      <c r="AL195" s="448"/>
      <c r="AP195" s="448"/>
    </row>
    <row r="196" spans="1:42" ht="13">
      <c r="A196" s="462"/>
      <c r="B196" s="462"/>
      <c r="N196" s="448"/>
      <c r="O196" s="464"/>
      <c r="R196" s="448"/>
      <c r="S196" s="464"/>
      <c r="V196" s="448"/>
      <c r="W196" s="464"/>
      <c r="Z196" s="448"/>
      <c r="AA196" s="464"/>
      <c r="AD196" s="448"/>
      <c r="AE196" s="464"/>
      <c r="AH196" s="448"/>
      <c r="AI196" s="464"/>
      <c r="AL196" s="448"/>
      <c r="AP196" s="448"/>
    </row>
    <row r="197" spans="1:42" ht="13">
      <c r="A197" s="462"/>
      <c r="B197" s="462"/>
      <c r="N197" s="448"/>
      <c r="O197" s="464"/>
      <c r="R197" s="448"/>
      <c r="S197" s="464"/>
      <c r="V197" s="448"/>
      <c r="W197" s="464"/>
      <c r="Z197" s="448"/>
      <c r="AA197" s="464"/>
      <c r="AD197" s="448"/>
      <c r="AE197" s="464"/>
      <c r="AH197" s="448"/>
      <c r="AI197" s="464"/>
      <c r="AL197" s="448"/>
      <c r="AP197" s="448"/>
    </row>
    <row r="198" spans="1:42" ht="13">
      <c r="A198" s="462"/>
      <c r="B198" s="462"/>
      <c r="N198" s="448"/>
      <c r="O198" s="464"/>
      <c r="R198" s="448"/>
      <c r="S198" s="464"/>
      <c r="V198" s="448"/>
      <c r="W198" s="464"/>
      <c r="Z198" s="448"/>
      <c r="AA198" s="464"/>
      <c r="AD198" s="448"/>
      <c r="AE198" s="464"/>
      <c r="AH198" s="448"/>
      <c r="AI198" s="464"/>
      <c r="AL198" s="448"/>
      <c r="AP198" s="448"/>
    </row>
    <row r="199" spans="1:42" ht="13">
      <c r="A199" s="462"/>
      <c r="B199" s="462"/>
      <c r="N199" s="448"/>
      <c r="O199" s="464"/>
      <c r="R199" s="448"/>
      <c r="S199" s="464"/>
      <c r="V199" s="448"/>
      <c r="W199" s="464"/>
      <c r="Z199" s="448"/>
      <c r="AA199" s="464"/>
      <c r="AD199" s="448"/>
      <c r="AE199" s="464"/>
      <c r="AH199" s="448"/>
      <c r="AI199" s="464"/>
      <c r="AL199" s="448"/>
      <c r="AP199" s="448"/>
    </row>
    <row r="200" spans="1:42" ht="13">
      <c r="A200" s="462"/>
      <c r="B200" s="462"/>
      <c r="N200" s="448"/>
      <c r="O200" s="464"/>
      <c r="R200" s="448"/>
      <c r="S200" s="464"/>
      <c r="V200" s="448"/>
      <c r="W200" s="464"/>
      <c r="Z200" s="448"/>
      <c r="AA200" s="464"/>
      <c r="AD200" s="448"/>
      <c r="AE200" s="464"/>
      <c r="AH200" s="448"/>
      <c r="AI200" s="464"/>
      <c r="AL200" s="448"/>
      <c r="AP200" s="448"/>
    </row>
    <row r="201" spans="1:42" ht="13">
      <c r="A201" s="462"/>
      <c r="B201" s="462"/>
      <c r="N201" s="448"/>
      <c r="O201" s="464"/>
      <c r="R201" s="448"/>
      <c r="S201" s="464"/>
      <c r="V201" s="448"/>
      <c r="W201" s="464"/>
      <c r="Z201" s="448"/>
      <c r="AA201" s="464"/>
      <c r="AD201" s="448"/>
      <c r="AE201" s="464"/>
      <c r="AH201" s="448"/>
      <c r="AI201" s="464"/>
      <c r="AL201" s="448"/>
      <c r="AP201" s="448"/>
    </row>
    <row r="202" spans="1:42" ht="13">
      <c r="A202" s="462"/>
      <c r="B202" s="462"/>
      <c r="N202" s="448"/>
      <c r="O202" s="464"/>
      <c r="R202" s="448"/>
      <c r="S202" s="464"/>
      <c r="V202" s="448"/>
      <c r="W202" s="464"/>
      <c r="Z202" s="448"/>
      <c r="AA202" s="464"/>
      <c r="AD202" s="448"/>
      <c r="AE202" s="464"/>
      <c r="AH202" s="448"/>
      <c r="AI202" s="464"/>
      <c r="AL202" s="448"/>
      <c r="AP202" s="448"/>
    </row>
    <row r="203" spans="1:42" ht="13">
      <c r="A203" s="462"/>
      <c r="B203" s="462"/>
      <c r="N203" s="448"/>
      <c r="O203" s="464"/>
      <c r="R203" s="448"/>
      <c r="S203" s="464"/>
      <c r="V203" s="448"/>
      <c r="W203" s="464"/>
      <c r="Z203" s="448"/>
      <c r="AA203" s="464"/>
      <c r="AD203" s="448"/>
      <c r="AE203" s="464"/>
      <c r="AH203" s="448"/>
      <c r="AI203" s="464"/>
      <c r="AL203" s="448"/>
      <c r="AP203" s="448"/>
    </row>
    <row r="204" spans="1:42" ht="13">
      <c r="A204" s="462"/>
      <c r="B204" s="462"/>
      <c r="N204" s="448"/>
      <c r="O204" s="464"/>
      <c r="R204" s="448"/>
      <c r="S204" s="464"/>
      <c r="V204" s="448"/>
      <c r="W204" s="464"/>
      <c r="Z204" s="448"/>
      <c r="AA204" s="464"/>
      <c r="AD204" s="448"/>
      <c r="AE204" s="464"/>
      <c r="AH204" s="448"/>
      <c r="AI204" s="464"/>
      <c r="AL204" s="448"/>
      <c r="AP204" s="448"/>
    </row>
    <row r="205" spans="1:42" ht="13">
      <c r="A205" s="462"/>
      <c r="B205" s="462"/>
      <c r="N205" s="448"/>
      <c r="O205" s="464"/>
      <c r="R205" s="448"/>
      <c r="S205" s="464"/>
      <c r="V205" s="448"/>
      <c r="W205" s="464"/>
      <c r="Z205" s="448"/>
      <c r="AA205" s="464"/>
      <c r="AD205" s="448"/>
      <c r="AE205" s="464"/>
      <c r="AH205" s="448"/>
      <c r="AI205" s="464"/>
      <c r="AL205" s="448"/>
      <c r="AP205" s="448"/>
    </row>
    <row r="206" spans="1:42" ht="13">
      <c r="A206" s="462"/>
      <c r="B206" s="462"/>
      <c r="N206" s="448"/>
      <c r="O206" s="464"/>
      <c r="R206" s="448"/>
      <c r="S206" s="464"/>
      <c r="V206" s="448"/>
      <c r="W206" s="464"/>
      <c r="Z206" s="448"/>
      <c r="AA206" s="464"/>
      <c r="AD206" s="448"/>
      <c r="AE206" s="464"/>
      <c r="AH206" s="448"/>
      <c r="AI206" s="464"/>
      <c r="AL206" s="448"/>
      <c r="AP206" s="448"/>
    </row>
    <row r="207" spans="1:42" ht="13">
      <c r="A207" s="462"/>
      <c r="B207" s="462"/>
      <c r="N207" s="448"/>
      <c r="O207" s="464"/>
      <c r="R207" s="448"/>
      <c r="S207" s="464"/>
      <c r="V207" s="448"/>
      <c r="W207" s="464"/>
      <c r="Z207" s="448"/>
      <c r="AA207" s="464"/>
      <c r="AD207" s="448"/>
      <c r="AE207" s="464"/>
      <c r="AH207" s="448"/>
      <c r="AI207" s="464"/>
      <c r="AL207" s="448"/>
      <c r="AP207" s="448"/>
    </row>
    <row r="208" spans="1:42" ht="13">
      <c r="A208" s="462"/>
      <c r="B208" s="462"/>
      <c r="N208" s="448"/>
      <c r="O208" s="464"/>
      <c r="R208" s="448"/>
      <c r="S208" s="464"/>
      <c r="V208" s="448"/>
      <c r="W208" s="464"/>
      <c r="Z208" s="448"/>
      <c r="AA208" s="464"/>
      <c r="AD208" s="448"/>
      <c r="AE208" s="464"/>
      <c r="AH208" s="448"/>
      <c r="AI208" s="464"/>
      <c r="AL208" s="448"/>
      <c r="AP208" s="448"/>
    </row>
    <row r="209" spans="1:42" ht="13">
      <c r="A209" s="462"/>
      <c r="B209" s="462"/>
      <c r="N209" s="448"/>
      <c r="O209" s="464"/>
      <c r="R209" s="448"/>
      <c r="S209" s="464"/>
      <c r="V209" s="448"/>
      <c r="W209" s="464"/>
      <c r="Z209" s="448"/>
      <c r="AA209" s="464"/>
      <c r="AD209" s="448"/>
      <c r="AE209" s="464"/>
      <c r="AH209" s="448"/>
      <c r="AI209" s="464"/>
      <c r="AL209" s="448"/>
      <c r="AP209" s="448"/>
    </row>
    <row r="210" spans="1:42" ht="13">
      <c r="A210" s="462"/>
      <c r="B210" s="462"/>
      <c r="N210" s="448"/>
      <c r="O210" s="464"/>
      <c r="R210" s="448"/>
      <c r="S210" s="464"/>
      <c r="V210" s="448"/>
      <c r="W210" s="464"/>
      <c r="Z210" s="448"/>
      <c r="AA210" s="464"/>
      <c r="AD210" s="448"/>
      <c r="AE210" s="464"/>
      <c r="AH210" s="448"/>
      <c r="AI210" s="464"/>
      <c r="AL210" s="448"/>
      <c r="AP210" s="448"/>
    </row>
    <row r="211" spans="1:42" ht="13">
      <c r="A211" s="462"/>
      <c r="B211" s="462"/>
      <c r="N211" s="448"/>
      <c r="O211" s="464"/>
      <c r="R211" s="448"/>
      <c r="S211" s="464"/>
      <c r="V211" s="448"/>
      <c r="W211" s="464"/>
      <c r="Z211" s="448"/>
      <c r="AA211" s="464"/>
      <c r="AD211" s="448"/>
      <c r="AE211" s="464"/>
      <c r="AH211" s="448"/>
      <c r="AI211" s="464"/>
      <c r="AL211" s="448"/>
      <c r="AP211" s="448"/>
    </row>
    <row r="212" spans="1:42" ht="13">
      <c r="A212" s="462"/>
      <c r="B212" s="462"/>
      <c r="N212" s="448"/>
      <c r="O212" s="464"/>
      <c r="R212" s="448"/>
      <c r="S212" s="464"/>
      <c r="V212" s="448"/>
      <c r="W212" s="464"/>
      <c r="Z212" s="448"/>
      <c r="AA212" s="464"/>
      <c r="AD212" s="448"/>
      <c r="AE212" s="464"/>
      <c r="AH212" s="448"/>
      <c r="AI212" s="464"/>
      <c r="AL212" s="448"/>
      <c r="AP212" s="448"/>
    </row>
    <row r="213" spans="1:42" ht="13">
      <c r="A213" s="462"/>
      <c r="B213" s="462"/>
      <c r="N213" s="448"/>
      <c r="O213" s="464"/>
      <c r="R213" s="448"/>
      <c r="S213" s="464"/>
      <c r="V213" s="448"/>
      <c r="W213" s="464"/>
      <c r="Z213" s="448"/>
      <c r="AA213" s="464"/>
      <c r="AD213" s="448"/>
      <c r="AE213" s="464"/>
      <c r="AH213" s="448"/>
      <c r="AI213" s="464"/>
      <c r="AL213" s="448"/>
      <c r="AP213" s="448"/>
    </row>
    <row r="214" spans="1:42" ht="13">
      <c r="A214" s="462"/>
      <c r="B214" s="462"/>
      <c r="N214" s="448"/>
      <c r="O214" s="464"/>
      <c r="R214" s="448"/>
      <c r="S214" s="464"/>
      <c r="V214" s="448"/>
      <c r="W214" s="464"/>
      <c r="Z214" s="448"/>
      <c r="AA214" s="464"/>
      <c r="AD214" s="448"/>
      <c r="AE214" s="464"/>
      <c r="AH214" s="448"/>
      <c r="AI214" s="464"/>
      <c r="AL214" s="448"/>
      <c r="AP214" s="448"/>
    </row>
    <row r="215" spans="1:42" ht="13">
      <c r="A215" s="462"/>
      <c r="B215" s="462"/>
      <c r="N215" s="448"/>
      <c r="O215" s="464"/>
      <c r="R215" s="448"/>
      <c r="S215" s="464"/>
      <c r="V215" s="448"/>
      <c r="W215" s="464"/>
      <c r="Z215" s="448"/>
      <c r="AA215" s="464"/>
      <c r="AD215" s="448"/>
      <c r="AE215" s="464"/>
      <c r="AH215" s="448"/>
      <c r="AI215" s="464"/>
      <c r="AL215" s="448"/>
      <c r="AP215" s="448"/>
    </row>
    <row r="216" spans="1:42" ht="13">
      <c r="A216" s="462"/>
      <c r="B216" s="462"/>
      <c r="N216" s="448"/>
      <c r="O216" s="464"/>
      <c r="R216" s="448"/>
      <c r="S216" s="464"/>
      <c r="V216" s="448"/>
      <c r="W216" s="464"/>
      <c r="Z216" s="448"/>
      <c r="AA216" s="464"/>
      <c r="AD216" s="448"/>
      <c r="AE216" s="464"/>
      <c r="AH216" s="448"/>
      <c r="AI216" s="464"/>
      <c r="AL216" s="448"/>
      <c r="AP216" s="448"/>
    </row>
    <row r="217" spans="1:42" ht="13">
      <c r="A217" s="462"/>
      <c r="B217" s="462"/>
      <c r="N217" s="448"/>
      <c r="O217" s="464"/>
      <c r="R217" s="448"/>
      <c r="S217" s="464"/>
      <c r="V217" s="448"/>
      <c r="W217" s="464"/>
      <c r="Z217" s="448"/>
      <c r="AA217" s="464"/>
      <c r="AD217" s="448"/>
      <c r="AE217" s="464"/>
      <c r="AH217" s="448"/>
      <c r="AI217" s="464"/>
      <c r="AL217" s="448"/>
      <c r="AP217" s="448"/>
    </row>
    <row r="218" spans="1:42" ht="13">
      <c r="A218" s="462"/>
      <c r="B218" s="462"/>
      <c r="N218" s="448"/>
      <c r="O218" s="464"/>
      <c r="R218" s="448"/>
      <c r="S218" s="464"/>
      <c r="V218" s="448"/>
      <c r="W218" s="464"/>
      <c r="Z218" s="448"/>
      <c r="AA218" s="464"/>
      <c r="AD218" s="448"/>
      <c r="AE218" s="464"/>
      <c r="AH218" s="448"/>
      <c r="AI218" s="464"/>
      <c r="AL218" s="448"/>
      <c r="AP218" s="448"/>
    </row>
    <row r="219" spans="1:42" ht="13">
      <c r="A219" s="462"/>
      <c r="B219" s="462"/>
      <c r="N219" s="448"/>
      <c r="O219" s="464"/>
      <c r="R219" s="448"/>
      <c r="S219" s="464"/>
      <c r="V219" s="448"/>
      <c r="W219" s="464"/>
      <c r="Z219" s="448"/>
      <c r="AA219" s="464"/>
      <c r="AD219" s="448"/>
      <c r="AE219" s="464"/>
      <c r="AH219" s="448"/>
      <c r="AI219" s="464"/>
      <c r="AL219" s="448"/>
      <c r="AP219" s="448"/>
    </row>
    <row r="220" spans="1:42" ht="13">
      <c r="A220" s="462"/>
      <c r="B220" s="462"/>
      <c r="N220" s="448"/>
      <c r="O220" s="464"/>
      <c r="R220" s="448"/>
      <c r="S220" s="464"/>
      <c r="V220" s="448"/>
      <c r="W220" s="464"/>
      <c r="Z220" s="448"/>
      <c r="AA220" s="464"/>
      <c r="AD220" s="448"/>
      <c r="AE220" s="464"/>
      <c r="AH220" s="448"/>
      <c r="AI220" s="464"/>
      <c r="AL220" s="448"/>
      <c r="AP220" s="448"/>
    </row>
    <row r="221" spans="1:42" ht="13">
      <c r="A221" s="462"/>
      <c r="B221" s="462"/>
      <c r="N221" s="448"/>
      <c r="O221" s="464"/>
      <c r="R221" s="448"/>
      <c r="S221" s="464"/>
      <c r="V221" s="448"/>
      <c r="W221" s="464"/>
      <c r="Z221" s="448"/>
      <c r="AA221" s="464"/>
      <c r="AD221" s="448"/>
      <c r="AE221" s="464"/>
      <c r="AH221" s="448"/>
      <c r="AI221" s="464"/>
      <c r="AL221" s="448"/>
      <c r="AP221" s="448"/>
    </row>
    <row r="222" spans="1:42" ht="13">
      <c r="A222" s="462"/>
      <c r="B222" s="462"/>
      <c r="N222" s="448"/>
      <c r="O222" s="464"/>
      <c r="R222" s="448"/>
      <c r="S222" s="464"/>
      <c r="V222" s="448"/>
      <c r="W222" s="464"/>
      <c r="Z222" s="448"/>
      <c r="AA222" s="464"/>
      <c r="AD222" s="448"/>
      <c r="AE222" s="464"/>
      <c r="AH222" s="448"/>
      <c r="AI222" s="464"/>
      <c r="AL222" s="448"/>
      <c r="AP222" s="448"/>
    </row>
    <row r="223" spans="1:42" ht="13">
      <c r="A223" s="462"/>
      <c r="B223" s="462"/>
      <c r="N223" s="448"/>
      <c r="O223" s="464"/>
      <c r="R223" s="448"/>
      <c r="S223" s="464"/>
      <c r="V223" s="448"/>
      <c r="W223" s="464"/>
      <c r="Z223" s="448"/>
      <c r="AA223" s="464"/>
      <c r="AD223" s="448"/>
      <c r="AE223" s="464"/>
      <c r="AH223" s="448"/>
      <c r="AI223" s="464"/>
      <c r="AL223" s="448"/>
      <c r="AP223" s="448"/>
    </row>
    <row r="224" spans="1:42" ht="13">
      <c r="A224" s="462"/>
      <c r="B224" s="462"/>
      <c r="N224" s="448"/>
      <c r="O224" s="464"/>
      <c r="R224" s="448"/>
      <c r="S224" s="464"/>
      <c r="V224" s="448"/>
      <c r="W224" s="464"/>
      <c r="Z224" s="448"/>
      <c r="AA224" s="464"/>
      <c r="AD224" s="448"/>
      <c r="AE224" s="464"/>
      <c r="AH224" s="448"/>
      <c r="AI224" s="464"/>
      <c r="AL224" s="448"/>
      <c r="AP224" s="448"/>
    </row>
    <row r="225" spans="1:42" ht="13">
      <c r="A225" s="462"/>
      <c r="B225" s="462"/>
      <c r="N225" s="448"/>
      <c r="O225" s="464"/>
      <c r="R225" s="448"/>
      <c r="S225" s="464"/>
      <c r="V225" s="448"/>
      <c r="W225" s="464"/>
      <c r="Z225" s="448"/>
      <c r="AA225" s="464"/>
      <c r="AD225" s="448"/>
      <c r="AE225" s="464"/>
      <c r="AH225" s="448"/>
      <c r="AI225" s="464"/>
      <c r="AL225" s="448"/>
      <c r="AP225" s="448"/>
    </row>
    <row r="226" spans="1:42" ht="13">
      <c r="A226" s="462"/>
      <c r="B226" s="462"/>
      <c r="N226" s="448"/>
      <c r="O226" s="464"/>
      <c r="R226" s="448"/>
      <c r="S226" s="464"/>
      <c r="V226" s="448"/>
      <c r="W226" s="464"/>
      <c r="Z226" s="448"/>
      <c r="AA226" s="464"/>
      <c r="AD226" s="448"/>
      <c r="AE226" s="464"/>
      <c r="AH226" s="448"/>
      <c r="AI226" s="464"/>
      <c r="AL226" s="448"/>
      <c r="AP226" s="448"/>
    </row>
    <row r="227" spans="1:42" ht="13">
      <c r="A227" s="462"/>
      <c r="B227" s="462"/>
      <c r="N227" s="448"/>
      <c r="O227" s="464"/>
      <c r="R227" s="448"/>
      <c r="S227" s="464"/>
      <c r="V227" s="448"/>
      <c r="W227" s="464"/>
      <c r="Z227" s="448"/>
      <c r="AA227" s="464"/>
      <c r="AD227" s="448"/>
      <c r="AE227" s="464"/>
      <c r="AH227" s="448"/>
      <c r="AI227" s="464"/>
      <c r="AL227" s="448"/>
      <c r="AP227" s="448"/>
    </row>
    <row r="228" spans="1:42" ht="13">
      <c r="A228" s="462"/>
      <c r="B228" s="462"/>
      <c r="N228" s="448"/>
      <c r="O228" s="464"/>
      <c r="R228" s="448"/>
      <c r="S228" s="464"/>
      <c r="V228" s="448"/>
      <c r="W228" s="464"/>
      <c r="Z228" s="448"/>
      <c r="AA228" s="464"/>
      <c r="AD228" s="448"/>
      <c r="AE228" s="464"/>
      <c r="AH228" s="448"/>
      <c r="AI228" s="464"/>
      <c r="AL228" s="448"/>
      <c r="AP228" s="448"/>
    </row>
    <row r="229" spans="1:42" ht="13">
      <c r="A229" s="462"/>
      <c r="B229" s="462"/>
      <c r="N229" s="448"/>
      <c r="O229" s="464"/>
      <c r="R229" s="448"/>
      <c r="S229" s="464"/>
      <c r="V229" s="448"/>
      <c r="W229" s="464"/>
      <c r="Z229" s="448"/>
      <c r="AA229" s="464"/>
      <c r="AD229" s="448"/>
      <c r="AE229" s="464"/>
      <c r="AH229" s="448"/>
      <c r="AI229" s="464"/>
      <c r="AL229" s="448"/>
      <c r="AP229" s="448"/>
    </row>
    <row r="230" spans="1:42" ht="13">
      <c r="A230" s="462"/>
      <c r="B230" s="462"/>
      <c r="N230" s="448"/>
      <c r="O230" s="464"/>
      <c r="R230" s="448"/>
      <c r="S230" s="464"/>
      <c r="V230" s="448"/>
      <c r="W230" s="464"/>
      <c r="Z230" s="448"/>
      <c r="AA230" s="464"/>
      <c r="AD230" s="448"/>
      <c r="AE230" s="464"/>
      <c r="AH230" s="448"/>
      <c r="AI230" s="464"/>
      <c r="AL230" s="448"/>
      <c r="AP230" s="448"/>
    </row>
    <row r="231" spans="1:42" ht="13">
      <c r="A231" s="462"/>
      <c r="B231" s="462"/>
      <c r="N231" s="448"/>
      <c r="O231" s="464"/>
      <c r="R231" s="448"/>
      <c r="S231" s="464"/>
      <c r="V231" s="448"/>
      <c r="W231" s="464"/>
      <c r="Z231" s="448"/>
      <c r="AA231" s="464"/>
      <c r="AD231" s="448"/>
      <c r="AE231" s="464"/>
      <c r="AH231" s="448"/>
      <c r="AI231" s="464"/>
      <c r="AL231" s="448"/>
      <c r="AP231" s="448"/>
    </row>
    <row r="232" spans="1:42" ht="13">
      <c r="A232" s="462"/>
      <c r="B232" s="462"/>
      <c r="N232" s="448"/>
      <c r="O232" s="464"/>
      <c r="R232" s="448"/>
      <c r="S232" s="464"/>
      <c r="V232" s="448"/>
      <c r="W232" s="464"/>
      <c r="Z232" s="448"/>
      <c r="AA232" s="464"/>
      <c r="AD232" s="448"/>
      <c r="AE232" s="464"/>
      <c r="AH232" s="448"/>
      <c r="AI232" s="464"/>
      <c r="AL232" s="448"/>
      <c r="AP232" s="448"/>
    </row>
    <row r="233" spans="1:42" ht="13">
      <c r="A233" s="462"/>
      <c r="B233" s="462"/>
      <c r="N233" s="448"/>
      <c r="O233" s="464"/>
      <c r="R233" s="448"/>
      <c r="S233" s="464"/>
      <c r="V233" s="448"/>
      <c r="W233" s="464"/>
      <c r="Z233" s="448"/>
      <c r="AA233" s="464"/>
      <c r="AD233" s="448"/>
      <c r="AE233" s="464"/>
      <c r="AH233" s="448"/>
      <c r="AI233" s="464"/>
      <c r="AL233" s="448"/>
      <c r="AP233" s="448"/>
    </row>
    <row r="234" spans="1:42" ht="13">
      <c r="A234" s="462"/>
      <c r="B234" s="462"/>
      <c r="N234" s="448"/>
      <c r="O234" s="464"/>
      <c r="R234" s="448"/>
      <c r="S234" s="464"/>
      <c r="V234" s="448"/>
      <c r="W234" s="464"/>
      <c r="Z234" s="448"/>
      <c r="AA234" s="464"/>
      <c r="AD234" s="448"/>
      <c r="AE234" s="464"/>
      <c r="AH234" s="448"/>
      <c r="AI234" s="464"/>
      <c r="AL234" s="448"/>
      <c r="AP234" s="448"/>
    </row>
    <row r="235" spans="1:42" ht="13">
      <c r="A235" s="462"/>
      <c r="B235" s="462"/>
      <c r="N235" s="448"/>
      <c r="O235" s="464"/>
      <c r="R235" s="448"/>
      <c r="S235" s="464"/>
      <c r="V235" s="448"/>
      <c r="W235" s="464"/>
      <c r="Z235" s="448"/>
      <c r="AA235" s="464"/>
      <c r="AD235" s="448"/>
      <c r="AE235" s="464"/>
      <c r="AH235" s="448"/>
      <c r="AI235" s="464"/>
      <c r="AL235" s="448"/>
      <c r="AP235" s="448"/>
    </row>
    <row r="236" spans="1:42" ht="13">
      <c r="A236" s="462"/>
      <c r="B236" s="462"/>
      <c r="N236" s="448"/>
      <c r="O236" s="464"/>
      <c r="R236" s="448"/>
      <c r="S236" s="464"/>
      <c r="V236" s="448"/>
      <c r="W236" s="464"/>
      <c r="Z236" s="448"/>
      <c r="AA236" s="464"/>
      <c r="AD236" s="448"/>
      <c r="AE236" s="464"/>
      <c r="AH236" s="448"/>
      <c r="AI236" s="464"/>
      <c r="AL236" s="448"/>
      <c r="AP236" s="448"/>
    </row>
    <row r="237" spans="1:42" ht="13">
      <c r="A237" s="462"/>
      <c r="B237" s="462"/>
      <c r="N237" s="448"/>
      <c r="O237" s="464"/>
      <c r="R237" s="448"/>
      <c r="S237" s="464"/>
      <c r="V237" s="448"/>
      <c r="W237" s="464"/>
      <c r="Z237" s="448"/>
      <c r="AA237" s="464"/>
      <c r="AD237" s="448"/>
      <c r="AE237" s="464"/>
      <c r="AH237" s="448"/>
      <c r="AI237" s="464"/>
      <c r="AL237" s="448"/>
      <c r="AP237" s="448"/>
    </row>
    <row r="238" spans="1:42" ht="13">
      <c r="A238" s="462"/>
      <c r="B238" s="462"/>
      <c r="N238" s="448"/>
      <c r="O238" s="464"/>
      <c r="R238" s="448"/>
      <c r="S238" s="464"/>
      <c r="V238" s="448"/>
      <c r="W238" s="464"/>
      <c r="Z238" s="448"/>
      <c r="AA238" s="464"/>
      <c r="AD238" s="448"/>
      <c r="AE238" s="464"/>
      <c r="AH238" s="448"/>
      <c r="AI238" s="464"/>
      <c r="AL238" s="448"/>
      <c r="AP238" s="448"/>
    </row>
    <row r="239" spans="1:42" ht="13">
      <c r="A239" s="462"/>
      <c r="B239" s="462"/>
      <c r="N239" s="448"/>
      <c r="O239" s="464"/>
      <c r="R239" s="448"/>
      <c r="S239" s="464"/>
      <c r="V239" s="448"/>
      <c r="W239" s="464"/>
      <c r="Z239" s="448"/>
      <c r="AA239" s="464"/>
      <c r="AD239" s="448"/>
      <c r="AE239" s="464"/>
      <c r="AH239" s="448"/>
      <c r="AI239" s="464"/>
      <c r="AL239" s="448"/>
      <c r="AP239" s="448"/>
    </row>
    <row r="240" spans="1:42" ht="13">
      <c r="A240" s="462"/>
      <c r="B240" s="462"/>
      <c r="N240" s="448"/>
      <c r="O240" s="464"/>
      <c r="R240" s="448"/>
      <c r="S240" s="464"/>
      <c r="V240" s="448"/>
      <c r="W240" s="464"/>
      <c r="Z240" s="448"/>
      <c r="AA240" s="464"/>
      <c r="AD240" s="448"/>
      <c r="AE240" s="464"/>
      <c r="AH240" s="448"/>
      <c r="AI240" s="464"/>
      <c r="AL240" s="448"/>
      <c r="AP240" s="448"/>
    </row>
    <row r="241" spans="1:42" ht="13">
      <c r="A241" s="462"/>
      <c r="B241" s="462"/>
      <c r="N241" s="448"/>
      <c r="O241" s="464"/>
      <c r="R241" s="448"/>
      <c r="S241" s="464"/>
      <c r="V241" s="448"/>
      <c r="W241" s="464"/>
      <c r="Z241" s="448"/>
      <c r="AA241" s="464"/>
      <c r="AD241" s="448"/>
      <c r="AE241" s="464"/>
      <c r="AH241" s="448"/>
      <c r="AI241" s="464"/>
      <c r="AL241" s="448"/>
      <c r="AP241" s="448"/>
    </row>
    <row r="242" spans="1:42" ht="13">
      <c r="A242" s="462"/>
      <c r="B242" s="462"/>
      <c r="N242" s="448"/>
      <c r="O242" s="464"/>
      <c r="R242" s="448"/>
      <c r="S242" s="464"/>
      <c r="V242" s="448"/>
      <c r="W242" s="464"/>
      <c r="Z242" s="448"/>
      <c r="AA242" s="464"/>
      <c r="AD242" s="448"/>
      <c r="AE242" s="464"/>
      <c r="AH242" s="448"/>
      <c r="AI242" s="464"/>
      <c r="AL242" s="448"/>
      <c r="AP242" s="448"/>
    </row>
    <row r="243" spans="1:42" ht="13">
      <c r="A243" s="462"/>
      <c r="B243" s="462"/>
      <c r="N243" s="448"/>
      <c r="O243" s="464"/>
      <c r="R243" s="448"/>
      <c r="S243" s="464"/>
      <c r="V243" s="448"/>
      <c r="W243" s="464"/>
      <c r="Z243" s="448"/>
      <c r="AA243" s="464"/>
      <c r="AD243" s="448"/>
      <c r="AE243" s="464"/>
      <c r="AH243" s="448"/>
      <c r="AI243" s="464"/>
      <c r="AL243" s="448"/>
      <c r="AP243" s="448"/>
    </row>
    <row r="244" spans="1:42" ht="13">
      <c r="A244" s="462"/>
      <c r="B244" s="462"/>
      <c r="N244" s="448"/>
      <c r="O244" s="464"/>
      <c r="R244" s="448"/>
      <c r="S244" s="464"/>
      <c r="V244" s="448"/>
      <c r="W244" s="464"/>
      <c r="Z244" s="448"/>
      <c r="AA244" s="464"/>
      <c r="AD244" s="448"/>
      <c r="AE244" s="464"/>
      <c r="AH244" s="448"/>
      <c r="AI244" s="464"/>
      <c r="AL244" s="448"/>
      <c r="AP244" s="448"/>
    </row>
    <row r="245" spans="1:42" ht="13">
      <c r="A245" s="462"/>
      <c r="B245" s="462"/>
      <c r="N245" s="448"/>
      <c r="O245" s="464"/>
      <c r="R245" s="448"/>
      <c r="S245" s="464"/>
      <c r="V245" s="448"/>
      <c r="W245" s="464"/>
      <c r="Z245" s="448"/>
      <c r="AA245" s="464"/>
      <c r="AD245" s="448"/>
      <c r="AE245" s="464"/>
      <c r="AH245" s="448"/>
      <c r="AI245" s="464"/>
      <c r="AL245" s="448"/>
      <c r="AP245" s="448"/>
    </row>
    <row r="246" spans="1:42" ht="13">
      <c r="A246" s="462"/>
      <c r="B246" s="462"/>
      <c r="N246" s="448"/>
      <c r="O246" s="464"/>
      <c r="R246" s="448"/>
      <c r="S246" s="464"/>
      <c r="V246" s="448"/>
      <c r="W246" s="464"/>
      <c r="Z246" s="448"/>
      <c r="AA246" s="464"/>
      <c r="AD246" s="448"/>
      <c r="AE246" s="464"/>
      <c r="AH246" s="448"/>
      <c r="AI246" s="464"/>
      <c r="AL246" s="448"/>
      <c r="AP246" s="448"/>
    </row>
    <row r="247" spans="1:42" ht="13">
      <c r="A247" s="462"/>
      <c r="B247" s="462"/>
      <c r="N247" s="448"/>
      <c r="O247" s="464"/>
      <c r="R247" s="448"/>
      <c r="S247" s="464"/>
      <c r="V247" s="448"/>
      <c r="W247" s="464"/>
      <c r="Z247" s="448"/>
      <c r="AA247" s="464"/>
      <c r="AD247" s="448"/>
      <c r="AE247" s="464"/>
      <c r="AH247" s="448"/>
      <c r="AI247" s="464"/>
      <c r="AL247" s="448"/>
      <c r="AP247" s="448"/>
    </row>
    <row r="248" spans="1:42" ht="13">
      <c r="A248" s="462"/>
      <c r="B248" s="462"/>
      <c r="N248" s="448"/>
      <c r="O248" s="464"/>
      <c r="R248" s="448"/>
      <c r="S248" s="464"/>
      <c r="V248" s="448"/>
      <c r="W248" s="464"/>
      <c r="Z248" s="448"/>
      <c r="AA248" s="464"/>
      <c r="AD248" s="448"/>
      <c r="AE248" s="464"/>
      <c r="AH248" s="448"/>
      <c r="AI248" s="464"/>
      <c r="AL248" s="448"/>
      <c r="AP248" s="448"/>
    </row>
    <row r="249" spans="1:42" ht="13">
      <c r="A249" s="462"/>
      <c r="B249" s="462"/>
      <c r="N249" s="448"/>
      <c r="O249" s="464"/>
      <c r="R249" s="448"/>
      <c r="S249" s="464"/>
      <c r="V249" s="448"/>
      <c r="W249" s="464"/>
      <c r="Z249" s="448"/>
      <c r="AA249" s="464"/>
      <c r="AD249" s="448"/>
      <c r="AE249" s="464"/>
      <c r="AH249" s="448"/>
      <c r="AI249" s="464"/>
      <c r="AL249" s="448"/>
      <c r="AP249" s="448"/>
    </row>
    <row r="250" spans="1:42" ht="13">
      <c r="A250" s="462"/>
      <c r="B250" s="462"/>
      <c r="N250" s="448"/>
      <c r="O250" s="464"/>
      <c r="R250" s="448"/>
      <c r="S250" s="464"/>
      <c r="V250" s="448"/>
      <c r="W250" s="464"/>
      <c r="Z250" s="448"/>
      <c r="AA250" s="464"/>
      <c r="AD250" s="448"/>
      <c r="AE250" s="464"/>
      <c r="AH250" s="448"/>
      <c r="AI250" s="464"/>
      <c r="AL250" s="448"/>
      <c r="AP250" s="448"/>
    </row>
    <row r="251" spans="1:42" ht="13">
      <c r="A251" s="462"/>
      <c r="B251" s="462"/>
      <c r="N251" s="448"/>
      <c r="O251" s="464"/>
      <c r="R251" s="448"/>
      <c r="S251" s="464"/>
      <c r="V251" s="448"/>
      <c r="W251" s="464"/>
      <c r="Z251" s="448"/>
      <c r="AA251" s="464"/>
      <c r="AD251" s="448"/>
      <c r="AE251" s="464"/>
      <c r="AH251" s="448"/>
      <c r="AI251" s="464"/>
      <c r="AL251" s="448"/>
      <c r="AP251" s="448"/>
    </row>
    <row r="252" spans="1:42" ht="13">
      <c r="A252" s="462"/>
      <c r="B252" s="462"/>
      <c r="N252" s="448"/>
      <c r="O252" s="464"/>
      <c r="R252" s="448"/>
      <c r="S252" s="464"/>
      <c r="V252" s="448"/>
      <c r="W252" s="464"/>
      <c r="Z252" s="448"/>
      <c r="AA252" s="464"/>
      <c r="AD252" s="448"/>
      <c r="AE252" s="464"/>
      <c r="AH252" s="448"/>
      <c r="AI252" s="464"/>
      <c r="AL252" s="448"/>
      <c r="AP252" s="448"/>
    </row>
    <row r="253" spans="1:42" ht="13">
      <c r="A253" s="462"/>
      <c r="B253" s="462"/>
      <c r="N253" s="448"/>
      <c r="O253" s="464"/>
      <c r="R253" s="448"/>
      <c r="S253" s="464"/>
      <c r="V253" s="448"/>
      <c r="W253" s="464"/>
      <c r="Z253" s="448"/>
      <c r="AA253" s="464"/>
      <c r="AD253" s="448"/>
      <c r="AE253" s="464"/>
      <c r="AH253" s="448"/>
      <c r="AI253" s="464"/>
      <c r="AL253" s="448"/>
      <c r="AP253" s="448"/>
    </row>
    <row r="254" spans="1:42" ht="13">
      <c r="A254" s="462"/>
      <c r="B254" s="462"/>
      <c r="N254" s="448"/>
      <c r="O254" s="464"/>
      <c r="R254" s="448"/>
      <c r="S254" s="464"/>
      <c r="V254" s="448"/>
      <c r="W254" s="464"/>
      <c r="Z254" s="448"/>
      <c r="AA254" s="464"/>
      <c r="AD254" s="448"/>
      <c r="AE254" s="464"/>
      <c r="AH254" s="448"/>
      <c r="AI254" s="464"/>
      <c r="AL254" s="448"/>
      <c r="AP254" s="448"/>
    </row>
    <row r="255" spans="1:42" ht="13">
      <c r="A255" s="462"/>
      <c r="B255" s="462"/>
      <c r="N255" s="448"/>
      <c r="O255" s="464"/>
      <c r="R255" s="448"/>
      <c r="S255" s="464"/>
      <c r="V255" s="448"/>
      <c r="W255" s="464"/>
      <c r="Z255" s="448"/>
      <c r="AA255" s="464"/>
      <c r="AD255" s="448"/>
      <c r="AE255" s="464"/>
      <c r="AH255" s="448"/>
      <c r="AI255" s="464"/>
      <c r="AL255" s="448"/>
      <c r="AP255" s="448"/>
    </row>
    <row r="256" spans="1:42" ht="13">
      <c r="A256" s="462"/>
      <c r="B256" s="462"/>
      <c r="N256" s="448"/>
      <c r="O256" s="464"/>
      <c r="R256" s="448"/>
      <c r="S256" s="464"/>
      <c r="V256" s="448"/>
      <c r="W256" s="464"/>
      <c r="Z256" s="448"/>
      <c r="AA256" s="464"/>
      <c r="AD256" s="448"/>
      <c r="AE256" s="464"/>
      <c r="AH256" s="448"/>
      <c r="AI256" s="464"/>
      <c r="AL256" s="448"/>
      <c r="AP256" s="448"/>
    </row>
    <row r="257" spans="1:42" ht="13">
      <c r="A257" s="462"/>
      <c r="B257" s="462"/>
      <c r="N257" s="448"/>
      <c r="O257" s="464"/>
      <c r="R257" s="448"/>
      <c r="S257" s="464"/>
      <c r="V257" s="448"/>
      <c r="W257" s="464"/>
      <c r="Z257" s="448"/>
      <c r="AA257" s="464"/>
      <c r="AD257" s="448"/>
      <c r="AE257" s="464"/>
      <c r="AH257" s="448"/>
      <c r="AI257" s="464"/>
      <c r="AL257" s="448"/>
      <c r="AP257" s="448"/>
    </row>
    <row r="258" spans="1:42" ht="13">
      <c r="A258" s="462"/>
      <c r="B258" s="462"/>
      <c r="N258" s="448"/>
      <c r="O258" s="464"/>
      <c r="R258" s="448"/>
      <c r="S258" s="464"/>
      <c r="V258" s="448"/>
      <c r="W258" s="464"/>
      <c r="Z258" s="448"/>
      <c r="AA258" s="464"/>
      <c r="AD258" s="448"/>
      <c r="AE258" s="464"/>
      <c r="AH258" s="448"/>
      <c r="AI258" s="464"/>
      <c r="AL258" s="448"/>
      <c r="AP258" s="448"/>
    </row>
    <row r="259" spans="1:42" ht="13">
      <c r="A259" s="462"/>
      <c r="B259" s="462"/>
      <c r="N259" s="448"/>
      <c r="O259" s="464"/>
      <c r="R259" s="448"/>
      <c r="S259" s="464"/>
      <c r="V259" s="448"/>
      <c r="W259" s="464"/>
      <c r="Z259" s="448"/>
      <c r="AA259" s="464"/>
      <c r="AD259" s="448"/>
      <c r="AE259" s="464"/>
      <c r="AH259" s="448"/>
      <c r="AI259" s="464"/>
      <c r="AL259" s="448"/>
      <c r="AP259" s="448"/>
    </row>
    <row r="260" spans="1:42" ht="13">
      <c r="A260" s="462"/>
      <c r="B260" s="462"/>
      <c r="N260" s="448"/>
      <c r="O260" s="464"/>
      <c r="R260" s="448"/>
      <c r="S260" s="464"/>
      <c r="V260" s="448"/>
      <c r="W260" s="464"/>
      <c r="Z260" s="448"/>
      <c r="AA260" s="464"/>
      <c r="AD260" s="448"/>
      <c r="AE260" s="464"/>
      <c r="AH260" s="448"/>
      <c r="AI260" s="464"/>
      <c r="AL260" s="448"/>
      <c r="AP260" s="448"/>
    </row>
    <row r="261" spans="1:42" ht="13">
      <c r="A261" s="462"/>
      <c r="B261" s="462"/>
      <c r="N261" s="448"/>
      <c r="O261" s="464"/>
      <c r="R261" s="448"/>
      <c r="S261" s="464"/>
      <c r="V261" s="448"/>
      <c r="W261" s="464"/>
      <c r="Z261" s="448"/>
      <c r="AA261" s="464"/>
      <c r="AD261" s="448"/>
      <c r="AE261" s="464"/>
      <c r="AH261" s="448"/>
      <c r="AI261" s="464"/>
      <c r="AL261" s="448"/>
      <c r="AP261" s="448"/>
    </row>
    <row r="262" spans="1:42" ht="13">
      <c r="A262" s="462"/>
      <c r="B262" s="462"/>
      <c r="N262" s="448"/>
      <c r="O262" s="464"/>
      <c r="R262" s="448"/>
      <c r="S262" s="464"/>
      <c r="V262" s="448"/>
      <c r="W262" s="464"/>
      <c r="Z262" s="448"/>
      <c r="AA262" s="464"/>
      <c r="AD262" s="448"/>
      <c r="AE262" s="464"/>
      <c r="AH262" s="448"/>
      <c r="AI262" s="464"/>
      <c r="AL262" s="448"/>
      <c r="AP262" s="448"/>
    </row>
    <row r="263" spans="1:42" ht="13">
      <c r="A263" s="462"/>
      <c r="B263" s="462"/>
      <c r="N263" s="448"/>
      <c r="O263" s="464"/>
      <c r="R263" s="448"/>
      <c r="S263" s="464"/>
      <c r="V263" s="448"/>
      <c r="W263" s="464"/>
      <c r="Z263" s="448"/>
      <c r="AA263" s="464"/>
      <c r="AD263" s="448"/>
      <c r="AE263" s="464"/>
      <c r="AH263" s="448"/>
      <c r="AI263" s="464"/>
      <c r="AL263" s="448"/>
      <c r="AP263" s="448"/>
    </row>
    <row r="264" spans="1:42" ht="13">
      <c r="A264" s="462"/>
      <c r="B264" s="462"/>
      <c r="N264" s="448"/>
      <c r="O264" s="464"/>
      <c r="R264" s="448"/>
      <c r="S264" s="464"/>
      <c r="V264" s="448"/>
      <c r="W264" s="464"/>
      <c r="Z264" s="448"/>
      <c r="AA264" s="464"/>
      <c r="AD264" s="448"/>
      <c r="AE264" s="464"/>
      <c r="AH264" s="448"/>
      <c r="AI264" s="464"/>
      <c r="AL264" s="448"/>
      <c r="AP264" s="448"/>
    </row>
    <row r="265" spans="1:42" ht="13">
      <c r="A265" s="462"/>
      <c r="B265" s="462"/>
      <c r="N265" s="448"/>
      <c r="O265" s="464"/>
      <c r="R265" s="448"/>
      <c r="S265" s="464"/>
      <c r="V265" s="448"/>
      <c r="W265" s="464"/>
      <c r="Z265" s="448"/>
      <c r="AA265" s="464"/>
      <c r="AD265" s="448"/>
      <c r="AE265" s="464"/>
      <c r="AH265" s="448"/>
      <c r="AI265" s="464"/>
      <c r="AL265" s="448"/>
      <c r="AP265" s="448"/>
    </row>
    <row r="266" spans="1:42" ht="13">
      <c r="A266" s="462"/>
      <c r="B266" s="462"/>
      <c r="N266" s="448"/>
      <c r="O266" s="464"/>
      <c r="R266" s="448"/>
      <c r="S266" s="464"/>
      <c r="V266" s="448"/>
      <c r="W266" s="464"/>
      <c r="Z266" s="448"/>
      <c r="AA266" s="464"/>
      <c r="AD266" s="448"/>
      <c r="AE266" s="464"/>
      <c r="AH266" s="448"/>
      <c r="AI266" s="464"/>
      <c r="AL266" s="448"/>
      <c r="AP266" s="448"/>
    </row>
    <row r="267" spans="1:42" ht="13">
      <c r="A267" s="462"/>
      <c r="B267" s="462"/>
      <c r="N267" s="448"/>
      <c r="O267" s="464"/>
      <c r="R267" s="448"/>
      <c r="S267" s="464"/>
      <c r="V267" s="448"/>
      <c r="W267" s="464"/>
      <c r="Z267" s="448"/>
      <c r="AA267" s="464"/>
      <c r="AD267" s="448"/>
      <c r="AE267" s="464"/>
      <c r="AH267" s="448"/>
      <c r="AI267" s="464"/>
      <c r="AL267" s="448"/>
      <c r="AP267" s="448"/>
    </row>
    <row r="268" spans="1:42" ht="13">
      <c r="A268" s="462"/>
      <c r="B268" s="462"/>
      <c r="N268" s="448"/>
      <c r="O268" s="464"/>
      <c r="R268" s="448"/>
      <c r="S268" s="464"/>
      <c r="V268" s="448"/>
      <c r="W268" s="464"/>
      <c r="Z268" s="448"/>
      <c r="AA268" s="464"/>
      <c r="AD268" s="448"/>
      <c r="AE268" s="464"/>
      <c r="AH268" s="448"/>
      <c r="AI268" s="464"/>
      <c r="AL268" s="448"/>
      <c r="AP268" s="448"/>
    </row>
    <row r="269" spans="1:42" ht="13">
      <c r="A269" s="462"/>
      <c r="B269" s="462"/>
      <c r="N269" s="448"/>
      <c r="O269" s="464"/>
      <c r="R269" s="448"/>
      <c r="S269" s="464"/>
      <c r="V269" s="448"/>
      <c r="W269" s="464"/>
      <c r="Z269" s="448"/>
      <c r="AA269" s="464"/>
      <c r="AD269" s="448"/>
      <c r="AE269" s="464"/>
      <c r="AH269" s="448"/>
      <c r="AI269" s="464"/>
      <c r="AL269" s="448"/>
      <c r="AP269" s="448"/>
    </row>
    <row r="270" spans="1:42" ht="13">
      <c r="A270" s="462"/>
      <c r="B270" s="462"/>
      <c r="N270" s="448"/>
      <c r="O270" s="464"/>
      <c r="R270" s="448"/>
      <c r="S270" s="464"/>
      <c r="V270" s="448"/>
      <c r="W270" s="464"/>
      <c r="Z270" s="448"/>
      <c r="AA270" s="464"/>
      <c r="AD270" s="448"/>
      <c r="AE270" s="464"/>
      <c r="AH270" s="448"/>
      <c r="AI270" s="464"/>
      <c r="AL270" s="448"/>
      <c r="AP270" s="448"/>
    </row>
    <row r="271" spans="1:42" ht="13">
      <c r="A271" s="462"/>
      <c r="B271" s="462"/>
      <c r="N271" s="448"/>
      <c r="O271" s="464"/>
      <c r="R271" s="448"/>
      <c r="S271" s="464"/>
      <c r="V271" s="448"/>
      <c r="W271" s="464"/>
      <c r="Z271" s="448"/>
      <c r="AA271" s="464"/>
      <c r="AD271" s="448"/>
      <c r="AE271" s="464"/>
      <c r="AH271" s="448"/>
      <c r="AI271" s="464"/>
      <c r="AL271" s="448"/>
      <c r="AP271" s="448"/>
    </row>
    <row r="272" spans="1:42" ht="13">
      <c r="A272" s="462"/>
      <c r="B272" s="462"/>
      <c r="N272" s="448"/>
      <c r="O272" s="464"/>
      <c r="R272" s="448"/>
      <c r="S272" s="464"/>
      <c r="V272" s="448"/>
      <c r="W272" s="464"/>
      <c r="Z272" s="448"/>
      <c r="AA272" s="464"/>
      <c r="AD272" s="448"/>
      <c r="AE272" s="464"/>
      <c r="AH272" s="448"/>
      <c r="AI272" s="464"/>
      <c r="AL272" s="448"/>
      <c r="AP272" s="448"/>
    </row>
    <row r="273" spans="1:42" ht="13">
      <c r="A273" s="462"/>
      <c r="B273" s="462"/>
      <c r="N273" s="448"/>
      <c r="O273" s="464"/>
      <c r="R273" s="448"/>
      <c r="S273" s="464"/>
      <c r="V273" s="448"/>
      <c r="W273" s="464"/>
      <c r="Z273" s="448"/>
      <c r="AA273" s="464"/>
      <c r="AD273" s="448"/>
      <c r="AE273" s="464"/>
      <c r="AH273" s="448"/>
      <c r="AI273" s="464"/>
      <c r="AL273" s="448"/>
      <c r="AP273" s="448"/>
    </row>
    <row r="274" spans="1:42" ht="13">
      <c r="A274" s="462"/>
      <c r="B274" s="462"/>
      <c r="N274" s="448"/>
      <c r="O274" s="464"/>
      <c r="R274" s="448"/>
      <c r="S274" s="464"/>
      <c r="V274" s="448"/>
      <c r="W274" s="464"/>
      <c r="Z274" s="448"/>
      <c r="AA274" s="464"/>
      <c r="AD274" s="448"/>
      <c r="AE274" s="464"/>
      <c r="AH274" s="448"/>
      <c r="AI274" s="464"/>
      <c r="AL274" s="448"/>
      <c r="AP274" s="448"/>
    </row>
    <row r="275" spans="1:42" ht="13">
      <c r="A275" s="462"/>
      <c r="B275" s="462"/>
      <c r="N275" s="448"/>
      <c r="O275" s="464"/>
      <c r="R275" s="448"/>
      <c r="S275" s="464"/>
      <c r="V275" s="448"/>
      <c r="W275" s="464"/>
      <c r="Z275" s="448"/>
      <c r="AA275" s="464"/>
      <c r="AD275" s="448"/>
      <c r="AE275" s="464"/>
      <c r="AH275" s="448"/>
      <c r="AI275" s="464"/>
      <c r="AL275" s="448"/>
      <c r="AP275" s="448"/>
    </row>
    <row r="276" spans="1:42" ht="13">
      <c r="A276" s="462"/>
      <c r="B276" s="462"/>
      <c r="N276" s="448"/>
      <c r="O276" s="464"/>
      <c r="R276" s="448"/>
      <c r="S276" s="464"/>
      <c r="V276" s="448"/>
      <c r="W276" s="464"/>
      <c r="Z276" s="448"/>
      <c r="AA276" s="464"/>
      <c r="AD276" s="448"/>
      <c r="AE276" s="464"/>
      <c r="AH276" s="448"/>
      <c r="AI276" s="464"/>
      <c r="AL276" s="448"/>
      <c r="AP276" s="448"/>
    </row>
    <row r="277" spans="1:42" ht="13">
      <c r="A277" s="462"/>
      <c r="B277" s="462"/>
      <c r="N277" s="448"/>
      <c r="O277" s="464"/>
      <c r="R277" s="448"/>
      <c r="S277" s="464"/>
      <c r="V277" s="448"/>
      <c r="W277" s="464"/>
      <c r="Z277" s="448"/>
      <c r="AA277" s="464"/>
      <c r="AD277" s="448"/>
      <c r="AE277" s="464"/>
      <c r="AH277" s="448"/>
      <c r="AI277" s="464"/>
      <c r="AL277" s="448"/>
      <c r="AP277" s="448"/>
    </row>
    <row r="278" spans="1:42" ht="13">
      <c r="A278" s="462"/>
      <c r="B278" s="462"/>
      <c r="N278" s="448"/>
      <c r="O278" s="464"/>
      <c r="R278" s="448"/>
      <c r="S278" s="464"/>
      <c r="V278" s="448"/>
      <c r="W278" s="464"/>
      <c r="Z278" s="448"/>
      <c r="AA278" s="464"/>
      <c r="AD278" s="448"/>
      <c r="AE278" s="464"/>
      <c r="AH278" s="448"/>
      <c r="AI278" s="464"/>
      <c r="AL278" s="448"/>
      <c r="AP278" s="448"/>
    </row>
    <row r="279" spans="1:42" ht="13">
      <c r="A279" s="462"/>
      <c r="B279" s="462"/>
      <c r="N279" s="448"/>
      <c r="O279" s="464"/>
      <c r="R279" s="448"/>
      <c r="S279" s="464"/>
      <c r="V279" s="448"/>
      <c r="W279" s="464"/>
      <c r="Z279" s="448"/>
      <c r="AA279" s="464"/>
      <c r="AD279" s="448"/>
      <c r="AE279" s="464"/>
      <c r="AH279" s="448"/>
      <c r="AI279" s="464"/>
      <c r="AL279" s="448"/>
      <c r="AP279" s="448"/>
    </row>
    <row r="280" spans="1:42" ht="13">
      <c r="A280" s="462"/>
      <c r="B280" s="462"/>
      <c r="N280" s="448"/>
      <c r="O280" s="464"/>
      <c r="R280" s="448"/>
      <c r="S280" s="464"/>
      <c r="V280" s="448"/>
      <c r="W280" s="464"/>
      <c r="Z280" s="448"/>
      <c r="AA280" s="464"/>
      <c r="AD280" s="448"/>
      <c r="AE280" s="464"/>
      <c r="AH280" s="448"/>
      <c r="AI280" s="464"/>
      <c r="AL280" s="448"/>
      <c r="AP280" s="448"/>
    </row>
    <row r="281" spans="1:42" ht="13">
      <c r="A281" s="462"/>
      <c r="B281" s="462"/>
      <c r="N281" s="448"/>
      <c r="O281" s="464"/>
      <c r="R281" s="448"/>
      <c r="S281" s="464"/>
      <c r="V281" s="448"/>
      <c r="W281" s="464"/>
      <c r="Z281" s="448"/>
      <c r="AA281" s="464"/>
      <c r="AD281" s="448"/>
      <c r="AE281" s="464"/>
      <c r="AH281" s="448"/>
      <c r="AI281" s="464"/>
      <c r="AL281" s="448"/>
      <c r="AP281" s="448"/>
    </row>
    <row r="282" spans="1:42" ht="13">
      <c r="A282" s="462"/>
      <c r="B282" s="462"/>
      <c r="N282" s="448"/>
      <c r="O282" s="464"/>
      <c r="R282" s="448"/>
      <c r="S282" s="464"/>
      <c r="V282" s="448"/>
      <c r="W282" s="464"/>
      <c r="Z282" s="448"/>
      <c r="AA282" s="464"/>
      <c r="AD282" s="448"/>
      <c r="AE282" s="464"/>
      <c r="AH282" s="448"/>
      <c r="AI282" s="464"/>
      <c r="AL282" s="448"/>
      <c r="AP282" s="448"/>
    </row>
    <row r="283" spans="1:42" ht="13">
      <c r="A283" s="462"/>
      <c r="B283" s="462"/>
      <c r="N283" s="448"/>
      <c r="O283" s="464"/>
      <c r="R283" s="448"/>
      <c r="S283" s="464"/>
      <c r="V283" s="448"/>
      <c r="W283" s="464"/>
      <c r="Z283" s="448"/>
      <c r="AA283" s="464"/>
      <c r="AD283" s="448"/>
      <c r="AE283" s="464"/>
      <c r="AH283" s="448"/>
      <c r="AI283" s="464"/>
      <c r="AL283" s="448"/>
      <c r="AP283" s="448"/>
    </row>
    <row r="284" spans="1:42" ht="13">
      <c r="A284" s="462"/>
      <c r="B284" s="462"/>
      <c r="N284" s="448"/>
      <c r="O284" s="464"/>
      <c r="R284" s="448"/>
      <c r="S284" s="464"/>
      <c r="V284" s="448"/>
      <c r="W284" s="464"/>
      <c r="Z284" s="448"/>
      <c r="AA284" s="464"/>
      <c r="AD284" s="448"/>
      <c r="AE284" s="464"/>
      <c r="AH284" s="448"/>
      <c r="AI284" s="464"/>
      <c r="AL284" s="448"/>
      <c r="AP284" s="448"/>
    </row>
    <row r="285" spans="1:42" ht="13">
      <c r="A285" s="462"/>
      <c r="B285" s="462"/>
      <c r="N285" s="448"/>
      <c r="O285" s="464"/>
      <c r="R285" s="448"/>
      <c r="S285" s="464"/>
      <c r="V285" s="448"/>
      <c r="W285" s="464"/>
      <c r="Z285" s="448"/>
      <c r="AA285" s="464"/>
      <c r="AD285" s="448"/>
      <c r="AE285" s="464"/>
      <c r="AH285" s="448"/>
      <c r="AI285" s="464"/>
      <c r="AL285" s="448"/>
      <c r="AP285" s="448"/>
    </row>
    <row r="286" spans="1:42" ht="13">
      <c r="A286" s="462"/>
      <c r="B286" s="462"/>
      <c r="N286" s="448"/>
      <c r="O286" s="464"/>
      <c r="R286" s="448"/>
      <c r="S286" s="464"/>
      <c r="V286" s="448"/>
      <c r="W286" s="464"/>
      <c r="Z286" s="448"/>
      <c r="AA286" s="464"/>
      <c r="AD286" s="448"/>
      <c r="AE286" s="464"/>
      <c r="AH286" s="448"/>
      <c r="AI286" s="464"/>
      <c r="AL286" s="448"/>
      <c r="AP286" s="448"/>
    </row>
    <row r="287" spans="1:42" ht="13">
      <c r="A287" s="462"/>
      <c r="B287" s="462"/>
      <c r="N287" s="448"/>
      <c r="O287" s="464"/>
      <c r="R287" s="448"/>
      <c r="S287" s="464"/>
      <c r="V287" s="448"/>
      <c r="W287" s="464"/>
      <c r="Z287" s="448"/>
      <c r="AA287" s="464"/>
      <c r="AD287" s="448"/>
      <c r="AE287" s="464"/>
      <c r="AH287" s="448"/>
      <c r="AI287" s="464"/>
      <c r="AL287" s="448"/>
      <c r="AP287" s="448"/>
    </row>
    <row r="288" spans="1:42" ht="13">
      <c r="A288" s="462"/>
      <c r="B288" s="462"/>
      <c r="N288" s="448"/>
      <c r="O288" s="464"/>
      <c r="R288" s="448"/>
      <c r="S288" s="464"/>
      <c r="V288" s="448"/>
      <c r="W288" s="464"/>
      <c r="Z288" s="448"/>
      <c r="AA288" s="464"/>
      <c r="AD288" s="448"/>
      <c r="AE288" s="464"/>
      <c r="AH288" s="448"/>
      <c r="AI288" s="464"/>
      <c r="AL288" s="448"/>
      <c r="AP288" s="448"/>
    </row>
    <row r="289" spans="1:42" ht="13">
      <c r="A289" s="462"/>
      <c r="B289" s="462"/>
      <c r="N289" s="448"/>
      <c r="O289" s="464"/>
      <c r="R289" s="448"/>
      <c r="S289" s="464"/>
      <c r="V289" s="448"/>
      <c r="W289" s="464"/>
      <c r="Z289" s="448"/>
      <c r="AA289" s="464"/>
      <c r="AD289" s="448"/>
      <c r="AE289" s="464"/>
      <c r="AH289" s="448"/>
      <c r="AI289" s="464"/>
      <c r="AL289" s="448"/>
      <c r="AP289" s="448"/>
    </row>
    <row r="290" spans="1:42" ht="13">
      <c r="A290" s="462"/>
      <c r="B290" s="462"/>
      <c r="N290" s="448"/>
      <c r="O290" s="464"/>
      <c r="R290" s="448"/>
      <c r="S290" s="464"/>
      <c r="V290" s="448"/>
      <c r="W290" s="464"/>
      <c r="Z290" s="448"/>
      <c r="AA290" s="464"/>
      <c r="AD290" s="448"/>
      <c r="AE290" s="464"/>
      <c r="AH290" s="448"/>
      <c r="AI290" s="464"/>
      <c r="AL290" s="448"/>
      <c r="AP290" s="448"/>
    </row>
    <row r="291" spans="1:42" ht="13">
      <c r="A291" s="462"/>
      <c r="B291" s="462"/>
      <c r="N291" s="448"/>
      <c r="O291" s="464"/>
      <c r="R291" s="448"/>
      <c r="S291" s="464"/>
      <c r="V291" s="448"/>
      <c r="W291" s="464"/>
      <c r="Z291" s="448"/>
      <c r="AA291" s="464"/>
      <c r="AD291" s="448"/>
      <c r="AE291" s="464"/>
      <c r="AH291" s="448"/>
      <c r="AI291" s="464"/>
      <c r="AL291" s="448"/>
      <c r="AP291" s="448"/>
    </row>
    <row r="292" spans="1:42" ht="13">
      <c r="A292" s="462"/>
      <c r="B292" s="462"/>
      <c r="N292" s="448"/>
      <c r="O292" s="464"/>
      <c r="R292" s="448"/>
      <c r="S292" s="464"/>
      <c r="V292" s="448"/>
      <c r="W292" s="464"/>
      <c r="Z292" s="448"/>
      <c r="AA292" s="464"/>
      <c r="AD292" s="448"/>
      <c r="AE292" s="464"/>
      <c r="AH292" s="448"/>
      <c r="AI292" s="464"/>
      <c r="AL292" s="448"/>
      <c r="AP292" s="448"/>
    </row>
    <row r="293" spans="1:42" ht="13">
      <c r="A293" s="462"/>
      <c r="B293" s="462"/>
      <c r="N293" s="448"/>
      <c r="O293" s="464"/>
      <c r="R293" s="448"/>
      <c r="S293" s="464"/>
      <c r="V293" s="448"/>
      <c r="W293" s="464"/>
      <c r="Z293" s="448"/>
      <c r="AA293" s="464"/>
      <c r="AD293" s="448"/>
      <c r="AE293" s="464"/>
      <c r="AH293" s="448"/>
      <c r="AI293" s="464"/>
      <c r="AL293" s="448"/>
      <c r="AP293" s="448"/>
    </row>
    <row r="294" spans="1:42" ht="13">
      <c r="A294" s="462"/>
      <c r="B294" s="462"/>
      <c r="N294" s="448"/>
      <c r="O294" s="464"/>
      <c r="R294" s="448"/>
      <c r="S294" s="464"/>
      <c r="V294" s="448"/>
      <c r="W294" s="464"/>
      <c r="Z294" s="448"/>
      <c r="AA294" s="464"/>
      <c r="AD294" s="448"/>
      <c r="AE294" s="464"/>
      <c r="AH294" s="448"/>
      <c r="AI294" s="464"/>
      <c r="AL294" s="448"/>
      <c r="AP294" s="448"/>
    </row>
    <row r="295" spans="1:42" ht="13">
      <c r="A295" s="462"/>
      <c r="B295" s="462"/>
      <c r="N295" s="448"/>
      <c r="O295" s="464"/>
      <c r="R295" s="448"/>
      <c r="S295" s="464"/>
      <c r="V295" s="448"/>
      <c r="W295" s="464"/>
      <c r="Z295" s="448"/>
      <c r="AA295" s="464"/>
      <c r="AD295" s="448"/>
      <c r="AE295" s="464"/>
      <c r="AH295" s="448"/>
      <c r="AI295" s="464"/>
      <c r="AL295" s="448"/>
      <c r="AP295" s="448"/>
    </row>
    <row r="296" spans="1:42" ht="13">
      <c r="A296" s="462"/>
      <c r="B296" s="462"/>
      <c r="N296" s="448"/>
      <c r="O296" s="464"/>
      <c r="R296" s="448"/>
      <c r="S296" s="464"/>
      <c r="V296" s="448"/>
      <c r="W296" s="464"/>
      <c r="Z296" s="448"/>
      <c r="AA296" s="464"/>
      <c r="AD296" s="448"/>
      <c r="AE296" s="464"/>
      <c r="AH296" s="448"/>
      <c r="AI296" s="464"/>
      <c r="AL296" s="448"/>
      <c r="AP296" s="448"/>
    </row>
    <row r="297" spans="1:42" ht="13">
      <c r="A297" s="462"/>
      <c r="B297" s="462"/>
      <c r="N297" s="448"/>
      <c r="O297" s="464"/>
      <c r="R297" s="448"/>
      <c r="S297" s="464"/>
      <c r="V297" s="448"/>
      <c r="W297" s="464"/>
      <c r="Z297" s="448"/>
      <c r="AA297" s="464"/>
      <c r="AD297" s="448"/>
      <c r="AE297" s="464"/>
      <c r="AH297" s="448"/>
      <c r="AI297" s="464"/>
      <c r="AL297" s="448"/>
      <c r="AP297" s="448"/>
    </row>
    <row r="298" spans="1:42" ht="13">
      <c r="A298" s="462"/>
      <c r="B298" s="462"/>
      <c r="N298" s="448"/>
      <c r="O298" s="464"/>
      <c r="R298" s="448"/>
      <c r="S298" s="464"/>
      <c r="V298" s="448"/>
      <c r="W298" s="464"/>
      <c r="Z298" s="448"/>
      <c r="AA298" s="464"/>
      <c r="AD298" s="448"/>
      <c r="AE298" s="464"/>
      <c r="AH298" s="448"/>
      <c r="AI298" s="464"/>
      <c r="AL298" s="448"/>
      <c r="AP298" s="448"/>
    </row>
    <row r="299" spans="1:42" ht="13">
      <c r="A299" s="462"/>
      <c r="B299" s="462"/>
      <c r="N299" s="448"/>
      <c r="O299" s="464"/>
      <c r="R299" s="448"/>
      <c r="S299" s="464"/>
      <c r="V299" s="448"/>
      <c r="W299" s="464"/>
      <c r="Z299" s="448"/>
      <c r="AA299" s="464"/>
      <c r="AD299" s="448"/>
      <c r="AE299" s="464"/>
      <c r="AH299" s="448"/>
      <c r="AI299" s="464"/>
      <c r="AL299" s="448"/>
      <c r="AP299" s="448"/>
    </row>
    <row r="300" spans="1:42" ht="13">
      <c r="A300" s="462"/>
      <c r="B300" s="462"/>
      <c r="N300" s="448"/>
      <c r="O300" s="464"/>
      <c r="R300" s="448"/>
      <c r="S300" s="464"/>
      <c r="V300" s="448"/>
      <c r="W300" s="464"/>
      <c r="Z300" s="448"/>
      <c r="AA300" s="464"/>
      <c r="AD300" s="448"/>
      <c r="AE300" s="464"/>
      <c r="AH300" s="448"/>
      <c r="AI300" s="464"/>
      <c r="AL300" s="448"/>
      <c r="AP300" s="448"/>
    </row>
    <row r="301" spans="1:42" ht="13">
      <c r="A301" s="462"/>
      <c r="B301" s="462"/>
      <c r="N301" s="448"/>
      <c r="O301" s="464"/>
      <c r="R301" s="448"/>
      <c r="S301" s="464"/>
      <c r="V301" s="448"/>
      <c r="W301" s="464"/>
      <c r="Z301" s="448"/>
      <c r="AA301" s="464"/>
      <c r="AD301" s="448"/>
      <c r="AE301" s="464"/>
      <c r="AH301" s="448"/>
      <c r="AI301" s="464"/>
      <c r="AL301" s="448"/>
      <c r="AP301" s="448"/>
    </row>
    <row r="302" spans="1:42" ht="13">
      <c r="A302" s="462"/>
      <c r="B302" s="462"/>
      <c r="N302" s="448"/>
      <c r="O302" s="464"/>
      <c r="R302" s="448"/>
      <c r="S302" s="464"/>
      <c r="V302" s="448"/>
      <c r="W302" s="464"/>
      <c r="Z302" s="448"/>
      <c r="AA302" s="464"/>
      <c r="AD302" s="448"/>
      <c r="AE302" s="464"/>
      <c r="AH302" s="448"/>
      <c r="AI302" s="464"/>
      <c r="AL302" s="448"/>
      <c r="AP302" s="448"/>
    </row>
    <row r="303" spans="1:42" ht="13">
      <c r="A303" s="462"/>
      <c r="B303" s="462"/>
      <c r="N303" s="448"/>
      <c r="O303" s="464"/>
      <c r="R303" s="448"/>
      <c r="S303" s="464"/>
      <c r="V303" s="448"/>
      <c r="W303" s="464"/>
      <c r="Z303" s="448"/>
      <c r="AA303" s="464"/>
      <c r="AD303" s="448"/>
      <c r="AE303" s="464"/>
      <c r="AH303" s="448"/>
      <c r="AI303" s="464"/>
      <c r="AL303" s="448"/>
      <c r="AP303" s="448"/>
    </row>
    <row r="304" spans="1:42" ht="13">
      <c r="A304" s="462"/>
      <c r="B304" s="462"/>
      <c r="N304" s="448"/>
      <c r="O304" s="464"/>
      <c r="R304" s="448"/>
      <c r="S304" s="464"/>
      <c r="V304" s="448"/>
      <c r="W304" s="464"/>
      <c r="Z304" s="448"/>
      <c r="AA304" s="464"/>
      <c r="AD304" s="448"/>
      <c r="AE304" s="464"/>
      <c r="AH304" s="448"/>
      <c r="AI304" s="464"/>
      <c r="AL304" s="448"/>
      <c r="AP304" s="448"/>
    </row>
    <row r="305" spans="1:42" ht="13">
      <c r="A305" s="462"/>
      <c r="B305" s="462"/>
      <c r="N305" s="448"/>
      <c r="O305" s="464"/>
      <c r="R305" s="448"/>
      <c r="S305" s="464"/>
      <c r="V305" s="448"/>
      <c r="W305" s="464"/>
      <c r="Z305" s="448"/>
      <c r="AA305" s="464"/>
      <c r="AD305" s="448"/>
      <c r="AE305" s="464"/>
      <c r="AH305" s="448"/>
      <c r="AI305" s="464"/>
      <c r="AL305" s="448"/>
      <c r="AP305" s="448"/>
    </row>
    <row r="306" spans="1:42" ht="13">
      <c r="A306" s="462"/>
      <c r="B306" s="462"/>
      <c r="N306" s="448"/>
      <c r="O306" s="464"/>
      <c r="R306" s="448"/>
      <c r="S306" s="464"/>
      <c r="V306" s="448"/>
      <c r="W306" s="464"/>
      <c r="Z306" s="448"/>
      <c r="AA306" s="464"/>
      <c r="AD306" s="448"/>
      <c r="AE306" s="464"/>
      <c r="AH306" s="448"/>
      <c r="AI306" s="464"/>
      <c r="AL306" s="448"/>
      <c r="AP306" s="448"/>
    </row>
    <row r="307" spans="1:42" ht="13">
      <c r="A307" s="462"/>
      <c r="B307" s="462"/>
      <c r="N307" s="448"/>
      <c r="O307" s="464"/>
      <c r="R307" s="448"/>
      <c r="S307" s="464"/>
      <c r="V307" s="448"/>
      <c r="W307" s="464"/>
      <c r="Z307" s="448"/>
      <c r="AA307" s="464"/>
      <c r="AD307" s="448"/>
      <c r="AE307" s="464"/>
      <c r="AH307" s="448"/>
      <c r="AI307" s="464"/>
      <c r="AL307" s="448"/>
      <c r="AP307" s="448"/>
    </row>
    <row r="308" spans="1:42" ht="13">
      <c r="A308" s="462"/>
      <c r="B308" s="462"/>
      <c r="N308" s="448"/>
      <c r="O308" s="464"/>
      <c r="R308" s="448"/>
      <c r="S308" s="464"/>
      <c r="V308" s="448"/>
      <c r="W308" s="464"/>
      <c r="Z308" s="448"/>
      <c r="AA308" s="464"/>
      <c r="AD308" s="448"/>
      <c r="AE308" s="464"/>
      <c r="AH308" s="448"/>
      <c r="AI308" s="464"/>
      <c r="AL308" s="448"/>
      <c r="AP308" s="448"/>
    </row>
    <row r="309" spans="1:42" ht="13">
      <c r="A309" s="462"/>
      <c r="B309" s="462"/>
      <c r="N309" s="448"/>
      <c r="O309" s="464"/>
      <c r="R309" s="448"/>
      <c r="S309" s="464"/>
      <c r="V309" s="448"/>
      <c r="W309" s="464"/>
      <c r="Z309" s="448"/>
      <c r="AA309" s="464"/>
      <c r="AD309" s="448"/>
      <c r="AE309" s="464"/>
      <c r="AH309" s="448"/>
      <c r="AI309" s="464"/>
      <c r="AL309" s="448"/>
      <c r="AP309" s="448"/>
    </row>
    <row r="310" spans="1:42" ht="13">
      <c r="A310" s="462"/>
      <c r="B310" s="462"/>
      <c r="N310" s="448"/>
      <c r="O310" s="464"/>
      <c r="R310" s="448"/>
      <c r="S310" s="464"/>
      <c r="V310" s="448"/>
      <c r="W310" s="464"/>
      <c r="Z310" s="448"/>
      <c r="AA310" s="464"/>
      <c r="AD310" s="448"/>
      <c r="AE310" s="464"/>
      <c r="AH310" s="448"/>
      <c r="AI310" s="464"/>
      <c r="AL310" s="448"/>
      <c r="AP310" s="448"/>
    </row>
    <row r="311" spans="1:42" ht="13">
      <c r="A311" s="462"/>
      <c r="B311" s="462"/>
      <c r="N311" s="448"/>
      <c r="O311" s="464"/>
      <c r="R311" s="448"/>
      <c r="S311" s="464"/>
      <c r="V311" s="448"/>
      <c r="W311" s="464"/>
      <c r="Z311" s="448"/>
      <c r="AA311" s="464"/>
      <c r="AD311" s="448"/>
      <c r="AE311" s="464"/>
      <c r="AH311" s="448"/>
      <c r="AI311" s="464"/>
      <c r="AL311" s="448"/>
      <c r="AP311" s="448"/>
    </row>
    <row r="312" spans="1:42" ht="13">
      <c r="A312" s="462"/>
      <c r="B312" s="462"/>
      <c r="N312" s="448"/>
      <c r="O312" s="464"/>
      <c r="R312" s="448"/>
      <c r="S312" s="464"/>
      <c r="V312" s="448"/>
      <c r="W312" s="464"/>
      <c r="Z312" s="448"/>
      <c r="AA312" s="464"/>
      <c r="AD312" s="448"/>
      <c r="AE312" s="464"/>
      <c r="AH312" s="448"/>
      <c r="AI312" s="464"/>
      <c r="AL312" s="448"/>
      <c r="AP312" s="448"/>
    </row>
    <row r="313" spans="1:42" ht="13">
      <c r="A313" s="462"/>
      <c r="B313" s="462"/>
      <c r="N313" s="448"/>
      <c r="O313" s="464"/>
      <c r="R313" s="448"/>
      <c r="S313" s="464"/>
      <c r="V313" s="448"/>
      <c r="W313" s="464"/>
      <c r="Z313" s="448"/>
      <c r="AA313" s="464"/>
      <c r="AD313" s="448"/>
      <c r="AE313" s="464"/>
      <c r="AH313" s="448"/>
      <c r="AI313" s="464"/>
      <c r="AL313" s="448"/>
      <c r="AP313" s="448"/>
    </row>
    <row r="314" spans="1:42" ht="13">
      <c r="A314" s="462"/>
      <c r="B314" s="462"/>
      <c r="N314" s="448"/>
      <c r="O314" s="464"/>
      <c r="R314" s="448"/>
      <c r="S314" s="464"/>
      <c r="V314" s="448"/>
      <c r="W314" s="464"/>
      <c r="Z314" s="448"/>
      <c r="AA314" s="464"/>
      <c r="AD314" s="448"/>
      <c r="AE314" s="464"/>
      <c r="AH314" s="448"/>
      <c r="AI314" s="464"/>
      <c r="AL314" s="448"/>
      <c r="AP314" s="448"/>
    </row>
    <row r="315" spans="1:42" ht="13">
      <c r="A315" s="462"/>
      <c r="B315" s="462"/>
      <c r="N315" s="448"/>
      <c r="O315" s="464"/>
      <c r="R315" s="448"/>
      <c r="S315" s="464"/>
      <c r="V315" s="448"/>
      <c r="W315" s="464"/>
      <c r="Z315" s="448"/>
      <c r="AA315" s="464"/>
      <c r="AD315" s="448"/>
      <c r="AE315" s="464"/>
      <c r="AH315" s="448"/>
      <c r="AI315" s="464"/>
      <c r="AL315" s="448"/>
      <c r="AP315" s="448"/>
    </row>
    <row r="316" spans="1:42" ht="13">
      <c r="A316" s="462"/>
      <c r="B316" s="462"/>
      <c r="N316" s="448"/>
      <c r="O316" s="464"/>
      <c r="R316" s="448"/>
      <c r="S316" s="464"/>
      <c r="V316" s="448"/>
      <c r="W316" s="464"/>
      <c r="Z316" s="448"/>
      <c r="AA316" s="464"/>
      <c r="AD316" s="448"/>
      <c r="AE316" s="464"/>
      <c r="AH316" s="448"/>
      <c r="AI316" s="464"/>
      <c r="AL316" s="448"/>
      <c r="AP316" s="448"/>
    </row>
    <row r="317" spans="1:42" ht="13">
      <c r="A317" s="462"/>
      <c r="B317" s="462"/>
      <c r="N317" s="448"/>
      <c r="O317" s="464"/>
      <c r="R317" s="448"/>
      <c r="S317" s="464"/>
      <c r="V317" s="448"/>
      <c r="W317" s="464"/>
      <c r="Z317" s="448"/>
      <c r="AA317" s="464"/>
      <c r="AD317" s="448"/>
      <c r="AE317" s="464"/>
      <c r="AH317" s="448"/>
      <c r="AI317" s="464"/>
      <c r="AL317" s="448"/>
      <c r="AP317" s="448"/>
    </row>
    <row r="318" spans="1:42" ht="13">
      <c r="A318" s="462"/>
      <c r="B318" s="462"/>
      <c r="N318" s="448"/>
      <c r="O318" s="464"/>
      <c r="R318" s="448"/>
      <c r="S318" s="464"/>
      <c r="V318" s="448"/>
      <c r="W318" s="464"/>
      <c r="Z318" s="448"/>
      <c r="AA318" s="464"/>
      <c r="AD318" s="448"/>
      <c r="AE318" s="464"/>
      <c r="AH318" s="448"/>
      <c r="AI318" s="464"/>
      <c r="AL318" s="448"/>
      <c r="AP318" s="448"/>
    </row>
    <row r="319" spans="1:42" ht="13">
      <c r="A319" s="462"/>
      <c r="B319" s="462"/>
      <c r="N319" s="448"/>
      <c r="O319" s="464"/>
      <c r="R319" s="448"/>
      <c r="S319" s="464"/>
      <c r="V319" s="448"/>
      <c r="W319" s="464"/>
      <c r="Z319" s="448"/>
      <c r="AA319" s="464"/>
      <c r="AD319" s="448"/>
      <c r="AE319" s="464"/>
      <c r="AH319" s="448"/>
      <c r="AI319" s="464"/>
      <c r="AL319" s="448"/>
      <c r="AP319" s="448"/>
    </row>
    <row r="320" spans="1:42" ht="13">
      <c r="A320" s="462"/>
      <c r="B320" s="462"/>
      <c r="N320" s="448"/>
      <c r="O320" s="464"/>
      <c r="R320" s="448"/>
      <c r="S320" s="464"/>
      <c r="V320" s="448"/>
      <c r="W320" s="464"/>
      <c r="Z320" s="448"/>
      <c r="AA320" s="464"/>
      <c r="AD320" s="448"/>
      <c r="AE320" s="464"/>
      <c r="AH320" s="448"/>
      <c r="AI320" s="464"/>
      <c r="AL320" s="448"/>
      <c r="AP320" s="448"/>
    </row>
    <row r="321" spans="1:42" ht="13">
      <c r="A321" s="462"/>
      <c r="B321" s="462"/>
      <c r="N321" s="448"/>
      <c r="O321" s="464"/>
      <c r="R321" s="448"/>
      <c r="S321" s="464"/>
      <c r="V321" s="448"/>
      <c r="W321" s="464"/>
      <c r="Z321" s="448"/>
      <c r="AA321" s="464"/>
      <c r="AD321" s="448"/>
      <c r="AE321" s="464"/>
      <c r="AH321" s="448"/>
      <c r="AI321" s="464"/>
      <c r="AL321" s="448"/>
      <c r="AP321" s="448"/>
    </row>
    <row r="322" spans="1:42" ht="13">
      <c r="A322" s="462"/>
      <c r="B322" s="462"/>
      <c r="N322" s="448"/>
      <c r="O322" s="464"/>
      <c r="R322" s="448"/>
      <c r="S322" s="464"/>
      <c r="V322" s="448"/>
      <c r="W322" s="464"/>
      <c r="Z322" s="448"/>
      <c r="AA322" s="464"/>
      <c r="AD322" s="448"/>
      <c r="AE322" s="464"/>
      <c r="AH322" s="448"/>
      <c r="AI322" s="464"/>
      <c r="AL322" s="448"/>
      <c r="AP322" s="448"/>
    </row>
    <row r="323" spans="1:42" ht="13">
      <c r="A323" s="462"/>
      <c r="B323" s="462"/>
      <c r="N323" s="448"/>
      <c r="O323" s="464"/>
      <c r="R323" s="448"/>
      <c r="S323" s="464"/>
      <c r="V323" s="448"/>
      <c r="W323" s="464"/>
      <c r="Z323" s="448"/>
      <c r="AA323" s="464"/>
      <c r="AD323" s="448"/>
      <c r="AE323" s="464"/>
      <c r="AH323" s="448"/>
      <c r="AI323" s="464"/>
      <c r="AL323" s="448"/>
      <c r="AP323" s="448"/>
    </row>
    <row r="324" spans="1:42" ht="13">
      <c r="A324" s="462"/>
      <c r="B324" s="462"/>
      <c r="N324" s="448"/>
      <c r="O324" s="464"/>
      <c r="R324" s="448"/>
      <c r="S324" s="464"/>
      <c r="V324" s="448"/>
      <c r="W324" s="464"/>
      <c r="Z324" s="448"/>
      <c r="AA324" s="464"/>
      <c r="AD324" s="448"/>
      <c r="AE324" s="464"/>
      <c r="AH324" s="448"/>
      <c r="AI324" s="464"/>
      <c r="AL324" s="448"/>
      <c r="AP324" s="448"/>
    </row>
    <row r="325" spans="1:42" ht="13">
      <c r="A325" s="462"/>
      <c r="B325" s="462"/>
      <c r="N325" s="448"/>
      <c r="O325" s="464"/>
      <c r="R325" s="448"/>
      <c r="S325" s="464"/>
      <c r="V325" s="448"/>
      <c r="W325" s="464"/>
      <c r="Z325" s="448"/>
      <c r="AA325" s="464"/>
      <c r="AD325" s="448"/>
      <c r="AE325" s="464"/>
      <c r="AH325" s="448"/>
      <c r="AI325" s="464"/>
      <c r="AL325" s="448"/>
      <c r="AP325" s="448"/>
    </row>
    <row r="326" spans="1:42" ht="13">
      <c r="A326" s="462"/>
      <c r="B326" s="462"/>
      <c r="N326" s="448"/>
      <c r="O326" s="464"/>
      <c r="R326" s="448"/>
      <c r="S326" s="464"/>
      <c r="V326" s="448"/>
      <c r="W326" s="464"/>
      <c r="Z326" s="448"/>
      <c r="AA326" s="464"/>
      <c r="AD326" s="448"/>
      <c r="AE326" s="464"/>
      <c r="AH326" s="448"/>
      <c r="AI326" s="464"/>
      <c r="AL326" s="448"/>
      <c r="AP326" s="448"/>
    </row>
    <row r="327" spans="1:42" ht="13">
      <c r="A327" s="462"/>
      <c r="B327" s="462"/>
      <c r="N327" s="448"/>
      <c r="O327" s="464"/>
      <c r="R327" s="448"/>
      <c r="S327" s="464"/>
      <c r="V327" s="448"/>
      <c r="W327" s="464"/>
      <c r="Z327" s="448"/>
      <c r="AA327" s="464"/>
      <c r="AD327" s="448"/>
      <c r="AE327" s="464"/>
      <c r="AH327" s="448"/>
      <c r="AI327" s="464"/>
      <c r="AL327" s="448"/>
      <c r="AP327" s="448"/>
    </row>
    <row r="328" spans="1:42" ht="13">
      <c r="A328" s="462"/>
      <c r="B328" s="462"/>
      <c r="N328" s="448"/>
      <c r="O328" s="464"/>
      <c r="R328" s="448"/>
      <c r="S328" s="464"/>
      <c r="V328" s="448"/>
      <c r="W328" s="464"/>
      <c r="Z328" s="448"/>
      <c r="AA328" s="464"/>
      <c r="AD328" s="448"/>
      <c r="AE328" s="464"/>
      <c r="AH328" s="448"/>
      <c r="AI328" s="464"/>
      <c r="AL328" s="448"/>
      <c r="AP328" s="448"/>
    </row>
    <row r="329" spans="1:42" ht="13">
      <c r="A329" s="462"/>
      <c r="B329" s="462"/>
      <c r="N329" s="448"/>
      <c r="O329" s="464"/>
      <c r="R329" s="448"/>
      <c r="S329" s="464"/>
      <c r="V329" s="448"/>
      <c r="W329" s="464"/>
      <c r="Z329" s="448"/>
      <c r="AA329" s="464"/>
      <c r="AD329" s="448"/>
      <c r="AE329" s="464"/>
      <c r="AH329" s="448"/>
      <c r="AI329" s="464"/>
      <c r="AL329" s="448"/>
      <c r="AP329" s="448"/>
    </row>
    <row r="330" spans="1:42" ht="13">
      <c r="A330" s="462"/>
      <c r="B330" s="462"/>
      <c r="N330" s="448"/>
      <c r="O330" s="464"/>
      <c r="R330" s="448"/>
      <c r="S330" s="464"/>
      <c r="V330" s="448"/>
      <c r="W330" s="464"/>
      <c r="Z330" s="448"/>
      <c r="AA330" s="464"/>
      <c r="AD330" s="448"/>
      <c r="AE330" s="464"/>
      <c r="AH330" s="448"/>
      <c r="AI330" s="464"/>
      <c r="AL330" s="448"/>
      <c r="AP330" s="448"/>
    </row>
    <row r="331" spans="1:42" ht="13">
      <c r="A331" s="462"/>
      <c r="B331" s="462"/>
      <c r="N331" s="448"/>
      <c r="O331" s="464"/>
      <c r="R331" s="448"/>
      <c r="S331" s="464"/>
      <c r="V331" s="448"/>
      <c r="W331" s="464"/>
      <c r="Z331" s="448"/>
      <c r="AA331" s="464"/>
      <c r="AD331" s="448"/>
      <c r="AE331" s="464"/>
      <c r="AH331" s="448"/>
      <c r="AI331" s="464"/>
      <c r="AL331" s="448"/>
      <c r="AP331" s="448"/>
    </row>
    <row r="332" spans="1:42" ht="13">
      <c r="A332" s="462"/>
      <c r="B332" s="462"/>
      <c r="N332" s="448"/>
      <c r="O332" s="464"/>
      <c r="R332" s="448"/>
      <c r="S332" s="464"/>
      <c r="V332" s="448"/>
      <c r="W332" s="464"/>
      <c r="Z332" s="448"/>
      <c r="AA332" s="464"/>
      <c r="AD332" s="448"/>
      <c r="AE332" s="464"/>
      <c r="AH332" s="448"/>
      <c r="AI332" s="464"/>
      <c r="AL332" s="448"/>
      <c r="AP332" s="448"/>
    </row>
    <row r="333" spans="1:42" ht="13">
      <c r="A333" s="462"/>
      <c r="B333" s="462"/>
      <c r="N333" s="448"/>
      <c r="O333" s="464"/>
      <c r="R333" s="448"/>
      <c r="S333" s="464"/>
      <c r="V333" s="448"/>
      <c r="W333" s="464"/>
      <c r="Z333" s="448"/>
      <c r="AA333" s="464"/>
      <c r="AD333" s="448"/>
      <c r="AE333" s="464"/>
      <c r="AH333" s="448"/>
      <c r="AI333" s="464"/>
      <c r="AL333" s="448"/>
      <c r="AP333" s="448"/>
    </row>
    <row r="334" spans="1:42" ht="13">
      <c r="A334" s="462"/>
      <c r="B334" s="462"/>
      <c r="N334" s="448"/>
      <c r="O334" s="464"/>
      <c r="R334" s="448"/>
      <c r="S334" s="464"/>
      <c r="V334" s="448"/>
      <c r="W334" s="464"/>
      <c r="Z334" s="448"/>
      <c r="AA334" s="464"/>
      <c r="AD334" s="448"/>
      <c r="AE334" s="464"/>
      <c r="AH334" s="448"/>
      <c r="AI334" s="464"/>
      <c r="AL334" s="448"/>
      <c r="AP334" s="448"/>
    </row>
    <row r="335" spans="1:42" ht="13">
      <c r="A335" s="462"/>
      <c r="B335" s="462"/>
      <c r="N335" s="448"/>
      <c r="O335" s="464"/>
      <c r="R335" s="448"/>
      <c r="S335" s="464"/>
      <c r="V335" s="448"/>
      <c r="W335" s="464"/>
      <c r="Z335" s="448"/>
      <c r="AA335" s="464"/>
      <c r="AD335" s="448"/>
      <c r="AE335" s="464"/>
      <c r="AH335" s="448"/>
      <c r="AI335" s="464"/>
      <c r="AL335" s="448"/>
      <c r="AP335" s="448"/>
    </row>
    <row r="336" spans="1:42" ht="13">
      <c r="A336" s="462"/>
      <c r="B336" s="462"/>
      <c r="N336" s="448"/>
      <c r="O336" s="464"/>
      <c r="R336" s="448"/>
      <c r="S336" s="464"/>
      <c r="V336" s="448"/>
      <c r="W336" s="464"/>
      <c r="Z336" s="448"/>
      <c r="AA336" s="464"/>
      <c r="AD336" s="448"/>
      <c r="AE336" s="464"/>
      <c r="AH336" s="448"/>
      <c r="AI336" s="464"/>
      <c r="AL336" s="448"/>
      <c r="AP336" s="448"/>
    </row>
    <row r="337" spans="1:42" ht="13">
      <c r="A337" s="462"/>
      <c r="B337" s="462"/>
      <c r="N337" s="448"/>
      <c r="O337" s="464"/>
      <c r="R337" s="448"/>
      <c r="S337" s="464"/>
      <c r="V337" s="448"/>
      <c r="W337" s="464"/>
      <c r="Z337" s="448"/>
      <c r="AA337" s="464"/>
      <c r="AD337" s="448"/>
      <c r="AE337" s="464"/>
      <c r="AH337" s="448"/>
      <c r="AI337" s="464"/>
      <c r="AL337" s="448"/>
      <c r="AP337" s="448"/>
    </row>
    <row r="338" spans="1:42" ht="13">
      <c r="A338" s="462"/>
      <c r="B338" s="462"/>
      <c r="N338" s="448"/>
      <c r="O338" s="464"/>
      <c r="R338" s="448"/>
      <c r="S338" s="464"/>
      <c r="V338" s="448"/>
      <c r="W338" s="464"/>
      <c r="Z338" s="448"/>
      <c r="AA338" s="464"/>
      <c r="AD338" s="448"/>
      <c r="AE338" s="464"/>
      <c r="AH338" s="448"/>
      <c r="AI338" s="464"/>
      <c r="AL338" s="448"/>
      <c r="AP338" s="448"/>
    </row>
    <row r="339" spans="1:42" ht="13">
      <c r="A339" s="462"/>
      <c r="B339" s="462"/>
      <c r="N339" s="448"/>
      <c r="O339" s="464"/>
      <c r="R339" s="448"/>
      <c r="S339" s="464"/>
      <c r="V339" s="448"/>
      <c r="W339" s="464"/>
      <c r="Z339" s="448"/>
      <c r="AA339" s="464"/>
      <c r="AD339" s="448"/>
      <c r="AE339" s="464"/>
      <c r="AH339" s="448"/>
      <c r="AI339" s="464"/>
      <c r="AL339" s="448"/>
      <c r="AP339" s="448"/>
    </row>
    <row r="340" spans="1:42" ht="13">
      <c r="A340" s="462"/>
      <c r="B340" s="462"/>
      <c r="N340" s="448"/>
      <c r="O340" s="464"/>
      <c r="R340" s="448"/>
      <c r="S340" s="464"/>
      <c r="V340" s="448"/>
      <c r="W340" s="464"/>
      <c r="Z340" s="448"/>
      <c r="AA340" s="464"/>
      <c r="AD340" s="448"/>
      <c r="AE340" s="464"/>
      <c r="AH340" s="448"/>
      <c r="AI340" s="464"/>
      <c r="AL340" s="448"/>
      <c r="AP340" s="448"/>
    </row>
    <row r="341" spans="1:42" ht="13">
      <c r="A341" s="462"/>
      <c r="B341" s="462"/>
      <c r="N341" s="448"/>
      <c r="O341" s="464"/>
      <c r="R341" s="448"/>
      <c r="S341" s="464"/>
      <c r="V341" s="448"/>
      <c r="W341" s="464"/>
      <c r="Z341" s="448"/>
      <c r="AA341" s="464"/>
      <c r="AD341" s="448"/>
      <c r="AE341" s="464"/>
      <c r="AH341" s="448"/>
      <c r="AI341" s="464"/>
      <c r="AL341" s="448"/>
      <c r="AP341" s="448"/>
    </row>
    <row r="342" spans="1:42" ht="13">
      <c r="A342" s="462"/>
      <c r="B342" s="462"/>
      <c r="N342" s="448"/>
      <c r="O342" s="464"/>
      <c r="R342" s="448"/>
      <c r="S342" s="464"/>
      <c r="V342" s="448"/>
      <c r="W342" s="464"/>
      <c r="Z342" s="448"/>
      <c r="AA342" s="464"/>
      <c r="AD342" s="448"/>
      <c r="AE342" s="464"/>
      <c r="AH342" s="448"/>
      <c r="AI342" s="464"/>
      <c r="AL342" s="448"/>
      <c r="AP342" s="448"/>
    </row>
    <row r="343" spans="1:42" ht="13">
      <c r="A343" s="462"/>
      <c r="B343" s="462"/>
      <c r="N343" s="448"/>
      <c r="O343" s="464"/>
      <c r="R343" s="448"/>
      <c r="S343" s="464"/>
      <c r="V343" s="448"/>
      <c r="W343" s="464"/>
      <c r="Z343" s="448"/>
      <c r="AA343" s="464"/>
      <c r="AD343" s="448"/>
      <c r="AE343" s="464"/>
      <c r="AH343" s="448"/>
      <c r="AI343" s="464"/>
      <c r="AL343" s="448"/>
      <c r="AP343" s="448"/>
    </row>
    <row r="344" spans="1:42" ht="13">
      <c r="A344" s="462"/>
      <c r="B344" s="462"/>
      <c r="N344" s="448"/>
      <c r="O344" s="464"/>
      <c r="R344" s="448"/>
      <c r="S344" s="464"/>
      <c r="V344" s="448"/>
      <c r="W344" s="464"/>
      <c r="Z344" s="448"/>
      <c r="AA344" s="464"/>
      <c r="AD344" s="448"/>
      <c r="AE344" s="464"/>
      <c r="AH344" s="448"/>
      <c r="AI344" s="464"/>
      <c r="AL344" s="448"/>
      <c r="AP344" s="448"/>
    </row>
    <row r="345" spans="1:42" ht="13">
      <c r="A345" s="462"/>
      <c r="B345" s="462"/>
      <c r="N345" s="448"/>
      <c r="O345" s="464"/>
      <c r="R345" s="448"/>
      <c r="S345" s="464"/>
      <c r="V345" s="448"/>
      <c r="W345" s="464"/>
      <c r="Z345" s="448"/>
      <c r="AA345" s="464"/>
      <c r="AD345" s="448"/>
      <c r="AE345" s="464"/>
      <c r="AH345" s="448"/>
      <c r="AI345" s="464"/>
      <c r="AL345" s="448"/>
      <c r="AP345" s="448"/>
    </row>
    <row r="346" spans="1:42" ht="13">
      <c r="A346" s="462"/>
      <c r="B346" s="462"/>
      <c r="N346" s="448"/>
      <c r="O346" s="464"/>
      <c r="R346" s="448"/>
      <c r="S346" s="464"/>
      <c r="V346" s="448"/>
      <c r="W346" s="464"/>
      <c r="Z346" s="448"/>
      <c r="AA346" s="464"/>
      <c r="AD346" s="448"/>
      <c r="AE346" s="464"/>
      <c r="AH346" s="448"/>
      <c r="AI346" s="464"/>
      <c r="AL346" s="448"/>
      <c r="AP346" s="448"/>
    </row>
    <row r="347" spans="1:42" ht="13">
      <c r="A347" s="462"/>
      <c r="B347" s="462"/>
      <c r="N347" s="448"/>
      <c r="O347" s="464"/>
      <c r="R347" s="448"/>
      <c r="S347" s="464"/>
      <c r="V347" s="448"/>
      <c r="W347" s="464"/>
      <c r="Z347" s="448"/>
      <c r="AA347" s="464"/>
      <c r="AD347" s="448"/>
      <c r="AE347" s="464"/>
      <c r="AH347" s="448"/>
      <c r="AI347" s="464"/>
      <c r="AL347" s="448"/>
      <c r="AP347" s="448"/>
    </row>
    <row r="348" spans="1:42" ht="13">
      <c r="A348" s="462"/>
      <c r="B348" s="462"/>
      <c r="N348" s="448"/>
      <c r="O348" s="464"/>
      <c r="R348" s="448"/>
      <c r="S348" s="464"/>
      <c r="V348" s="448"/>
      <c r="W348" s="464"/>
      <c r="Z348" s="448"/>
      <c r="AA348" s="464"/>
      <c r="AD348" s="448"/>
      <c r="AE348" s="464"/>
      <c r="AH348" s="448"/>
      <c r="AI348" s="464"/>
      <c r="AL348" s="448"/>
      <c r="AP348" s="448"/>
    </row>
    <row r="349" spans="1:42" ht="13">
      <c r="A349" s="462"/>
      <c r="B349" s="462"/>
      <c r="N349" s="448"/>
      <c r="O349" s="464"/>
      <c r="R349" s="448"/>
      <c r="S349" s="464"/>
      <c r="V349" s="448"/>
      <c r="W349" s="464"/>
      <c r="Z349" s="448"/>
      <c r="AA349" s="464"/>
      <c r="AD349" s="448"/>
      <c r="AE349" s="464"/>
      <c r="AH349" s="448"/>
      <c r="AI349" s="464"/>
      <c r="AL349" s="448"/>
      <c r="AP349" s="448"/>
    </row>
    <row r="350" spans="1:42" ht="13">
      <c r="A350" s="462"/>
      <c r="B350" s="462"/>
      <c r="N350" s="448"/>
      <c r="O350" s="464"/>
      <c r="R350" s="448"/>
      <c r="S350" s="464"/>
      <c r="V350" s="448"/>
      <c r="W350" s="464"/>
      <c r="Z350" s="448"/>
      <c r="AA350" s="464"/>
      <c r="AD350" s="448"/>
      <c r="AE350" s="464"/>
      <c r="AH350" s="448"/>
      <c r="AI350" s="464"/>
      <c r="AL350" s="448"/>
      <c r="AP350" s="448"/>
    </row>
    <row r="351" spans="1:42" ht="13">
      <c r="A351" s="462"/>
      <c r="B351" s="462"/>
      <c r="N351" s="448"/>
      <c r="O351" s="464"/>
      <c r="R351" s="448"/>
      <c r="S351" s="464"/>
      <c r="V351" s="448"/>
      <c r="W351" s="464"/>
      <c r="Z351" s="448"/>
      <c r="AA351" s="464"/>
      <c r="AD351" s="448"/>
      <c r="AE351" s="464"/>
      <c r="AH351" s="448"/>
      <c r="AI351" s="464"/>
      <c r="AL351" s="448"/>
      <c r="AP351" s="448"/>
    </row>
    <row r="352" spans="1:42" ht="13">
      <c r="A352" s="462"/>
      <c r="B352" s="462"/>
      <c r="N352" s="448"/>
      <c r="O352" s="464"/>
      <c r="R352" s="448"/>
      <c r="S352" s="464"/>
      <c r="V352" s="448"/>
      <c r="W352" s="464"/>
      <c r="Z352" s="448"/>
      <c r="AA352" s="464"/>
      <c r="AD352" s="448"/>
      <c r="AE352" s="464"/>
      <c r="AH352" s="448"/>
      <c r="AI352" s="464"/>
      <c r="AL352" s="448"/>
      <c r="AP352" s="448"/>
    </row>
    <row r="353" spans="1:42" ht="13">
      <c r="A353" s="462"/>
      <c r="B353" s="462"/>
      <c r="N353" s="448"/>
      <c r="O353" s="464"/>
      <c r="R353" s="448"/>
      <c r="S353" s="464"/>
      <c r="V353" s="448"/>
      <c r="W353" s="464"/>
      <c r="Z353" s="448"/>
      <c r="AA353" s="464"/>
      <c r="AD353" s="448"/>
      <c r="AE353" s="464"/>
      <c r="AH353" s="448"/>
      <c r="AI353" s="464"/>
      <c r="AL353" s="448"/>
      <c r="AP353" s="448"/>
    </row>
    <row r="354" spans="1:42" ht="13">
      <c r="A354" s="462"/>
      <c r="B354" s="462"/>
      <c r="N354" s="448"/>
      <c r="O354" s="464"/>
      <c r="R354" s="448"/>
      <c r="S354" s="464"/>
      <c r="V354" s="448"/>
      <c r="W354" s="464"/>
      <c r="Z354" s="448"/>
      <c r="AA354" s="464"/>
      <c r="AD354" s="448"/>
      <c r="AE354" s="464"/>
      <c r="AH354" s="448"/>
      <c r="AI354" s="464"/>
      <c r="AL354" s="448"/>
      <c r="AP354" s="448"/>
    </row>
    <row r="355" spans="1:42" ht="13">
      <c r="A355" s="462"/>
      <c r="B355" s="462"/>
      <c r="N355" s="448"/>
      <c r="O355" s="464"/>
      <c r="R355" s="448"/>
      <c r="S355" s="464"/>
      <c r="V355" s="448"/>
      <c r="W355" s="464"/>
      <c r="Z355" s="448"/>
      <c r="AA355" s="464"/>
      <c r="AD355" s="448"/>
      <c r="AE355" s="464"/>
      <c r="AH355" s="448"/>
      <c r="AI355" s="464"/>
      <c r="AL355" s="448"/>
      <c r="AP355" s="448"/>
    </row>
    <row r="356" spans="1:42" ht="13">
      <c r="A356" s="462"/>
      <c r="B356" s="462"/>
      <c r="N356" s="448"/>
      <c r="O356" s="464"/>
      <c r="R356" s="448"/>
      <c r="S356" s="464"/>
      <c r="V356" s="448"/>
      <c r="W356" s="464"/>
      <c r="Z356" s="448"/>
      <c r="AA356" s="464"/>
      <c r="AD356" s="448"/>
      <c r="AE356" s="464"/>
      <c r="AH356" s="448"/>
      <c r="AI356" s="464"/>
      <c r="AL356" s="448"/>
      <c r="AP356" s="448"/>
    </row>
    <row r="357" spans="1:42" ht="13">
      <c r="A357" s="462"/>
      <c r="B357" s="462"/>
      <c r="N357" s="448"/>
      <c r="O357" s="464"/>
      <c r="R357" s="448"/>
      <c r="S357" s="464"/>
      <c r="V357" s="448"/>
      <c r="W357" s="464"/>
      <c r="Z357" s="448"/>
      <c r="AA357" s="464"/>
      <c r="AD357" s="448"/>
      <c r="AE357" s="464"/>
      <c r="AH357" s="448"/>
      <c r="AI357" s="464"/>
      <c r="AL357" s="448"/>
      <c r="AP357" s="448"/>
    </row>
    <row r="358" spans="1:42" ht="13">
      <c r="A358" s="462"/>
      <c r="B358" s="462"/>
      <c r="N358" s="448"/>
      <c r="O358" s="464"/>
      <c r="R358" s="448"/>
      <c r="S358" s="464"/>
      <c r="V358" s="448"/>
      <c r="W358" s="464"/>
      <c r="Z358" s="448"/>
      <c r="AA358" s="464"/>
      <c r="AD358" s="448"/>
      <c r="AE358" s="464"/>
      <c r="AH358" s="448"/>
      <c r="AI358" s="464"/>
      <c r="AL358" s="448"/>
      <c r="AP358" s="448"/>
    </row>
    <row r="359" spans="1:42" ht="13">
      <c r="A359" s="462"/>
      <c r="B359" s="462"/>
      <c r="N359" s="448"/>
      <c r="O359" s="464"/>
      <c r="R359" s="448"/>
      <c r="S359" s="464"/>
      <c r="V359" s="448"/>
      <c r="W359" s="464"/>
      <c r="Z359" s="448"/>
      <c r="AA359" s="464"/>
      <c r="AD359" s="448"/>
      <c r="AE359" s="464"/>
      <c r="AH359" s="448"/>
      <c r="AI359" s="464"/>
      <c r="AL359" s="448"/>
      <c r="AP359" s="448"/>
    </row>
    <row r="360" spans="1:42" ht="13">
      <c r="A360" s="462"/>
      <c r="B360" s="462"/>
      <c r="N360" s="448"/>
      <c r="O360" s="464"/>
      <c r="R360" s="448"/>
      <c r="S360" s="464"/>
      <c r="V360" s="448"/>
      <c r="W360" s="464"/>
      <c r="Z360" s="448"/>
      <c r="AA360" s="464"/>
      <c r="AD360" s="448"/>
      <c r="AE360" s="464"/>
      <c r="AH360" s="448"/>
      <c r="AI360" s="464"/>
      <c r="AL360" s="448"/>
      <c r="AP360" s="448"/>
    </row>
    <row r="361" spans="1:42" ht="13">
      <c r="A361" s="462"/>
      <c r="B361" s="462"/>
      <c r="N361" s="448"/>
      <c r="O361" s="464"/>
      <c r="R361" s="448"/>
      <c r="S361" s="464"/>
      <c r="V361" s="448"/>
      <c r="W361" s="464"/>
      <c r="Z361" s="448"/>
      <c r="AA361" s="464"/>
      <c r="AD361" s="448"/>
      <c r="AE361" s="464"/>
      <c r="AH361" s="448"/>
      <c r="AI361" s="464"/>
      <c r="AL361" s="448"/>
      <c r="AP361" s="448"/>
    </row>
    <row r="362" spans="1:42" ht="13">
      <c r="A362" s="462"/>
      <c r="B362" s="462"/>
      <c r="N362" s="448"/>
      <c r="O362" s="464"/>
      <c r="R362" s="448"/>
      <c r="S362" s="464"/>
      <c r="V362" s="448"/>
      <c r="W362" s="464"/>
      <c r="Z362" s="448"/>
      <c r="AA362" s="464"/>
      <c r="AD362" s="448"/>
      <c r="AE362" s="464"/>
      <c r="AH362" s="448"/>
      <c r="AI362" s="464"/>
      <c r="AL362" s="448"/>
      <c r="AP362" s="448"/>
    </row>
    <row r="363" spans="1:42" ht="13">
      <c r="A363" s="462"/>
      <c r="B363" s="462"/>
      <c r="N363" s="448"/>
      <c r="O363" s="464"/>
      <c r="R363" s="448"/>
      <c r="S363" s="464"/>
      <c r="V363" s="448"/>
      <c r="W363" s="464"/>
      <c r="Z363" s="448"/>
      <c r="AA363" s="464"/>
      <c r="AD363" s="448"/>
      <c r="AE363" s="464"/>
      <c r="AH363" s="448"/>
      <c r="AI363" s="464"/>
      <c r="AL363" s="448"/>
      <c r="AP363" s="448"/>
    </row>
    <row r="364" spans="1:42" ht="13">
      <c r="A364" s="462"/>
      <c r="B364" s="462"/>
      <c r="N364" s="448"/>
      <c r="O364" s="464"/>
      <c r="R364" s="448"/>
      <c r="S364" s="464"/>
      <c r="V364" s="448"/>
      <c r="W364" s="464"/>
      <c r="Z364" s="448"/>
      <c r="AA364" s="464"/>
      <c r="AD364" s="448"/>
      <c r="AE364" s="464"/>
      <c r="AH364" s="448"/>
      <c r="AI364" s="464"/>
      <c r="AL364" s="448"/>
      <c r="AP364" s="448"/>
    </row>
    <row r="365" spans="1:42" ht="13">
      <c r="A365" s="462"/>
      <c r="B365" s="462"/>
      <c r="N365" s="448"/>
      <c r="O365" s="464"/>
      <c r="R365" s="448"/>
      <c r="S365" s="464"/>
      <c r="V365" s="448"/>
      <c r="W365" s="464"/>
      <c r="Z365" s="448"/>
      <c r="AA365" s="464"/>
      <c r="AD365" s="448"/>
      <c r="AE365" s="464"/>
      <c r="AH365" s="448"/>
      <c r="AI365" s="464"/>
      <c r="AL365" s="448"/>
      <c r="AP365" s="448"/>
    </row>
    <row r="366" spans="1:42" ht="13">
      <c r="A366" s="462"/>
      <c r="B366" s="462"/>
      <c r="N366" s="448"/>
      <c r="O366" s="464"/>
      <c r="R366" s="448"/>
      <c r="S366" s="464"/>
      <c r="V366" s="448"/>
      <c r="W366" s="464"/>
      <c r="Z366" s="448"/>
      <c r="AA366" s="464"/>
      <c r="AD366" s="448"/>
      <c r="AE366" s="464"/>
      <c r="AH366" s="448"/>
      <c r="AI366" s="464"/>
      <c r="AL366" s="448"/>
      <c r="AP366" s="448"/>
    </row>
    <row r="367" spans="1:42" ht="13">
      <c r="A367" s="462"/>
      <c r="B367" s="462"/>
      <c r="N367" s="448"/>
      <c r="O367" s="464"/>
      <c r="R367" s="448"/>
      <c r="S367" s="464"/>
      <c r="V367" s="448"/>
      <c r="W367" s="464"/>
      <c r="Z367" s="448"/>
      <c r="AA367" s="464"/>
      <c r="AD367" s="448"/>
      <c r="AE367" s="464"/>
      <c r="AH367" s="448"/>
      <c r="AI367" s="464"/>
      <c r="AL367" s="448"/>
      <c r="AP367" s="448"/>
    </row>
    <row r="368" spans="1:42" ht="13">
      <c r="A368" s="462"/>
      <c r="B368" s="462"/>
      <c r="N368" s="448"/>
      <c r="O368" s="464"/>
      <c r="R368" s="448"/>
      <c r="S368" s="464"/>
      <c r="V368" s="448"/>
      <c r="W368" s="464"/>
      <c r="Z368" s="448"/>
      <c r="AA368" s="464"/>
      <c r="AD368" s="448"/>
      <c r="AE368" s="464"/>
      <c r="AH368" s="448"/>
      <c r="AI368" s="464"/>
      <c r="AL368" s="448"/>
      <c r="AP368" s="448"/>
    </row>
    <row r="369" spans="1:42" ht="13">
      <c r="A369" s="462"/>
      <c r="B369" s="462"/>
      <c r="N369" s="448"/>
      <c r="O369" s="464"/>
      <c r="R369" s="448"/>
      <c r="S369" s="464"/>
      <c r="V369" s="448"/>
      <c r="W369" s="464"/>
      <c r="Z369" s="448"/>
      <c r="AA369" s="464"/>
      <c r="AD369" s="448"/>
      <c r="AE369" s="464"/>
      <c r="AH369" s="448"/>
      <c r="AI369" s="464"/>
      <c r="AL369" s="448"/>
      <c r="AP369" s="448"/>
    </row>
    <row r="370" spans="1:42" ht="13">
      <c r="A370" s="462"/>
      <c r="B370" s="462"/>
      <c r="N370" s="448"/>
      <c r="O370" s="464"/>
      <c r="R370" s="448"/>
      <c r="S370" s="464"/>
      <c r="V370" s="448"/>
      <c r="W370" s="464"/>
      <c r="Z370" s="448"/>
      <c r="AA370" s="464"/>
      <c r="AD370" s="448"/>
      <c r="AE370" s="464"/>
      <c r="AH370" s="448"/>
      <c r="AI370" s="464"/>
      <c r="AL370" s="448"/>
      <c r="AP370" s="448"/>
    </row>
    <row r="371" spans="1:42" ht="13">
      <c r="A371" s="462"/>
      <c r="B371" s="462"/>
      <c r="N371" s="448"/>
      <c r="O371" s="464"/>
      <c r="R371" s="448"/>
      <c r="S371" s="464"/>
      <c r="V371" s="448"/>
      <c r="W371" s="464"/>
      <c r="Z371" s="448"/>
      <c r="AA371" s="464"/>
      <c r="AD371" s="448"/>
      <c r="AE371" s="464"/>
      <c r="AH371" s="448"/>
      <c r="AI371" s="464"/>
      <c r="AL371" s="448"/>
      <c r="AP371" s="448"/>
    </row>
    <row r="372" spans="1:42" ht="13">
      <c r="A372" s="462"/>
      <c r="B372" s="462"/>
      <c r="N372" s="448"/>
      <c r="O372" s="464"/>
      <c r="R372" s="448"/>
      <c r="S372" s="464"/>
      <c r="V372" s="448"/>
      <c r="W372" s="464"/>
      <c r="Z372" s="448"/>
      <c r="AA372" s="464"/>
      <c r="AD372" s="448"/>
      <c r="AE372" s="464"/>
      <c r="AH372" s="448"/>
      <c r="AI372" s="464"/>
      <c r="AL372" s="448"/>
      <c r="AP372" s="448"/>
    </row>
    <row r="373" spans="1:42" ht="13">
      <c r="A373" s="462"/>
      <c r="B373" s="462"/>
      <c r="N373" s="448"/>
      <c r="O373" s="464"/>
      <c r="R373" s="448"/>
      <c r="S373" s="464"/>
      <c r="V373" s="448"/>
      <c r="W373" s="464"/>
      <c r="Z373" s="448"/>
      <c r="AA373" s="464"/>
      <c r="AD373" s="448"/>
      <c r="AE373" s="464"/>
      <c r="AH373" s="448"/>
      <c r="AI373" s="464"/>
      <c r="AL373" s="448"/>
      <c r="AP373" s="448"/>
    </row>
    <row r="374" spans="1:42" ht="13">
      <c r="A374" s="462"/>
      <c r="B374" s="462"/>
      <c r="N374" s="448"/>
      <c r="O374" s="464"/>
      <c r="R374" s="448"/>
      <c r="S374" s="464"/>
      <c r="V374" s="448"/>
      <c r="W374" s="464"/>
      <c r="Z374" s="448"/>
      <c r="AA374" s="464"/>
      <c r="AD374" s="448"/>
      <c r="AE374" s="464"/>
      <c r="AH374" s="448"/>
      <c r="AI374" s="464"/>
      <c r="AL374" s="448"/>
      <c r="AP374" s="448"/>
    </row>
    <row r="375" spans="1:42" ht="13">
      <c r="A375" s="462"/>
      <c r="B375" s="462"/>
      <c r="N375" s="448"/>
      <c r="O375" s="464"/>
      <c r="R375" s="448"/>
      <c r="S375" s="464"/>
      <c r="V375" s="448"/>
      <c r="W375" s="464"/>
      <c r="Z375" s="448"/>
      <c r="AA375" s="464"/>
      <c r="AD375" s="448"/>
      <c r="AE375" s="464"/>
      <c r="AH375" s="448"/>
      <c r="AI375" s="464"/>
      <c r="AL375" s="448"/>
      <c r="AP375" s="448"/>
    </row>
    <row r="376" spans="1:42" ht="13">
      <c r="A376" s="462"/>
      <c r="B376" s="462"/>
      <c r="N376" s="448"/>
      <c r="O376" s="464"/>
      <c r="R376" s="448"/>
      <c r="S376" s="464"/>
      <c r="V376" s="448"/>
      <c r="W376" s="464"/>
      <c r="Z376" s="448"/>
      <c r="AA376" s="464"/>
      <c r="AD376" s="448"/>
      <c r="AE376" s="464"/>
      <c r="AH376" s="448"/>
      <c r="AI376" s="464"/>
      <c r="AL376" s="448"/>
      <c r="AP376" s="448"/>
    </row>
    <row r="377" spans="1:42" ht="13">
      <c r="A377" s="462"/>
      <c r="B377" s="462"/>
      <c r="N377" s="448"/>
      <c r="O377" s="464"/>
      <c r="R377" s="448"/>
      <c r="S377" s="464"/>
      <c r="V377" s="448"/>
      <c r="W377" s="464"/>
      <c r="Z377" s="448"/>
      <c r="AA377" s="464"/>
      <c r="AD377" s="448"/>
      <c r="AE377" s="464"/>
      <c r="AH377" s="448"/>
      <c r="AI377" s="464"/>
      <c r="AL377" s="448"/>
      <c r="AP377" s="448"/>
    </row>
    <row r="378" spans="1:42" ht="13">
      <c r="A378" s="462"/>
      <c r="B378" s="462"/>
      <c r="N378" s="448"/>
      <c r="O378" s="464"/>
      <c r="R378" s="448"/>
      <c r="S378" s="464"/>
      <c r="V378" s="448"/>
      <c r="W378" s="464"/>
      <c r="Z378" s="448"/>
      <c r="AA378" s="464"/>
      <c r="AD378" s="448"/>
      <c r="AE378" s="464"/>
      <c r="AH378" s="448"/>
      <c r="AI378" s="464"/>
      <c r="AL378" s="448"/>
      <c r="AP378" s="448"/>
    </row>
    <row r="379" spans="1:42" ht="13">
      <c r="A379" s="462"/>
      <c r="B379" s="462"/>
      <c r="N379" s="448"/>
      <c r="O379" s="464"/>
      <c r="R379" s="448"/>
      <c r="S379" s="464"/>
      <c r="V379" s="448"/>
      <c r="W379" s="464"/>
      <c r="Z379" s="448"/>
      <c r="AA379" s="464"/>
      <c r="AD379" s="448"/>
      <c r="AE379" s="464"/>
      <c r="AH379" s="448"/>
      <c r="AI379" s="464"/>
      <c r="AL379" s="448"/>
      <c r="AP379" s="448"/>
    </row>
    <row r="380" spans="1:42" ht="13">
      <c r="A380" s="462"/>
      <c r="B380" s="462"/>
      <c r="N380" s="448"/>
      <c r="O380" s="464"/>
      <c r="R380" s="448"/>
      <c r="S380" s="464"/>
      <c r="V380" s="448"/>
      <c r="W380" s="464"/>
      <c r="Z380" s="448"/>
      <c r="AA380" s="464"/>
      <c r="AD380" s="448"/>
      <c r="AE380" s="464"/>
      <c r="AH380" s="448"/>
      <c r="AI380" s="464"/>
      <c r="AL380" s="448"/>
      <c r="AP380" s="448"/>
    </row>
    <row r="381" spans="1:42" ht="13">
      <c r="A381" s="462"/>
      <c r="B381" s="462"/>
      <c r="N381" s="448"/>
      <c r="O381" s="464"/>
      <c r="R381" s="448"/>
      <c r="S381" s="464"/>
      <c r="V381" s="448"/>
      <c r="W381" s="464"/>
      <c r="Z381" s="448"/>
      <c r="AA381" s="464"/>
      <c r="AD381" s="448"/>
      <c r="AE381" s="464"/>
      <c r="AH381" s="448"/>
      <c r="AI381" s="464"/>
      <c r="AL381" s="448"/>
      <c r="AP381" s="448"/>
    </row>
    <row r="382" spans="1:42" ht="13">
      <c r="A382" s="462"/>
      <c r="B382" s="462"/>
      <c r="N382" s="448"/>
      <c r="O382" s="464"/>
      <c r="R382" s="448"/>
      <c r="S382" s="464"/>
      <c r="V382" s="448"/>
      <c r="W382" s="464"/>
      <c r="Z382" s="448"/>
      <c r="AA382" s="464"/>
      <c r="AD382" s="448"/>
      <c r="AE382" s="464"/>
      <c r="AH382" s="448"/>
      <c r="AI382" s="464"/>
      <c r="AL382" s="448"/>
      <c r="AP382" s="448"/>
    </row>
    <row r="383" spans="1:42" ht="13">
      <c r="A383" s="462"/>
      <c r="B383" s="462"/>
      <c r="N383" s="448"/>
      <c r="O383" s="464"/>
      <c r="R383" s="448"/>
      <c r="S383" s="464"/>
      <c r="V383" s="448"/>
      <c r="W383" s="464"/>
      <c r="Z383" s="448"/>
      <c r="AA383" s="464"/>
      <c r="AD383" s="448"/>
      <c r="AE383" s="464"/>
      <c r="AH383" s="448"/>
      <c r="AI383" s="464"/>
      <c r="AL383" s="448"/>
      <c r="AP383" s="448"/>
    </row>
    <row r="384" spans="1:42" ht="13">
      <c r="A384" s="462"/>
      <c r="B384" s="462"/>
      <c r="N384" s="448"/>
      <c r="O384" s="464"/>
      <c r="R384" s="448"/>
      <c r="S384" s="464"/>
      <c r="V384" s="448"/>
      <c r="W384" s="464"/>
      <c r="Z384" s="448"/>
      <c r="AA384" s="464"/>
      <c r="AD384" s="448"/>
      <c r="AE384" s="464"/>
      <c r="AH384" s="448"/>
      <c r="AI384" s="464"/>
      <c r="AL384" s="448"/>
      <c r="AP384" s="448"/>
    </row>
    <row r="385" spans="1:42" ht="13">
      <c r="A385" s="462"/>
      <c r="B385" s="462"/>
      <c r="N385" s="448"/>
      <c r="O385" s="464"/>
      <c r="R385" s="448"/>
      <c r="S385" s="464"/>
      <c r="V385" s="448"/>
      <c r="W385" s="464"/>
      <c r="Z385" s="448"/>
      <c r="AA385" s="464"/>
      <c r="AD385" s="448"/>
      <c r="AE385" s="464"/>
      <c r="AH385" s="448"/>
      <c r="AI385" s="464"/>
      <c r="AL385" s="448"/>
      <c r="AP385" s="448"/>
    </row>
    <row r="386" spans="1:42" ht="13">
      <c r="A386" s="462"/>
      <c r="B386" s="462"/>
      <c r="N386" s="448"/>
      <c r="O386" s="464"/>
      <c r="R386" s="448"/>
      <c r="S386" s="464"/>
      <c r="V386" s="448"/>
      <c r="W386" s="464"/>
      <c r="Z386" s="448"/>
      <c r="AA386" s="464"/>
      <c r="AD386" s="448"/>
      <c r="AE386" s="464"/>
      <c r="AH386" s="448"/>
      <c r="AI386" s="464"/>
      <c r="AL386" s="448"/>
      <c r="AP386" s="448"/>
    </row>
    <row r="387" spans="1:42" ht="13">
      <c r="A387" s="462"/>
      <c r="B387" s="462"/>
      <c r="N387" s="448"/>
      <c r="O387" s="464"/>
      <c r="R387" s="448"/>
      <c r="S387" s="464"/>
      <c r="V387" s="448"/>
      <c r="W387" s="464"/>
      <c r="Z387" s="448"/>
      <c r="AA387" s="464"/>
      <c r="AD387" s="448"/>
      <c r="AE387" s="464"/>
      <c r="AH387" s="448"/>
      <c r="AI387" s="464"/>
      <c r="AL387" s="448"/>
      <c r="AP387" s="448"/>
    </row>
    <row r="388" spans="1:42" ht="13">
      <c r="A388" s="462"/>
      <c r="B388" s="462"/>
      <c r="N388" s="448"/>
      <c r="O388" s="464"/>
      <c r="R388" s="448"/>
      <c r="S388" s="464"/>
      <c r="V388" s="448"/>
      <c r="W388" s="464"/>
      <c r="Z388" s="448"/>
      <c r="AA388" s="464"/>
      <c r="AD388" s="448"/>
      <c r="AE388" s="464"/>
      <c r="AH388" s="448"/>
      <c r="AI388" s="464"/>
      <c r="AL388" s="448"/>
      <c r="AP388" s="448"/>
    </row>
    <row r="389" spans="1:42" ht="13">
      <c r="A389" s="462"/>
      <c r="B389" s="462"/>
      <c r="N389" s="448"/>
      <c r="O389" s="464"/>
      <c r="R389" s="448"/>
      <c r="S389" s="464"/>
      <c r="V389" s="448"/>
      <c r="W389" s="464"/>
      <c r="Z389" s="448"/>
      <c r="AA389" s="464"/>
      <c r="AD389" s="448"/>
      <c r="AE389" s="464"/>
      <c r="AH389" s="448"/>
      <c r="AI389" s="464"/>
      <c r="AL389" s="448"/>
      <c r="AP389" s="448"/>
    </row>
    <row r="390" spans="1:42" ht="13">
      <c r="A390" s="462"/>
      <c r="B390" s="462"/>
      <c r="N390" s="448"/>
      <c r="O390" s="464"/>
      <c r="R390" s="448"/>
      <c r="S390" s="464"/>
      <c r="V390" s="448"/>
      <c r="W390" s="464"/>
      <c r="Z390" s="448"/>
      <c r="AA390" s="464"/>
      <c r="AD390" s="448"/>
      <c r="AE390" s="464"/>
      <c r="AH390" s="448"/>
      <c r="AI390" s="464"/>
      <c r="AL390" s="448"/>
      <c r="AP390" s="448"/>
    </row>
    <row r="391" spans="1:42" ht="13">
      <c r="A391" s="462"/>
      <c r="B391" s="462"/>
      <c r="N391" s="448"/>
      <c r="O391" s="464"/>
      <c r="R391" s="448"/>
      <c r="S391" s="464"/>
      <c r="V391" s="448"/>
      <c r="W391" s="464"/>
      <c r="Z391" s="448"/>
      <c r="AA391" s="464"/>
      <c r="AD391" s="448"/>
      <c r="AE391" s="464"/>
      <c r="AH391" s="448"/>
      <c r="AI391" s="464"/>
      <c r="AL391" s="448"/>
      <c r="AP391" s="448"/>
    </row>
    <row r="392" spans="1:42" ht="13">
      <c r="A392" s="462"/>
      <c r="B392" s="462"/>
      <c r="N392" s="448"/>
      <c r="O392" s="464"/>
      <c r="R392" s="448"/>
      <c r="S392" s="464"/>
      <c r="V392" s="448"/>
      <c r="W392" s="464"/>
      <c r="Z392" s="448"/>
      <c r="AA392" s="464"/>
      <c r="AD392" s="448"/>
      <c r="AE392" s="464"/>
      <c r="AH392" s="448"/>
      <c r="AI392" s="464"/>
      <c r="AL392" s="448"/>
      <c r="AP392" s="448"/>
    </row>
    <row r="393" spans="1:42" ht="13">
      <c r="A393" s="462"/>
      <c r="B393" s="462"/>
      <c r="N393" s="448"/>
      <c r="O393" s="464"/>
      <c r="R393" s="448"/>
      <c r="S393" s="464"/>
      <c r="V393" s="448"/>
      <c r="W393" s="464"/>
      <c r="Z393" s="448"/>
      <c r="AA393" s="464"/>
      <c r="AD393" s="448"/>
      <c r="AE393" s="464"/>
      <c r="AH393" s="448"/>
      <c r="AI393" s="464"/>
      <c r="AL393" s="448"/>
      <c r="AP393" s="448"/>
    </row>
    <row r="394" spans="1:42" ht="13">
      <c r="A394" s="462"/>
      <c r="B394" s="462"/>
      <c r="N394" s="448"/>
      <c r="O394" s="464"/>
      <c r="R394" s="448"/>
      <c r="S394" s="464"/>
      <c r="V394" s="448"/>
      <c r="W394" s="464"/>
      <c r="Z394" s="448"/>
      <c r="AA394" s="464"/>
      <c r="AD394" s="448"/>
      <c r="AE394" s="464"/>
      <c r="AH394" s="448"/>
      <c r="AI394" s="464"/>
      <c r="AL394" s="448"/>
      <c r="AP394" s="448"/>
    </row>
    <row r="395" spans="1:42" ht="13">
      <c r="A395" s="462"/>
      <c r="B395" s="462"/>
      <c r="N395" s="448"/>
      <c r="O395" s="464"/>
      <c r="R395" s="448"/>
      <c r="S395" s="464"/>
      <c r="V395" s="448"/>
      <c r="W395" s="464"/>
      <c r="Z395" s="448"/>
      <c r="AA395" s="464"/>
      <c r="AD395" s="448"/>
      <c r="AE395" s="464"/>
      <c r="AH395" s="448"/>
      <c r="AI395" s="464"/>
      <c r="AL395" s="448"/>
      <c r="AP395" s="448"/>
    </row>
    <row r="396" spans="1:42" ht="13">
      <c r="A396" s="462"/>
      <c r="B396" s="462"/>
      <c r="N396" s="448"/>
      <c r="O396" s="464"/>
      <c r="R396" s="448"/>
      <c r="S396" s="464"/>
      <c r="V396" s="448"/>
      <c r="W396" s="464"/>
      <c r="Z396" s="448"/>
      <c r="AA396" s="464"/>
      <c r="AD396" s="448"/>
      <c r="AE396" s="464"/>
      <c r="AH396" s="448"/>
      <c r="AI396" s="464"/>
      <c r="AL396" s="448"/>
      <c r="AP396" s="448"/>
    </row>
    <row r="397" spans="1:42" ht="13">
      <c r="A397" s="462"/>
      <c r="B397" s="462"/>
      <c r="N397" s="448"/>
      <c r="O397" s="464"/>
      <c r="R397" s="448"/>
      <c r="S397" s="464"/>
      <c r="V397" s="448"/>
      <c r="W397" s="464"/>
      <c r="Z397" s="448"/>
      <c r="AA397" s="464"/>
      <c r="AD397" s="448"/>
      <c r="AE397" s="464"/>
      <c r="AH397" s="448"/>
      <c r="AI397" s="464"/>
      <c r="AL397" s="448"/>
      <c r="AP397" s="448"/>
    </row>
    <row r="398" spans="1:42" ht="13">
      <c r="A398" s="462"/>
      <c r="B398" s="462"/>
      <c r="N398" s="448"/>
      <c r="O398" s="464"/>
      <c r="R398" s="448"/>
      <c r="S398" s="464"/>
      <c r="V398" s="448"/>
      <c r="W398" s="464"/>
      <c r="Z398" s="448"/>
      <c r="AA398" s="464"/>
      <c r="AD398" s="448"/>
      <c r="AE398" s="464"/>
      <c r="AH398" s="448"/>
      <c r="AI398" s="464"/>
      <c r="AL398" s="448"/>
      <c r="AP398" s="448"/>
    </row>
    <row r="399" spans="1:42" ht="13">
      <c r="A399" s="462"/>
      <c r="B399" s="462"/>
      <c r="N399" s="448"/>
      <c r="O399" s="464"/>
      <c r="R399" s="448"/>
      <c r="S399" s="464"/>
      <c r="V399" s="448"/>
      <c r="W399" s="464"/>
      <c r="Z399" s="448"/>
      <c r="AA399" s="464"/>
      <c r="AD399" s="448"/>
      <c r="AE399" s="464"/>
      <c r="AH399" s="448"/>
      <c r="AI399" s="464"/>
      <c r="AL399" s="448"/>
      <c r="AP399" s="448"/>
    </row>
    <row r="400" spans="1:42" ht="13">
      <c r="A400" s="462"/>
      <c r="B400" s="462"/>
      <c r="N400" s="448"/>
      <c r="O400" s="464"/>
      <c r="R400" s="448"/>
      <c r="S400" s="464"/>
      <c r="V400" s="448"/>
      <c r="W400" s="464"/>
      <c r="Z400" s="448"/>
      <c r="AA400" s="464"/>
      <c r="AD400" s="448"/>
      <c r="AE400" s="464"/>
      <c r="AH400" s="448"/>
      <c r="AI400" s="464"/>
      <c r="AL400" s="448"/>
      <c r="AP400" s="448"/>
    </row>
    <row r="401" spans="1:42" ht="13">
      <c r="A401" s="462"/>
      <c r="B401" s="462"/>
      <c r="N401" s="448"/>
      <c r="O401" s="464"/>
      <c r="R401" s="448"/>
      <c r="S401" s="464"/>
      <c r="V401" s="448"/>
      <c r="W401" s="464"/>
      <c r="Z401" s="448"/>
      <c r="AA401" s="464"/>
      <c r="AD401" s="448"/>
      <c r="AE401" s="464"/>
      <c r="AH401" s="448"/>
      <c r="AI401" s="464"/>
      <c r="AL401" s="448"/>
      <c r="AP401" s="448"/>
    </row>
    <row r="402" spans="1:42" ht="13">
      <c r="A402" s="462"/>
      <c r="B402" s="462"/>
      <c r="N402" s="448"/>
      <c r="O402" s="464"/>
      <c r="R402" s="448"/>
      <c r="S402" s="464"/>
      <c r="V402" s="448"/>
      <c r="W402" s="464"/>
      <c r="Z402" s="448"/>
      <c r="AA402" s="464"/>
      <c r="AD402" s="448"/>
      <c r="AE402" s="464"/>
      <c r="AH402" s="448"/>
      <c r="AI402" s="464"/>
      <c r="AL402" s="448"/>
      <c r="AP402" s="448"/>
    </row>
    <row r="403" spans="1:42" ht="13">
      <c r="A403" s="462"/>
      <c r="B403" s="462"/>
      <c r="N403" s="448"/>
      <c r="O403" s="464"/>
      <c r="R403" s="448"/>
      <c r="S403" s="464"/>
      <c r="V403" s="448"/>
      <c r="W403" s="464"/>
      <c r="Z403" s="448"/>
      <c r="AA403" s="464"/>
      <c r="AD403" s="448"/>
      <c r="AE403" s="464"/>
      <c r="AH403" s="448"/>
      <c r="AI403" s="464"/>
      <c r="AL403" s="448"/>
      <c r="AP403" s="448"/>
    </row>
    <row r="404" spans="1:42" ht="13">
      <c r="A404" s="462"/>
      <c r="B404" s="462"/>
      <c r="N404" s="448"/>
      <c r="O404" s="464"/>
      <c r="R404" s="448"/>
      <c r="S404" s="464"/>
      <c r="V404" s="448"/>
      <c r="W404" s="464"/>
      <c r="Z404" s="448"/>
      <c r="AA404" s="464"/>
      <c r="AD404" s="448"/>
      <c r="AE404" s="464"/>
      <c r="AH404" s="448"/>
      <c r="AI404" s="464"/>
      <c r="AL404" s="448"/>
      <c r="AP404" s="448"/>
    </row>
    <row r="405" spans="1:42" ht="13">
      <c r="A405" s="462"/>
      <c r="B405" s="462"/>
      <c r="N405" s="448"/>
      <c r="O405" s="464"/>
      <c r="R405" s="448"/>
      <c r="S405" s="464"/>
      <c r="V405" s="448"/>
      <c r="W405" s="464"/>
      <c r="Z405" s="448"/>
      <c r="AA405" s="464"/>
      <c r="AD405" s="448"/>
      <c r="AE405" s="464"/>
      <c r="AH405" s="448"/>
      <c r="AI405" s="464"/>
      <c r="AL405" s="448"/>
      <c r="AP405" s="448"/>
    </row>
    <row r="406" spans="1:42" ht="13">
      <c r="A406" s="462"/>
      <c r="B406" s="462"/>
      <c r="N406" s="448"/>
      <c r="O406" s="464"/>
      <c r="R406" s="448"/>
      <c r="S406" s="464"/>
      <c r="V406" s="448"/>
      <c r="W406" s="464"/>
      <c r="Z406" s="448"/>
      <c r="AA406" s="464"/>
      <c r="AD406" s="448"/>
      <c r="AE406" s="464"/>
      <c r="AH406" s="448"/>
      <c r="AI406" s="464"/>
      <c r="AL406" s="448"/>
      <c r="AP406" s="448"/>
    </row>
    <row r="407" spans="1:42" ht="13">
      <c r="A407" s="462"/>
      <c r="B407" s="462"/>
      <c r="N407" s="448"/>
      <c r="O407" s="464"/>
      <c r="R407" s="448"/>
      <c r="S407" s="464"/>
      <c r="V407" s="448"/>
      <c r="W407" s="464"/>
      <c r="Z407" s="448"/>
      <c r="AA407" s="464"/>
      <c r="AD407" s="448"/>
      <c r="AE407" s="464"/>
      <c r="AH407" s="448"/>
      <c r="AI407" s="464"/>
      <c r="AL407" s="448"/>
      <c r="AP407" s="448"/>
    </row>
    <row r="408" spans="1:42" ht="13">
      <c r="A408" s="462"/>
      <c r="B408" s="462"/>
      <c r="N408" s="448"/>
      <c r="O408" s="464"/>
      <c r="R408" s="448"/>
      <c r="S408" s="464"/>
      <c r="V408" s="448"/>
      <c r="W408" s="464"/>
      <c r="Z408" s="448"/>
      <c r="AA408" s="464"/>
      <c r="AD408" s="448"/>
      <c r="AE408" s="464"/>
      <c r="AH408" s="448"/>
      <c r="AI408" s="464"/>
      <c r="AL408" s="448"/>
      <c r="AP408" s="448"/>
    </row>
    <row r="409" spans="1:42" ht="13">
      <c r="A409" s="462"/>
      <c r="B409" s="462"/>
      <c r="N409" s="448"/>
      <c r="O409" s="464"/>
      <c r="R409" s="448"/>
      <c r="S409" s="464"/>
      <c r="V409" s="448"/>
      <c r="W409" s="464"/>
      <c r="Z409" s="448"/>
      <c r="AA409" s="464"/>
      <c r="AD409" s="448"/>
      <c r="AE409" s="464"/>
      <c r="AH409" s="448"/>
      <c r="AI409" s="464"/>
      <c r="AL409" s="448"/>
      <c r="AP409" s="448"/>
    </row>
    <row r="410" spans="1:42" ht="13">
      <c r="A410" s="462"/>
      <c r="B410" s="462"/>
      <c r="N410" s="448"/>
      <c r="O410" s="464"/>
      <c r="R410" s="448"/>
      <c r="S410" s="464"/>
      <c r="V410" s="448"/>
      <c r="W410" s="464"/>
      <c r="Z410" s="448"/>
      <c r="AA410" s="464"/>
      <c r="AD410" s="448"/>
      <c r="AE410" s="464"/>
      <c r="AH410" s="448"/>
      <c r="AI410" s="464"/>
      <c r="AL410" s="448"/>
      <c r="AP410" s="448"/>
    </row>
    <row r="411" spans="1:42" ht="13">
      <c r="A411" s="462"/>
      <c r="B411" s="462"/>
      <c r="N411" s="448"/>
      <c r="O411" s="464"/>
      <c r="R411" s="448"/>
      <c r="S411" s="464"/>
      <c r="V411" s="448"/>
      <c r="W411" s="464"/>
      <c r="Z411" s="448"/>
      <c r="AA411" s="464"/>
      <c r="AD411" s="448"/>
      <c r="AE411" s="464"/>
      <c r="AH411" s="448"/>
      <c r="AI411" s="464"/>
      <c r="AL411" s="448"/>
      <c r="AP411" s="448"/>
    </row>
    <row r="412" spans="1:42" ht="13">
      <c r="A412" s="462"/>
      <c r="B412" s="462"/>
      <c r="N412" s="448"/>
      <c r="O412" s="464"/>
      <c r="R412" s="448"/>
      <c r="S412" s="464"/>
      <c r="V412" s="448"/>
      <c r="W412" s="464"/>
      <c r="Z412" s="448"/>
      <c r="AA412" s="464"/>
      <c r="AD412" s="448"/>
      <c r="AE412" s="464"/>
      <c r="AH412" s="448"/>
      <c r="AI412" s="464"/>
      <c r="AL412" s="448"/>
      <c r="AP412" s="448"/>
    </row>
    <row r="413" spans="1:42" ht="13">
      <c r="A413" s="462"/>
      <c r="B413" s="462"/>
      <c r="N413" s="448"/>
      <c r="O413" s="464"/>
      <c r="R413" s="448"/>
      <c r="S413" s="464"/>
      <c r="V413" s="448"/>
      <c r="W413" s="464"/>
      <c r="Z413" s="448"/>
      <c r="AA413" s="464"/>
      <c r="AD413" s="448"/>
      <c r="AE413" s="464"/>
      <c r="AH413" s="448"/>
      <c r="AI413" s="464"/>
      <c r="AL413" s="448"/>
      <c r="AP413" s="448"/>
    </row>
    <row r="414" spans="1:42" ht="13">
      <c r="A414" s="462"/>
      <c r="B414" s="462"/>
      <c r="N414" s="448"/>
      <c r="O414" s="464"/>
      <c r="R414" s="448"/>
      <c r="S414" s="464"/>
      <c r="V414" s="448"/>
      <c r="W414" s="464"/>
      <c r="Z414" s="448"/>
      <c r="AA414" s="464"/>
      <c r="AD414" s="448"/>
      <c r="AE414" s="464"/>
      <c r="AH414" s="448"/>
      <c r="AI414" s="464"/>
      <c r="AL414" s="448"/>
      <c r="AP414" s="448"/>
    </row>
    <row r="415" spans="1:42" ht="13">
      <c r="A415" s="462"/>
      <c r="B415" s="462"/>
      <c r="N415" s="448"/>
      <c r="O415" s="464"/>
      <c r="R415" s="448"/>
      <c r="S415" s="464"/>
      <c r="V415" s="448"/>
      <c r="W415" s="464"/>
      <c r="Z415" s="448"/>
      <c r="AA415" s="464"/>
      <c r="AD415" s="448"/>
      <c r="AE415" s="464"/>
      <c r="AH415" s="448"/>
      <c r="AI415" s="464"/>
      <c r="AL415" s="448"/>
      <c r="AP415" s="448"/>
    </row>
    <row r="416" spans="1:42" ht="13">
      <c r="A416" s="462"/>
      <c r="B416" s="462"/>
      <c r="N416" s="448"/>
      <c r="O416" s="464"/>
      <c r="R416" s="448"/>
      <c r="S416" s="464"/>
      <c r="V416" s="448"/>
      <c r="W416" s="464"/>
      <c r="Z416" s="448"/>
      <c r="AA416" s="464"/>
      <c r="AD416" s="448"/>
      <c r="AE416" s="464"/>
      <c r="AH416" s="448"/>
      <c r="AI416" s="464"/>
      <c r="AL416" s="448"/>
      <c r="AP416" s="448"/>
    </row>
    <row r="417" spans="1:42" ht="13">
      <c r="A417" s="462"/>
      <c r="B417" s="462"/>
      <c r="N417" s="448"/>
      <c r="O417" s="464"/>
      <c r="R417" s="448"/>
      <c r="S417" s="464"/>
      <c r="V417" s="448"/>
      <c r="W417" s="464"/>
      <c r="Z417" s="448"/>
      <c r="AA417" s="464"/>
      <c r="AD417" s="448"/>
      <c r="AE417" s="464"/>
      <c r="AH417" s="448"/>
      <c r="AI417" s="464"/>
      <c r="AL417" s="448"/>
      <c r="AP417" s="448"/>
    </row>
    <row r="418" spans="1:42" ht="13">
      <c r="A418" s="462"/>
      <c r="B418" s="462"/>
      <c r="N418" s="448"/>
      <c r="O418" s="464"/>
      <c r="R418" s="448"/>
      <c r="S418" s="464"/>
      <c r="V418" s="448"/>
      <c r="W418" s="464"/>
      <c r="Z418" s="448"/>
      <c r="AA418" s="464"/>
      <c r="AD418" s="448"/>
      <c r="AE418" s="464"/>
      <c r="AH418" s="448"/>
      <c r="AI418" s="464"/>
      <c r="AL418" s="448"/>
      <c r="AP418" s="448"/>
    </row>
    <row r="419" spans="1:42" ht="13">
      <c r="A419" s="462"/>
      <c r="B419" s="462"/>
      <c r="N419" s="448"/>
      <c r="O419" s="464"/>
      <c r="R419" s="448"/>
      <c r="S419" s="464"/>
      <c r="V419" s="448"/>
      <c r="W419" s="464"/>
      <c r="Z419" s="448"/>
      <c r="AA419" s="464"/>
      <c r="AD419" s="448"/>
      <c r="AE419" s="464"/>
      <c r="AH419" s="448"/>
      <c r="AI419" s="464"/>
      <c r="AL419" s="448"/>
      <c r="AP419" s="448"/>
    </row>
    <row r="420" spans="1:42" ht="13">
      <c r="A420" s="462"/>
      <c r="B420" s="462"/>
      <c r="N420" s="448"/>
      <c r="O420" s="464"/>
      <c r="R420" s="448"/>
      <c r="S420" s="464"/>
      <c r="V420" s="448"/>
      <c r="W420" s="464"/>
      <c r="Z420" s="448"/>
      <c r="AA420" s="464"/>
      <c r="AD420" s="448"/>
      <c r="AE420" s="464"/>
      <c r="AH420" s="448"/>
      <c r="AI420" s="464"/>
      <c r="AL420" s="448"/>
      <c r="AP420" s="448"/>
    </row>
    <row r="421" spans="1:42" ht="13">
      <c r="A421" s="462"/>
      <c r="B421" s="462"/>
      <c r="N421" s="448"/>
      <c r="O421" s="464"/>
      <c r="R421" s="448"/>
      <c r="S421" s="464"/>
      <c r="V421" s="448"/>
      <c r="W421" s="464"/>
      <c r="Z421" s="448"/>
      <c r="AA421" s="464"/>
      <c r="AD421" s="448"/>
      <c r="AE421" s="464"/>
      <c r="AH421" s="448"/>
      <c r="AI421" s="464"/>
      <c r="AL421" s="448"/>
      <c r="AP421" s="448"/>
    </row>
    <row r="422" spans="1:42" ht="13">
      <c r="A422" s="462"/>
      <c r="B422" s="462"/>
      <c r="N422" s="448"/>
      <c r="O422" s="464"/>
      <c r="R422" s="448"/>
      <c r="S422" s="464"/>
      <c r="V422" s="448"/>
      <c r="W422" s="464"/>
      <c r="Z422" s="448"/>
      <c r="AA422" s="464"/>
      <c r="AD422" s="448"/>
      <c r="AE422" s="464"/>
      <c r="AH422" s="448"/>
      <c r="AI422" s="464"/>
      <c r="AL422" s="448"/>
      <c r="AP422" s="448"/>
    </row>
    <row r="423" spans="1:42" ht="13">
      <c r="A423" s="462"/>
      <c r="B423" s="462"/>
      <c r="N423" s="448"/>
      <c r="O423" s="464"/>
      <c r="R423" s="448"/>
      <c r="S423" s="464"/>
      <c r="V423" s="448"/>
      <c r="W423" s="464"/>
      <c r="Z423" s="448"/>
      <c r="AA423" s="464"/>
      <c r="AD423" s="448"/>
      <c r="AE423" s="464"/>
      <c r="AH423" s="448"/>
      <c r="AI423" s="464"/>
      <c r="AL423" s="448"/>
      <c r="AP423" s="448"/>
    </row>
    <row r="424" spans="1:42" ht="13">
      <c r="A424" s="462"/>
      <c r="B424" s="462"/>
      <c r="N424" s="448"/>
      <c r="O424" s="464"/>
      <c r="R424" s="448"/>
      <c r="S424" s="464"/>
      <c r="V424" s="448"/>
      <c r="W424" s="464"/>
      <c r="Z424" s="448"/>
      <c r="AA424" s="464"/>
      <c r="AD424" s="448"/>
      <c r="AE424" s="464"/>
      <c r="AH424" s="448"/>
      <c r="AI424" s="464"/>
      <c r="AL424" s="448"/>
      <c r="AP424" s="448"/>
    </row>
    <row r="425" spans="1:42" ht="13">
      <c r="A425" s="462"/>
      <c r="B425" s="462"/>
      <c r="N425" s="448"/>
      <c r="O425" s="464"/>
      <c r="R425" s="448"/>
      <c r="S425" s="464"/>
      <c r="V425" s="448"/>
      <c r="W425" s="464"/>
      <c r="Z425" s="448"/>
      <c r="AA425" s="464"/>
      <c r="AD425" s="448"/>
      <c r="AE425" s="464"/>
      <c r="AH425" s="448"/>
      <c r="AI425" s="464"/>
      <c r="AL425" s="448"/>
      <c r="AP425" s="448"/>
    </row>
    <row r="426" spans="1:42" ht="13">
      <c r="A426" s="462"/>
      <c r="B426" s="462"/>
      <c r="N426" s="448"/>
      <c r="O426" s="464"/>
      <c r="R426" s="448"/>
      <c r="S426" s="464"/>
      <c r="V426" s="448"/>
      <c r="W426" s="464"/>
      <c r="Z426" s="448"/>
      <c r="AA426" s="464"/>
      <c r="AD426" s="448"/>
      <c r="AE426" s="464"/>
      <c r="AH426" s="448"/>
      <c r="AI426" s="464"/>
      <c r="AL426" s="448"/>
      <c r="AP426" s="448"/>
    </row>
    <row r="427" spans="1:42" ht="13">
      <c r="A427" s="462"/>
      <c r="B427" s="462"/>
      <c r="N427" s="448"/>
      <c r="O427" s="464"/>
      <c r="R427" s="448"/>
      <c r="S427" s="464"/>
      <c r="V427" s="448"/>
      <c r="W427" s="464"/>
      <c r="Z427" s="448"/>
      <c r="AA427" s="464"/>
      <c r="AD427" s="448"/>
      <c r="AE427" s="464"/>
      <c r="AH427" s="448"/>
      <c r="AI427" s="464"/>
      <c r="AL427" s="448"/>
      <c r="AP427" s="448"/>
    </row>
    <row r="428" spans="1:42" ht="13">
      <c r="A428" s="462"/>
      <c r="B428" s="462"/>
      <c r="N428" s="448"/>
      <c r="O428" s="464"/>
      <c r="R428" s="448"/>
      <c r="S428" s="464"/>
      <c r="V428" s="448"/>
      <c r="W428" s="464"/>
      <c r="Z428" s="448"/>
      <c r="AA428" s="464"/>
      <c r="AD428" s="448"/>
      <c r="AE428" s="464"/>
      <c r="AH428" s="448"/>
      <c r="AI428" s="464"/>
      <c r="AL428" s="448"/>
      <c r="AP428" s="448"/>
    </row>
    <row r="429" spans="1:42" ht="13">
      <c r="A429" s="462"/>
      <c r="B429" s="462"/>
      <c r="N429" s="448"/>
      <c r="O429" s="464"/>
      <c r="R429" s="448"/>
      <c r="S429" s="464"/>
      <c r="V429" s="448"/>
      <c r="W429" s="464"/>
      <c r="Z429" s="448"/>
      <c r="AA429" s="464"/>
      <c r="AD429" s="448"/>
      <c r="AE429" s="464"/>
      <c r="AH429" s="448"/>
      <c r="AI429" s="464"/>
      <c r="AL429" s="448"/>
      <c r="AP429" s="448"/>
    </row>
    <row r="430" spans="1:42" ht="13">
      <c r="A430" s="462"/>
      <c r="B430" s="462"/>
      <c r="N430" s="448"/>
      <c r="O430" s="464"/>
      <c r="R430" s="448"/>
      <c r="S430" s="464"/>
      <c r="V430" s="448"/>
      <c r="W430" s="464"/>
      <c r="Z430" s="448"/>
      <c r="AA430" s="464"/>
      <c r="AD430" s="448"/>
      <c r="AE430" s="464"/>
      <c r="AH430" s="448"/>
      <c r="AI430" s="464"/>
      <c r="AL430" s="448"/>
      <c r="AP430" s="448"/>
    </row>
    <row r="431" spans="1:42" ht="13">
      <c r="A431" s="462"/>
      <c r="B431" s="462"/>
      <c r="N431" s="448"/>
      <c r="O431" s="464"/>
      <c r="R431" s="448"/>
      <c r="S431" s="464"/>
      <c r="V431" s="448"/>
      <c r="W431" s="464"/>
      <c r="Z431" s="448"/>
      <c r="AA431" s="464"/>
      <c r="AD431" s="448"/>
      <c r="AE431" s="464"/>
      <c r="AH431" s="448"/>
      <c r="AI431" s="464"/>
      <c r="AL431" s="448"/>
      <c r="AP431" s="448"/>
    </row>
    <row r="432" spans="1:42" ht="13">
      <c r="A432" s="462"/>
      <c r="B432" s="462"/>
      <c r="N432" s="448"/>
      <c r="O432" s="464"/>
      <c r="R432" s="448"/>
      <c r="S432" s="464"/>
      <c r="V432" s="448"/>
      <c r="W432" s="464"/>
      <c r="Z432" s="448"/>
      <c r="AA432" s="464"/>
      <c r="AD432" s="448"/>
      <c r="AE432" s="464"/>
      <c r="AH432" s="448"/>
      <c r="AI432" s="464"/>
      <c r="AL432" s="448"/>
      <c r="AP432" s="448"/>
    </row>
    <row r="433" spans="1:42" ht="13">
      <c r="A433" s="462"/>
      <c r="B433" s="462"/>
      <c r="N433" s="448"/>
      <c r="O433" s="464"/>
      <c r="R433" s="448"/>
      <c r="S433" s="464"/>
      <c r="V433" s="448"/>
      <c r="W433" s="464"/>
      <c r="Z433" s="448"/>
      <c r="AA433" s="464"/>
      <c r="AD433" s="448"/>
      <c r="AE433" s="464"/>
      <c r="AH433" s="448"/>
      <c r="AI433" s="464"/>
      <c r="AL433" s="448"/>
      <c r="AP433" s="448"/>
    </row>
    <row r="434" spans="1:42" ht="13">
      <c r="A434" s="462"/>
      <c r="B434" s="462"/>
      <c r="N434" s="448"/>
      <c r="O434" s="464"/>
      <c r="R434" s="448"/>
      <c r="S434" s="464"/>
      <c r="V434" s="448"/>
      <c r="W434" s="464"/>
      <c r="Z434" s="448"/>
      <c r="AA434" s="464"/>
      <c r="AD434" s="448"/>
      <c r="AE434" s="464"/>
      <c r="AH434" s="448"/>
      <c r="AI434" s="464"/>
      <c r="AL434" s="448"/>
      <c r="AP434" s="448"/>
    </row>
    <row r="435" spans="1:42" ht="13">
      <c r="A435" s="462"/>
      <c r="B435" s="462"/>
      <c r="N435" s="448"/>
      <c r="O435" s="464"/>
      <c r="R435" s="448"/>
      <c r="S435" s="464"/>
      <c r="V435" s="448"/>
      <c r="W435" s="464"/>
      <c r="Z435" s="448"/>
      <c r="AA435" s="464"/>
      <c r="AD435" s="448"/>
      <c r="AE435" s="464"/>
      <c r="AH435" s="448"/>
      <c r="AI435" s="464"/>
      <c r="AL435" s="448"/>
      <c r="AP435" s="448"/>
    </row>
    <row r="436" spans="1:42" ht="13">
      <c r="A436" s="462"/>
      <c r="B436" s="462"/>
      <c r="N436" s="448"/>
      <c r="O436" s="464"/>
      <c r="R436" s="448"/>
      <c r="S436" s="464"/>
      <c r="V436" s="448"/>
      <c r="W436" s="464"/>
      <c r="Z436" s="448"/>
      <c r="AA436" s="464"/>
      <c r="AD436" s="448"/>
      <c r="AE436" s="464"/>
      <c r="AH436" s="448"/>
      <c r="AI436" s="464"/>
      <c r="AL436" s="448"/>
      <c r="AP436" s="448"/>
    </row>
    <row r="437" spans="1:42" ht="13">
      <c r="A437" s="462"/>
      <c r="B437" s="462"/>
      <c r="N437" s="448"/>
      <c r="O437" s="464"/>
      <c r="R437" s="448"/>
      <c r="S437" s="464"/>
      <c r="V437" s="448"/>
      <c r="W437" s="464"/>
      <c r="Z437" s="448"/>
      <c r="AA437" s="464"/>
      <c r="AD437" s="448"/>
      <c r="AE437" s="464"/>
      <c r="AH437" s="448"/>
      <c r="AI437" s="464"/>
      <c r="AL437" s="448"/>
      <c r="AP437" s="448"/>
    </row>
    <row r="438" spans="1:42" ht="13">
      <c r="A438" s="462"/>
      <c r="B438" s="462"/>
      <c r="N438" s="448"/>
      <c r="O438" s="464"/>
      <c r="R438" s="448"/>
      <c r="S438" s="464"/>
      <c r="V438" s="448"/>
      <c r="W438" s="464"/>
      <c r="Z438" s="448"/>
      <c r="AA438" s="464"/>
      <c r="AD438" s="448"/>
      <c r="AE438" s="464"/>
      <c r="AH438" s="448"/>
      <c r="AI438" s="464"/>
      <c r="AL438" s="448"/>
      <c r="AP438" s="448"/>
    </row>
    <row r="439" spans="1:42" ht="13">
      <c r="A439" s="462"/>
      <c r="B439" s="462"/>
      <c r="N439" s="448"/>
      <c r="O439" s="464"/>
      <c r="R439" s="448"/>
      <c r="S439" s="464"/>
      <c r="V439" s="448"/>
      <c r="W439" s="464"/>
      <c r="Z439" s="448"/>
      <c r="AA439" s="464"/>
      <c r="AD439" s="448"/>
      <c r="AE439" s="464"/>
      <c r="AH439" s="448"/>
      <c r="AI439" s="464"/>
      <c r="AL439" s="448"/>
      <c r="AP439" s="448"/>
    </row>
    <row r="440" spans="1:42" ht="13">
      <c r="A440" s="462"/>
      <c r="B440" s="462"/>
      <c r="N440" s="448"/>
      <c r="O440" s="464"/>
      <c r="R440" s="448"/>
      <c r="S440" s="464"/>
      <c r="V440" s="448"/>
      <c r="W440" s="464"/>
      <c r="Z440" s="448"/>
      <c r="AA440" s="464"/>
      <c r="AD440" s="448"/>
      <c r="AE440" s="464"/>
      <c r="AH440" s="448"/>
      <c r="AI440" s="464"/>
      <c r="AL440" s="448"/>
      <c r="AP440" s="448"/>
    </row>
    <row r="441" spans="1:42" ht="13">
      <c r="A441" s="462"/>
      <c r="B441" s="462"/>
      <c r="N441" s="448"/>
      <c r="O441" s="464"/>
      <c r="R441" s="448"/>
      <c r="S441" s="464"/>
      <c r="V441" s="448"/>
      <c r="W441" s="464"/>
      <c r="Z441" s="448"/>
      <c r="AA441" s="464"/>
      <c r="AD441" s="448"/>
      <c r="AE441" s="464"/>
      <c r="AH441" s="448"/>
      <c r="AI441" s="464"/>
      <c r="AL441" s="448"/>
      <c r="AP441" s="448"/>
    </row>
    <row r="442" spans="1:42" ht="13">
      <c r="A442" s="462"/>
      <c r="B442" s="462"/>
      <c r="N442" s="448"/>
      <c r="O442" s="464"/>
      <c r="R442" s="448"/>
      <c r="S442" s="464"/>
      <c r="V442" s="448"/>
      <c r="W442" s="464"/>
      <c r="Z442" s="448"/>
      <c r="AA442" s="464"/>
      <c r="AD442" s="448"/>
      <c r="AE442" s="464"/>
      <c r="AH442" s="448"/>
      <c r="AI442" s="464"/>
      <c r="AL442" s="448"/>
      <c r="AP442" s="448"/>
    </row>
    <row r="443" spans="1:42" ht="13">
      <c r="A443" s="462"/>
      <c r="B443" s="462"/>
      <c r="N443" s="448"/>
      <c r="O443" s="464"/>
      <c r="R443" s="448"/>
      <c r="S443" s="464"/>
      <c r="V443" s="448"/>
      <c r="W443" s="464"/>
      <c r="Z443" s="448"/>
      <c r="AA443" s="464"/>
      <c r="AD443" s="448"/>
      <c r="AE443" s="464"/>
      <c r="AH443" s="448"/>
      <c r="AI443" s="464"/>
      <c r="AL443" s="448"/>
      <c r="AP443" s="448"/>
    </row>
    <row r="444" spans="1:42" ht="13">
      <c r="A444" s="462"/>
      <c r="B444" s="462"/>
      <c r="N444" s="448"/>
      <c r="O444" s="464"/>
      <c r="R444" s="448"/>
      <c r="S444" s="464"/>
      <c r="V444" s="448"/>
      <c r="W444" s="464"/>
      <c r="Z444" s="448"/>
      <c r="AA444" s="464"/>
      <c r="AD444" s="448"/>
      <c r="AE444" s="464"/>
      <c r="AH444" s="448"/>
      <c r="AI444" s="464"/>
      <c r="AL444" s="448"/>
      <c r="AP444" s="448"/>
    </row>
    <row r="445" spans="1:42" ht="13">
      <c r="A445" s="462"/>
      <c r="B445" s="462"/>
      <c r="N445" s="448"/>
      <c r="O445" s="464"/>
      <c r="R445" s="448"/>
      <c r="S445" s="464"/>
      <c r="V445" s="448"/>
      <c r="W445" s="464"/>
      <c r="Z445" s="448"/>
      <c r="AA445" s="464"/>
      <c r="AD445" s="448"/>
      <c r="AE445" s="464"/>
      <c r="AH445" s="448"/>
      <c r="AI445" s="464"/>
      <c r="AL445" s="448"/>
      <c r="AP445" s="448"/>
    </row>
    <row r="446" spans="1:42" ht="13">
      <c r="A446" s="462"/>
      <c r="B446" s="462"/>
      <c r="N446" s="448"/>
      <c r="O446" s="464"/>
      <c r="R446" s="448"/>
      <c r="S446" s="464"/>
      <c r="V446" s="448"/>
      <c r="W446" s="464"/>
      <c r="Z446" s="448"/>
      <c r="AA446" s="464"/>
      <c r="AD446" s="448"/>
      <c r="AE446" s="464"/>
      <c r="AH446" s="448"/>
      <c r="AI446" s="464"/>
      <c r="AL446" s="448"/>
      <c r="AP446" s="448"/>
    </row>
    <row r="447" spans="1:42" ht="13">
      <c r="A447" s="462"/>
      <c r="B447" s="462"/>
      <c r="N447" s="448"/>
      <c r="O447" s="464"/>
      <c r="R447" s="448"/>
      <c r="S447" s="464"/>
      <c r="V447" s="448"/>
      <c r="W447" s="464"/>
      <c r="Z447" s="448"/>
      <c r="AA447" s="464"/>
      <c r="AD447" s="448"/>
      <c r="AE447" s="464"/>
      <c r="AH447" s="448"/>
      <c r="AI447" s="464"/>
      <c r="AL447" s="448"/>
      <c r="AP447" s="448"/>
    </row>
    <row r="448" spans="1:42" ht="13">
      <c r="A448" s="462"/>
      <c r="B448" s="462"/>
      <c r="N448" s="448"/>
      <c r="O448" s="464"/>
      <c r="R448" s="448"/>
      <c r="S448" s="464"/>
      <c r="V448" s="448"/>
      <c r="W448" s="464"/>
      <c r="Z448" s="448"/>
      <c r="AA448" s="464"/>
      <c r="AD448" s="448"/>
      <c r="AE448" s="464"/>
      <c r="AH448" s="448"/>
      <c r="AI448" s="464"/>
      <c r="AL448" s="448"/>
      <c r="AP448" s="448"/>
    </row>
    <row r="449" spans="1:42" ht="13">
      <c r="A449" s="462"/>
      <c r="B449" s="462"/>
      <c r="N449" s="448"/>
      <c r="O449" s="464"/>
      <c r="R449" s="448"/>
      <c r="S449" s="464"/>
      <c r="V449" s="448"/>
      <c r="W449" s="464"/>
      <c r="Z449" s="448"/>
      <c r="AA449" s="464"/>
      <c r="AD449" s="448"/>
      <c r="AE449" s="464"/>
      <c r="AH449" s="448"/>
      <c r="AI449" s="464"/>
      <c r="AL449" s="448"/>
      <c r="AP449" s="448"/>
    </row>
    <row r="450" spans="1:42" ht="13">
      <c r="A450" s="462"/>
      <c r="B450" s="462"/>
      <c r="N450" s="448"/>
      <c r="O450" s="464"/>
      <c r="R450" s="448"/>
      <c r="S450" s="464"/>
      <c r="V450" s="448"/>
      <c r="W450" s="464"/>
      <c r="Z450" s="448"/>
      <c r="AA450" s="464"/>
      <c r="AD450" s="448"/>
      <c r="AE450" s="464"/>
      <c r="AH450" s="448"/>
      <c r="AI450" s="464"/>
      <c r="AL450" s="448"/>
      <c r="AP450" s="448"/>
    </row>
    <row r="451" spans="1:42" ht="13">
      <c r="A451" s="462"/>
      <c r="B451" s="462"/>
      <c r="N451" s="448"/>
      <c r="O451" s="464"/>
      <c r="R451" s="448"/>
      <c r="S451" s="464"/>
      <c r="V451" s="448"/>
      <c r="W451" s="464"/>
      <c r="Z451" s="448"/>
      <c r="AA451" s="464"/>
      <c r="AD451" s="448"/>
      <c r="AE451" s="464"/>
      <c r="AH451" s="448"/>
      <c r="AI451" s="464"/>
      <c r="AL451" s="448"/>
      <c r="AP451" s="448"/>
    </row>
    <row r="452" spans="1:42" ht="13">
      <c r="A452" s="462"/>
      <c r="B452" s="462"/>
      <c r="N452" s="448"/>
      <c r="O452" s="464"/>
      <c r="R452" s="448"/>
      <c r="S452" s="464"/>
      <c r="V452" s="448"/>
      <c r="W452" s="464"/>
      <c r="Z452" s="448"/>
      <c r="AA452" s="464"/>
      <c r="AD452" s="448"/>
      <c r="AE452" s="464"/>
      <c r="AH452" s="448"/>
      <c r="AI452" s="464"/>
      <c r="AL452" s="448"/>
      <c r="AP452" s="448"/>
    </row>
    <row r="453" spans="1:42" ht="13">
      <c r="A453" s="462"/>
      <c r="B453" s="462"/>
      <c r="N453" s="448"/>
      <c r="O453" s="464"/>
      <c r="R453" s="448"/>
      <c r="S453" s="464"/>
      <c r="V453" s="448"/>
      <c r="W453" s="464"/>
      <c r="Z453" s="448"/>
      <c r="AA453" s="464"/>
      <c r="AD453" s="448"/>
      <c r="AE453" s="464"/>
      <c r="AH453" s="448"/>
      <c r="AI453" s="464"/>
      <c r="AL453" s="448"/>
      <c r="AP453" s="448"/>
    </row>
    <row r="454" spans="1:42" ht="13">
      <c r="A454" s="462"/>
      <c r="B454" s="462"/>
      <c r="N454" s="448"/>
      <c r="O454" s="464"/>
      <c r="R454" s="448"/>
      <c r="S454" s="464"/>
      <c r="V454" s="448"/>
      <c r="W454" s="464"/>
      <c r="Z454" s="448"/>
      <c r="AA454" s="464"/>
      <c r="AD454" s="448"/>
      <c r="AE454" s="464"/>
      <c r="AH454" s="448"/>
      <c r="AI454" s="464"/>
      <c r="AL454" s="448"/>
      <c r="AP454" s="448"/>
    </row>
    <row r="455" spans="1:42" ht="13">
      <c r="A455" s="462"/>
      <c r="B455" s="462"/>
      <c r="N455" s="448"/>
      <c r="O455" s="464"/>
      <c r="R455" s="448"/>
      <c r="S455" s="464"/>
      <c r="V455" s="448"/>
      <c r="W455" s="464"/>
      <c r="Z455" s="448"/>
      <c r="AA455" s="464"/>
      <c r="AD455" s="448"/>
      <c r="AE455" s="464"/>
      <c r="AH455" s="448"/>
      <c r="AI455" s="464"/>
      <c r="AL455" s="448"/>
      <c r="AP455" s="448"/>
    </row>
    <row r="456" spans="1:42" ht="13">
      <c r="A456" s="462"/>
      <c r="B456" s="462"/>
      <c r="N456" s="448"/>
      <c r="O456" s="464"/>
      <c r="R456" s="448"/>
      <c r="S456" s="464"/>
      <c r="V456" s="448"/>
      <c r="W456" s="464"/>
      <c r="Z456" s="448"/>
      <c r="AA456" s="464"/>
      <c r="AD456" s="448"/>
      <c r="AE456" s="464"/>
      <c r="AH456" s="448"/>
      <c r="AI456" s="464"/>
      <c r="AL456" s="448"/>
      <c r="AP456" s="448"/>
    </row>
    <row r="457" spans="1:42" ht="13">
      <c r="A457" s="462"/>
      <c r="B457" s="462"/>
      <c r="N457" s="448"/>
      <c r="O457" s="464"/>
      <c r="R457" s="448"/>
      <c r="S457" s="464"/>
      <c r="V457" s="448"/>
      <c r="W457" s="464"/>
      <c r="Z457" s="448"/>
      <c r="AA457" s="464"/>
      <c r="AD457" s="448"/>
      <c r="AE457" s="464"/>
      <c r="AH457" s="448"/>
      <c r="AI457" s="464"/>
      <c r="AL457" s="448"/>
      <c r="AP457" s="448"/>
    </row>
    <row r="458" spans="1:42" ht="13">
      <c r="A458" s="462"/>
      <c r="B458" s="462"/>
      <c r="N458" s="448"/>
      <c r="O458" s="464"/>
      <c r="R458" s="448"/>
      <c r="S458" s="464"/>
      <c r="V458" s="448"/>
      <c r="W458" s="464"/>
      <c r="Z458" s="448"/>
      <c r="AA458" s="464"/>
      <c r="AD458" s="448"/>
      <c r="AE458" s="464"/>
      <c r="AH458" s="448"/>
      <c r="AI458" s="464"/>
      <c r="AL458" s="448"/>
      <c r="AP458" s="448"/>
    </row>
    <row r="459" spans="1:42" ht="13">
      <c r="A459" s="462"/>
      <c r="B459" s="462"/>
      <c r="N459" s="448"/>
      <c r="O459" s="464"/>
      <c r="R459" s="448"/>
      <c r="S459" s="464"/>
      <c r="V459" s="448"/>
      <c r="W459" s="464"/>
      <c r="Z459" s="448"/>
      <c r="AA459" s="464"/>
      <c r="AD459" s="448"/>
      <c r="AE459" s="464"/>
      <c r="AH459" s="448"/>
      <c r="AI459" s="464"/>
      <c r="AL459" s="448"/>
      <c r="AP459" s="448"/>
    </row>
    <row r="460" spans="1:42" ht="13">
      <c r="A460" s="462"/>
      <c r="B460" s="462"/>
      <c r="N460" s="448"/>
      <c r="O460" s="464"/>
      <c r="R460" s="448"/>
      <c r="S460" s="464"/>
      <c r="V460" s="448"/>
      <c r="W460" s="464"/>
      <c r="Z460" s="448"/>
      <c r="AA460" s="464"/>
      <c r="AD460" s="448"/>
      <c r="AE460" s="464"/>
      <c r="AH460" s="448"/>
      <c r="AI460" s="464"/>
      <c r="AL460" s="448"/>
      <c r="AP460" s="448"/>
    </row>
    <row r="461" spans="1:42" ht="13">
      <c r="A461" s="462"/>
      <c r="B461" s="462"/>
      <c r="N461" s="448"/>
      <c r="O461" s="464"/>
      <c r="R461" s="448"/>
      <c r="S461" s="464"/>
      <c r="V461" s="448"/>
      <c r="W461" s="464"/>
      <c r="Z461" s="448"/>
      <c r="AA461" s="464"/>
      <c r="AD461" s="448"/>
      <c r="AE461" s="464"/>
      <c r="AH461" s="448"/>
      <c r="AI461" s="464"/>
      <c r="AL461" s="448"/>
      <c r="AP461" s="448"/>
    </row>
    <row r="462" spans="1:42" ht="13">
      <c r="A462" s="462"/>
      <c r="B462" s="462"/>
      <c r="N462" s="448"/>
      <c r="O462" s="464"/>
      <c r="R462" s="448"/>
      <c r="S462" s="464"/>
      <c r="V462" s="448"/>
      <c r="W462" s="464"/>
      <c r="Z462" s="448"/>
      <c r="AA462" s="464"/>
      <c r="AD462" s="448"/>
      <c r="AE462" s="464"/>
      <c r="AH462" s="448"/>
      <c r="AI462" s="464"/>
      <c r="AL462" s="448"/>
      <c r="AP462" s="448"/>
    </row>
    <row r="463" spans="1:42" ht="13">
      <c r="A463" s="462"/>
      <c r="B463" s="462"/>
      <c r="N463" s="448"/>
      <c r="O463" s="464"/>
      <c r="R463" s="448"/>
      <c r="S463" s="464"/>
      <c r="V463" s="448"/>
      <c r="W463" s="464"/>
      <c r="Z463" s="448"/>
      <c r="AA463" s="464"/>
      <c r="AD463" s="448"/>
      <c r="AE463" s="464"/>
      <c r="AH463" s="448"/>
      <c r="AI463" s="464"/>
      <c r="AL463" s="448"/>
      <c r="AP463" s="448"/>
    </row>
    <row r="464" spans="1:42" ht="13">
      <c r="A464" s="462"/>
      <c r="B464" s="462"/>
      <c r="N464" s="448"/>
      <c r="O464" s="464"/>
      <c r="R464" s="448"/>
      <c r="S464" s="464"/>
      <c r="V464" s="448"/>
      <c r="W464" s="464"/>
      <c r="Z464" s="448"/>
      <c r="AA464" s="464"/>
      <c r="AD464" s="448"/>
      <c r="AE464" s="464"/>
      <c r="AH464" s="448"/>
      <c r="AI464" s="464"/>
      <c r="AL464" s="448"/>
      <c r="AP464" s="448"/>
    </row>
    <row r="465" spans="1:42" ht="13">
      <c r="A465" s="462"/>
      <c r="B465" s="462"/>
      <c r="N465" s="448"/>
      <c r="O465" s="464"/>
      <c r="R465" s="448"/>
      <c r="S465" s="464"/>
      <c r="V465" s="448"/>
      <c r="W465" s="464"/>
      <c r="Z465" s="448"/>
      <c r="AA465" s="464"/>
      <c r="AD465" s="448"/>
      <c r="AE465" s="464"/>
      <c r="AH465" s="448"/>
      <c r="AI465" s="464"/>
      <c r="AL465" s="448"/>
      <c r="AP465" s="448"/>
    </row>
    <row r="466" spans="1:42" ht="13">
      <c r="A466" s="462"/>
      <c r="B466" s="462"/>
      <c r="N466" s="448"/>
      <c r="O466" s="464"/>
      <c r="R466" s="448"/>
      <c r="S466" s="464"/>
      <c r="V466" s="448"/>
      <c r="W466" s="464"/>
      <c r="Z466" s="448"/>
      <c r="AA466" s="464"/>
      <c r="AD466" s="448"/>
      <c r="AE466" s="464"/>
      <c r="AH466" s="448"/>
      <c r="AI466" s="464"/>
      <c r="AL466" s="448"/>
      <c r="AP466" s="448"/>
    </row>
    <row r="467" spans="1:42" ht="13">
      <c r="A467" s="462"/>
      <c r="B467" s="462"/>
      <c r="N467" s="448"/>
      <c r="O467" s="464"/>
      <c r="R467" s="448"/>
      <c r="S467" s="464"/>
      <c r="V467" s="448"/>
      <c r="W467" s="464"/>
      <c r="Z467" s="448"/>
      <c r="AA467" s="464"/>
      <c r="AD467" s="448"/>
      <c r="AE467" s="464"/>
      <c r="AH467" s="448"/>
      <c r="AI467" s="464"/>
      <c r="AL467" s="448"/>
      <c r="AP467" s="448"/>
    </row>
    <row r="468" spans="1:42" ht="13">
      <c r="A468" s="462"/>
      <c r="B468" s="462"/>
      <c r="N468" s="448"/>
      <c r="O468" s="464"/>
      <c r="R468" s="448"/>
      <c r="S468" s="464"/>
      <c r="V468" s="448"/>
      <c r="W468" s="464"/>
      <c r="Z468" s="448"/>
      <c r="AA468" s="464"/>
      <c r="AD468" s="448"/>
      <c r="AE468" s="464"/>
      <c r="AH468" s="448"/>
      <c r="AI468" s="464"/>
      <c r="AL468" s="448"/>
      <c r="AP468" s="448"/>
    </row>
    <row r="469" spans="1:42" ht="13">
      <c r="A469" s="462"/>
      <c r="B469" s="462"/>
      <c r="N469" s="448"/>
      <c r="O469" s="464"/>
      <c r="R469" s="448"/>
      <c r="S469" s="464"/>
      <c r="V469" s="448"/>
      <c r="W469" s="464"/>
      <c r="Z469" s="448"/>
      <c r="AA469" s="464"/>
      <c r="AD469" s="448"/>
      <c r="AE469" s="464"/>
      <c r="AH469" s="448"/>
      <c r="AI469" s="464"/>
      <c r="AL469" s="448"/>
      <c r="AP469" s="448"/>
    </row>
    <row r="470" spans="1:42" ht="13">
      <c r="A470" s="462"/>
      <c r="B470" s="462"/>
      <c r="N470" s="448"/>
      <c r="O470" s="464"/>
      <c r="R470" s="448"/>
      <c r="S470" s="464"/>
      <c r="V470" s="448"/>
      <c r="W470" s="464"/>
      <c r="Z470" s="448"/>
      <c r="AA470" s="464"/>
      <c r="AD470" s="448"/>
      <c r="AE470" s="464"/>
      <c r="AH470" s="448"/>
      <c r="AI470" s="464"/>
      <c r="AL470" s="448"/>
      <c r="AP470" s="448"/>
    </row>
    <row r="471" spans="1:42" ht="13">
      <c r="A471" s="462"/>
      <c r="B471" s="462"/>
      <c r="N471" s="448"/>
      <c r="O471" s="464"/>
      <c r="R471" s="448"/>
      <c r="S471" s="464"/>
      <c r="V471" s="448"/>
      <c r="W471" s="464"/>
      <c r="Z471" s="448"/>
      <c r="AA471" s="464"/>
      <c r="AD471" s="448"/>
      <c r="AE471" s="464"/>
      <c r="AH471" s="448"/>
      <c r="AI471" s="464"/>
      <c r="AL471" s="448"/>
      <c r="AP471" s="448"/>
    </row>
    <row r="472" spans="1:42" ht="13">
      <c r="A472" s="462"/>
      <c r="B472" s="462"/>
      <c r="N472" s="448"/>
      <c r="O472" s="464"/>
      <c r="R472" s="448"/>
      <c r="S472" s="464"/>
      <c r="V472" s="448"/>
      <c r="W472" s="464"/>
      <c r="Z472" s="448"/>
      <c r="AA472" s="464"/>
      <c r="AD472" s="448"/>
      <c r="AE472" s="464"/>
      <c r="AH472" s="448"/>
      <c r="AI472" s="464"/>
      <c r="AL472" s="448"/>
      <c r="AP472" s="448"/>
    </row>
    <row r="473" spans="1:42" ht="13">
      <c r="A473" s="462"/>
      <c r="B473" s="462"/>
      <c r="N473" s="448"/>
      <c r="O473" s="464"/>
      <c r="R473" s="448"/>
      <c r="S473" s="464"/>
      <c r="V473" s="448"/>
      <c r="W473" s="464"/>
      <c r="Z473" s="448"/>
      <c r="AA473" s="464"/>
      <c r="AD473" s="448"/>
      <c r="AE473" s="464"/>
      <c r="AH473" s="448"/>
      <c r="AI473" s="464"/>
      <c r="AL473" s="448"/>
      <c r="AP473" s="448"/>
    </row>
    <row r="474" spans="1:42" ht="13">
      <c r="A474" s="462"/>
      <c r="B474" s="462"/>
      <c r="N474" s="448"/>
      <c r="O474" s="464"/>
      <c r="R474" s="448"/>
      <c r="S474" s="464"/>
      <c r="V474" s="448"/>
      <c r="W474" s="464"/>
      <c r="Z474" s="448"/>
      <c r="AA474" s="464"/>
      <c r="AD474" s="448"/>
      <c r="AE474" s="464"/>
      <c r="AH474" s="448"/>
      <c r="AI474" s="464"/>
      <c r="AL474" s="448"/>
      <c r="AP474" s="448"/>
    </row>
    <row r="475" spans="1:42" ht="13">
      <c r="A475" s="462"/>
      <c r="B475" s="462"/>
      <c r="N475" s="448"/>
      <c r="O475" s="464"/>
      <c r="R475" s="448"/>
      <c r="S475" s="464"/>
      <c r="V475" s="448"/>
      <c r="W475" s="464"/>
      <c r="Z475" s="448"/>
      <c r="AA475" s="464"/>
      <c r="AD475" s="448"/>
      <c r="AE475" s="464"/>
      <c r="AH475" s="448"/>
      <c r="AI475" s="464"/>
      <c r="AL475" s="448"/>
      <c r="AP475" s="448"/>
    </row>
    <row r="476" spans="1:42" ht="13">
      <c r="A476" s="462"/>
      <c r="B476" s="462"/>
      <c r="N476" s="448"/>
      <c r="O476" s="464"/>
      <c r="R476" s="448"/>
      <c r="S476" s="464"/>
      <c r="V476" s="448"/>
      <c r="W476" s="464"/>
      <c r="Z476" s="448"/>
      <c r="AA476" s="464"/>
      <c r="AD476" s="448"/>
      <c r="AE476" s="464"/>
      <c r="AH476" s="448"/>
      <c r="AI476" s="464"/>
      <c r="AL476" s="448"/>
      <c r="AP476" s="448"/>
    </row>
    <row r="477" spans="1:42" ht="13">
      <c r="A477" s="462"/>
      <c r="B477" s="462"/>
      <c r="N477" s="448"/>
      <c r="O477" s="464"/>
      <c r="R477" s="448"/>
      <c r="S477" s="464"/>
      <c r="V477" s="448"/>
      <c r="W477" s="464"/>
      <c r="Z477" s="448"/>
      <c r="AA477" s="464"/>
      <c r="AD477" s="448"/>
      <c r="AE477" s="464"/>
      <c r="AH477" s="448"/>
      <c r="AI477" s="464"/>
      <c r="AL477" s="448"/>
      <c r="AP477" s="448"/>
    </row>
    <row r="478" spans="1:42" ht="13">
      <c r="A478" s="462"/>
      <c r="B478" s="462"/>
      <c r="N478" s="448"/>
      <c r="O478" s="464"/>
      <c r="R478" s="448"/>
      <c r="S478" s="464"/>
      <c r="V478" s="448"/>
      <c r="W478" s="464"/>
      <c r="Z478" s="448"/>
      <c r="AA478" s="464"/>
      <c r="AD478" s="448"/>
      <c r="AE478" s="464"/>
      <c r="AH478" s="448"/>
      <c r="AI478" s="464"/>
      <c r="AL478" s="448"/>
      <c r="AP478" s="448"/>
    </row>
    <row r="479" spans="1:42" ht="13">
      <c r="A479" s="462"/>
      <c r="B479" s="462"/>
      <c r="N479" s="448"/>
      <c r="O479" s="464"/>
      <c r="R479" s="448"/>
      <c r="S479" s="464"/>
      <c r="V479" s="448"/>
      <c r="W479" s="464"/>
      <c r="Z479" s="448"/>
      <c r="AA479" s="464"/>
      <c r="AD479" s="448"/>
      <c r="AE479" s="464"/>
      <c r="AH479" s="448"/>
      <c r="AI479" s="464"/>
      <c r="AL479" s="448"/>
      <c r="AP479" s="448"/>
    </row>
    <row r="480" spans="1:42" ht="13">
      <c r="A480" s="462"/>
      <c r="B480" s="462"/>
      <c r="N480" s="448"/>
      <c r="O480" s="464"/>
      <c r="R480" s="448"/>
      <c r="S480" s="464"/>
      <c r="V480" s="448"/>
      <c r="W480" s="464"/>
      <c r="Z480" s="448"/>
      <c r="AA480" s="464"/>
      <c r="AD480" s="448"/>
      <c r="AE480" s="464"/>
      <c r="AH480" s="448"/>
      <c r="AI480" s="464"/>
      <c r="AL480" s="448"/>
      <c r="AP480" s="448"/>
    </row>
    <row r="481" spans="1:42" ht="13">
      <c r="A481" s="462"/>
      <c r="B481" s="462"/>
      <c r="N481" s="448"/>
      <c r="O481" s="464"/>
      <c r="R481" s="448"/>
      <c r="S481" s="464"/>
      <c r="V481" s="448"/>
      <c r="W481" s="464"/>
      <c r="Z481" s="448"/>
      <c r="AA481" s="464"/>
      <c r="AD481" s="448"/>
      <c r="AE481" s="464"/>
      <c r="AH481" s="448"/>
      <c r="AI481" s="464"/>
      <c r="AL481" s="448"/>
      <c r="AP481" s="448"/>
    </row>
    <row r="482" spans="1:42" ht="13">
      <c r="A482" s="462"/>
      <c r="B482" s="462"/>
      <c r="N482" s="448"/>
      <c r="O482" s="464"/>
      <c r="R482" s="448"/>
      <c r="S482" s="464"/>
      <c r="V482" s="448"/>
      <c r="W482" s="464"/>
      <c r="Z482" s="448"/>
      <c r="AA482" s="464"/>
      <c r="AD482" s="448"/>
      <c r="AE482" s="464"/>
      <c r="AH482" s="448"/>
      <c r="AI482" s="464"/>
      <c r="AL482" s="448"/>
      <c r="AP482" s="448"/>
    </row>
    <row r="483" spans="1:42" ht="13">
      <c r="A483" s="462"/>
      <c r="B483" s="462"/>
      <c r="N483" s="448"/>
      <c r="O483" s="464"/>
      <c r="R483" s="448"/>
      <c r="S483" s="464"/>
      <c r="V483" s="448"/>
      <c r="W483" s="464"/>
      <c r="Z483" s="448"/>
      <c r="AA483" s="464"/>
      <c r="AD483" s="448"/>
      <c r="AE483" s="464"/>
      <c r="AH483" s="448"/>
      <c r="AI483" s="464"/>
      <c r="AL483" s="448"/>
      <c r="AP483" s="448"/>
    </row>
    <row r="484" spans="1:42" ht="13">
      <c r="A484" s="462"/>
      <c r="B484" s="462"/>
      <c r="N484" s="448"/>
      <c r="O484" s="464"/>
      <c r="R484" s="448"/>
      <c r="S484" s="464"/>
      <c r="V484" s="448"/>
      <c r="W484" s="464"/>
      <c r="Z484" s="448"/>
      <c r="AA484" s="464"/>
      <c r="AD484" s="448"/>
      <c r="AE484" s="464"/>
      <c r="AH484" s="448"/>
      <c r="AI484" s="464"/>
      <c r="AL484" s="448"/>
      <c r="AP484" s="448"/>
    </row>
    <row r="485" spans="1:42" ht="13">
      <c r="A485" s="462"/>
      <c r="B485" s="462"/>
      <c r="N485" s="448"/>
      <c r="O485" s="464"/>
      <c r="R485" s="448"/>
      <c r="S485" s="464"/>
      <c r="V485" s="448"/>
      <c r="W485" s="464"/>
      <c r="Z485" s="448"/>
      <c r="AA485" s="464"/>
      <c r="AD485" s="448"/>
      <c r="AE485" s="464"/>
      <c r="AH485" s="448"/>
      <c r="AI485" s="464"/>
      <c r="AL485" s="448"/>
      <c r="AP485" s="448"/>
    </row>
    <row r="486" spans="1:42" ht="13">
      <c r="A486" s="462"/>
      <c r="B486" s="462"/>
      <c r="N486" s="448"/>
      <c r="O486" s="464"/>
      <c r="R486" s="448"/>
      <c r="S486" s="464"/>
      <c r="V486" s="448"/>
      <c r="W486" s="464"/>
      <c r="Z486" s="448"/>
      <c r="AA486" s="464"/>
      <c r="AD486" s="448"/>
      <c r="AE486" s="464"/>
      <c r="AH486" s="448"/>
      <c r="AI486" s="464"/>
      <c r="AL486" s="448"/>
      <c r="AP486" s="448"/>
    </row>
    <row r="487" spans="1:42" ht="13">
      <c r="A487" s="462"/>
      <c r="B487" s="462"/>
      <c r="N487" s="448"/>
      <c r="O487" s="464"/>
      <c r="R487" s="448"/>
      <c r="S487" s="464"/>
      <c r="V487" s="448"/>
      <c r="W487" s="464"/>
      <c r="Z487" s="448"/>
      <c r="AA487" s="464"/>
      <c r="AD487" s="448"/>
      <c r="AE487" s="464"/>
      <c r="AH487" s="448"/>
      <c r="AI487" s="464"/>
      <c r="AL487" s="448"/>
      <c r="AP487" s="448"/>
    </row>
    <row r="488" spans="1:42" ht="13">
      <c r="A488" s="462"/>
      <c r="B488" s="462"/>
      <c r="N488" s="448"/>
      <c r="O488" s="464"/>
      <c r="R488" s="448"/>
      <c r="S488" s="464"/>
      <c r="V488" s="448"/>
      <c r="W488" s="464"/>
      <c r="Z488" s="448"/>
      <c r="AA488" s="464"/>
      <c r="AD488" s="448"/>
      <c r="AE488" s="464"/>
      <c r="AH488" s="448"/>
      <c r="AI488" s="464"/>
      <c r="AL488" s="448"/>
      <c r="AP488" s="448"/>
    </row>
    <row r="489" spans="1:42" ht="13">
      <c r="A489" s="462"/>
      <c r="B489" s="462"/>
      <c r="N489" s="448"/>
      <c r="O489" s="464"/>
      <c r="R489" s="448"/>
      <c r="S489" s="464"/>
      <c r="V489" s="448"/>
      <c r="W489" s="464"/>
      <c r="Z489" s="448"/>
      <c r="AA489" s="464"/>
      <c r="AD489" s="448"/>
      <c r="AE489" s="464"/>
      <c r="AH489" s="448"/>
      <c r="AI489" s="464"/>
      <c r="AL489" s="448"/>
      <c r="AP489" s="448"/>
    </row>
    <row r="490" spans="1:42" ht="13">
      <c r="A490" s="462"/>
      <c r="B490" s="462"/>
      <c r="N490" s="448"/>
      <c r="O490" s="464"/>
      <c r="R490" s="448"/>
      <c r="S490" s="464"/>
      <c r="V490" s="448"/>
      <c r="W490" s="464"/>
      <c r="Z490" s="448"/>
      <c r="AA490" s="464"/>
      <c r="AD490" s="448"/>
      <c r="AE490" s="464"/>
      <c r="AH490" s="448"/>
      <c r="AI490" s="464"/>
      <c r="AL490" s="448"/>
      <c r="AP490" s="448"/>
    </row>
    <row r="491" spans="1:42" ht="13">
      <c r="A491" s="462"/>
      <c r="B491" s="462"/>
      <c r="N491" s="448"/>
      <c r="O491" s="464"/>
      <c r="R491" s="448"/>
      <c r="S491" s="464"/>
      <c r="V491" s="448"/>
      <c r="W491" s="464"/>
      <c r="Z491" s="448"/>
      <c r="AA491" s="464"/>
      <c r="AD491" s="448"/>
      <c r="AE491" s="464"/>
      <c r="AH491" s="448"/>
      <c r="AI491" s="464"/>
      <c r="AL491" s="448"/>
      <c r="AP491" s="448"/>
    </row>
    <row r="492" spans="1:42" ht="13">
      <c r="A492" s="462"/>
      <c r="B492" s="462"/>
      <c r="N492" s="448"/>
      <c r="O492" s="464"/>
      <c r="R492" s="448"/>
      <c r="S492" s="464"/>
      <c r="V492" s="448"/>
      <c r="W492" s="464"/>
      <c r="Z492" s="448"/>
      <c r="AA492" s="464"/>
      <c r="AD492" s="448"/>
      <c r="AE492" s="464"/>
      <c r="AH492" s="448"/>
      <c r="AI492" s="464"/>
      <c r="AL492" s="448"/>
      <c r="AP492" s="448"/>
    </row>
    <row r="493" spans="1:42" ht="13">
      <c r="A493" s="462"/>
      <c r="B493" s="462"/>
      <c r="N493" s="448"/>
      <c r="O493" s="464"/>
      <c r="R493" s="448"/>
      <c r="S493" s="464"/>
      <c r="V493" s="448"/>
      <c r="W493" s="464"/>
      <c r="Z493" s="448"/>
      <c r="AA493" s="464"/>
      <c r="AD493" s="448"/>
      <c r="AE493" s="464"/>
      <c r="AH493" s="448"/>
      <c r="AI493" s="464"/>
      <c r="AL493" s="448"/>
      <c r="AP493" s="448"/>
    </row>
    <row r="494" spans="1:42" ht="13">
      <c r="A494" s="462"/>
      <c r="B494" s="462"/>
      <c r="N494" s="448"/>
      <c r="O494" s="464"/>
      <c r="R494" s="448"/>
      <c r="S494" s="464"/>
      <c r="V494" s="448"/>
      <c r="W494" s="464"/>
      <c r="Z494" s="448"/>
      <c r="AA494" s="464"/>
      <c r="AD494" s="448"/>
      <c r="AE494" s="464"/>
      <c r="AH494" s="448"/>
      <c r="AI494" s="464"/>
      <c r="AL494" s="448"/>
      <c r="AP494" s="448"/>
    </row>
    <row r="495" spans="1:42" ht="13">
      <c r="A495" s="462"/>
      <c r="B495" s="462"/>
      <c r="N495" s="448"/>
      <c r="O495" s="464"/>
      <c r="R495" s="448"/>
      <c r="S495" s="464"/>
      <c r="V495" s="448"/>
      <c r="W495" s="464"/>
      <c r="Z495" s="448"/>
      <c r="AA495" s="464"/>
      <c r="AD495" s="448"/>
      <c r="AE495" s="464"/>
      <c r="AH495" s="448"/>
      <c r="AI495" s="464"/>
      <c r="AL495" s="448"/>
      <c r="AP495" s="448"/>
    </row>
    <row r="496" spans="1:42" ht="13">
      <c r="A496" s="462"/>
      <c r="B496" s="462"/>
      <c r="N496" s="448"/>
      <c r="O496" s="464"/>
      <c r="R496" s="448"/>
      <c r="S496" s="464"/>
      <c r="V496" s="448"/>
      <c r="W496" s="464"/>
      <c r="Z496" s="448"/>
      <c r="AA496" s="464"/>
      <c r="AD496" s="448"/>
      <c r="AE496" s="464"/>
      <c r="AH496" s="448"/>
      <c r="AI496" s="464"/>
      <c r="AL496" s="448"/>
      <c r="AP496" s="448"/>
    </row>
    <row r="497" spans="1:42" ht="13">
      <c r="A497" s="462"/>
      <c r="B497" s="462"/>
      <c r="N497" s="448"/>
      <c r="O497" s="464"/>
      <c r="R497" s="448"/>
      <c r="S497" s="464"/>
      <c r="V497" s="448"/>
      <c r="W497" s="464"/>
      <c r="Z497" s="448"/>
      <c r="AA497" s="464"/>
      <c r="AD497" s="448"/>
      <c r="AE497" s="464"/>
      <c r="AH497" s="448"/>
      <c r="AI497" s="464"/>
      <c r="AL497" s="448"/>
      <c r="AP497" s="448"/>
    </row>
    <row r="498" spans="1:42" ht="13">
      <c r="A498" s="462"/>
      <c r="B498" s="462"/>
      <c r="N498" s="448"/>
      <c r="O498" s="464"/>
      <c r="R498" s="448"/>
      <c r="S498" s="464"/>
      <c r="V498" s="448"/>
      <c r="W498" s="464"/>
      <c r="Z498" s="448"/>
      <c r="AA498" s="464"/>
      <c r="AD498" s="448"/>
      <c r="AE498" s="464"/>
      <c r="AH498" s="448"/>
      <c r="AI498" s="464"/>
      <c r="AL498" s="448"/>
      <c r="AP498" s="448"/>
    </row>
    <row r="499" spans="1:42" ht="13">
      <c r="A499" s="462"/>
      <c r="B499" s="462"/>
      <c r="N499" s="448"/>
      <c r="O499" s="464"/>
      <c r="R499" s="448"/>
      <c r="S499" s="464"/>
      <c r="V499" s="448"/>
      <c r="W499" s="464"/>
      <c r="Z499" s="448"/>
      <c r="AA499" s="464"/>
      <c r="AD499" s="448"/>
      <c r="AE499" s="464"/>
      <c r="AH499" s="448"/>
      <c r="AI499" s="464"/>
      <c r="AL499" s="448"/>
      <c r="AP499" s="448"/>
    </row>
    <row r="500" spans="1:42" ht="13">
      <c r="A500" s="462"/>
      <c r="B500" s="462"/>
      <c r="N500" s="448"/>
      <c r="O500" s="464"/>
      <c r="R500" s="448"/>
      <c r="S500" s="464"/>
      <c r="V500" s="448"/>
      <c r="W500" s="464"/>
      <c r="Z500" s="448"/>
      <c r="AA500" s="464"/>
      <c r="AD500" s="448"/>
      <c r="AE500" s="464"/>
      <c r="AH500" s="448"/>
      <c r="AI500" s="464"/>
      <c r="AL500" s="448"/>
      <c r="AP500" s="448"/>
    </row>
    <row r="501" spans="1:42" ht="13">
      <c r="A501" s="462"/>
      <c r="B501" s="462"/>
      <c r="N501" s="448"/>
      <c r="O501" s="464"/>
      <c r="R501" s="448"/>
      <c r="S501" s="464"/>
      <c r="V501" s="448"/>
      <c r="W501" s="464"/>
      <c r="Z501" s="448"/>
      <c r="AA501" s="464"/>
      <c r="AD501" s="448"/>
      <c r="AE501" s="464"/>
      <c r="AH501" s="448"/>
      <c r="AI501" s="464"/>
      <c r="AL501" s="448"/>
      <c r="AP501" s="448"/>
    </row>
    <row r="502" spans="1:42" ht="13">
      <c r="A502" s="462"/>
      <c r="B502" s="462"/>
      <c r="N502" s="448"/>
      <c r="O502" s="464"/>
      <c r="R502" s="448"/>
      <c r="S502" s="464"/>
      <c r="V502" s="448"/>
      <c r="W502" s="464"/>
      <c r="Z502" s="448"/>
      <c r="AA502" s="464"/>
      <c r="AD502" s="448"/>
      <c r="AE502" s="464"/>
      <c r="AH502" s="448"/>
      <c r="AI502" s="464"/>
      <c r="AL502" s="448"/>
      <c r="AP502" s="448"/>
    </row>
    <row r="503" spans="1:42" ht="13">
      <c r="A503" s="462"/>
      <c r="B503" s="462"/>
      <c r="N503" s="448"/>
      <c r="O503" s="464"/>
      <c r="R503" s="448"/>
      <c r="S503" s="464"/>
      <c r="V503" s="448"/>
      <c r="W503" s="464"/>
      <c r="Z503" s="448"/>
      <c r="AA503" s="464"/>
      <c r="AD503" s="448"/>
      <c r="AE503" s="464"/>
      <c r="AH503" s="448"/>
      <c r="AI503" s="464"/>
      <c r="AL503" s="448"/>
      <c r="AP503" s="448"/>
    </row>
    <row r="504" spans="1:42" ht="13">
      <c r="A504" s="462"/>
      <c r="B504" s="462"/>
      <c r="N504" s="448"/>
      <c r="O504" s="464"/>
      <c r="R504" s="448"/>
      <c r="S504" s="464"/>
      <c r="V504" s="448"/>
      <c r="W504" s="464"/>
      <c r="Z504" s="448"/>
      <c r="AA504" s="464"/>
      <c r="AD504" s="448"/>
      <c r="AE504" s="464"/>
      <c r="AH504" s="448"/>
      <c r="AI504" s="464"/>
      <c r="AL504" s="448"/>
      <c r="AP504" s="448"/>
    </row>
    <row r="505" spans="1:42" ht="13">
      <c r="A505" s="462"/>
      <c r="B505" s="462"/>
      <c r="N505" s="448"/>
      <c r="O505" s="464"/>
      <c r="R505" s="448"/>
      <c r="S505" s="464"/>
      <c r="V505" s="448"/>
      <c r="W505" s="464"/>
      <c r="Z505" s="448"/>
      <c r="AA505" s="464"/>
      <c r="AD505" s="448"/>
      <c r="AE505" s="464"/>
      <c r="AH505" s="448"/>
      <c r="AI505" s="464"/>
      <c r="AL505" s="448"/>
      <c r="AP505" s="448"/>
    </row>
    <row r="506" spans="1:42" ht="13">
      <c r="A506" s="462"/>
      <c r="B506" s="462"/>
      <c r="N506" s="448"/>
      <c r="O506" s="464"/>
      <c r="R506" s="448"/>
      <c r="S506" s="464"/>
      <c r="V506" s="448"/>
      <c r="W506" s="464"/>
      <c r="Z506" s="448"/>
      <c r="AA506" s="464"/>
      <c r="AD506" s="448"/>
      <c r="AE506" s="464"/>
      <c r="AH506" s="448"/>
      <c r="AI506" s="464"/>
      <c r="AL506" s="448"/>
      <c r="AP506" s="448"/>
    </row>
    <row r="507" spans="1:42" ht="13">
      <c r="A507" s="462"/>
      <c r="B507" s="462"/>
      <c r="N507" s="448"/>
      <c r="O507" s="464"/>
      <c r="R507" s="448"/>
      <c r="S507" s="464"/>
      <c r="V507" s="448"/>
      <c r="W507" s="464"/>
      <c r="Z507" s="448"/>
      <c r="AA507" s="464"/>
      <c r="AD507" s="448"/>
      <c r="AE507" s="464"/>
      <c r="AH507" s="448"/>
      <c r="AI507" s="464"/>
      <c r="AL507" s="448"/>
      <c r="AP507" s="448"/>
    </row>
    <row r="508" spans="1:42" ht="13">
      <c r="A508" s="462"/>
      <c r="B508" s="462"/>
      <c r="N508" s="448"/>
      <c r="O508" s="464"/>
      <c r="R508" s="448"/>
      <c r="S508" s="464"/>
      <c r="V508" s="448"/>
      <c r="W508" s="464"/>
      <c r="Z508" s="448"/>
      <c r="AA508" s="464"/>
      <c r="AD508" s="448"/>
      <c r="AE508" s="464"/>
      <c r="AH508" s="448"/>
      <c r="AI508" s="464"/>
      <c r="AL508" s="448"/>
      <c r="AP508" s="448"/>
    </row>
    <row r="509" spans="1:42" ht="13">
      <c r="A509" s="462"/>
      <c r="B509" s="462"/>
      <c r="N509" s="448"/>
      <c r="O509" s="464"/>
      <c r="R509" s="448"/>
      <c r="S509" s="464"/>
      <c r="V509" s="448"/>
      <c r="W509" s="464"/>
      <c r="Z509" s="448"/>
      <c r="AA509" s="464"/>
      <c r="AD509" s="448"/>
      <c r="AE509" s="464"/>
      <c r="AH509" s="448"/>
      <c r="AI509" s="464"/>
      <c r="AL509" s="448"/>
      <c r="AP509" s="448"/>
    </row>
    <row r="510" spans="1:42" ht="13">
      <c r="A510" s="462"/>
      <c r="B510" s="462"/>
      <c r="N510" s="448"/>
      <c r="O510" s="464"/>
      <c r="R510" s="448"/>
      <c r="S510" s="464"/>
      <c r="V510" s="448"/>
      <c r="W510" s="464"/>
      <c r="Z510" s="448"/>
      <c r="AA510" s="464"/>
      <c r="AD510" s="448"/>
      <c r="AE510" s="464"/>
      <c r="AH510" s="448"/>
      <c r="AI510" s="464"/>
      <c r="AL510" s="448"/>
      <c r="AP510" s="448"/>
    </row>
    <row r="511" spans="1:42" ht="13">
      <c r="A511" s="462"/>
      <c r="B511" s="462"/>
      <c r="N511" s="448"/>
      <c r="O511" s="464"/>
      <c r="R511" s="448"/>
      <c r="S511" s="464"/>
      <c r="V511" s="448"/>
      <c r="W511" s="464"/>
      <c r="Z511" s="448"/>
      <c r="AA511" s="464"/>
      <c r="AD511" s="448"/>
      <c r="AE511" s="464"/>
      <c r="AH511" s="448"/>
      <c r="AI511" s="464"/>
      <c r="AL511" s="448"/>
      <c r="AP511" s="448"/>
    </row>
    <row r="512" spans="1:42" ht="13">
      <c r="A512" s="462"/>
      <c r="B512" s="462"/>
      <c r="N512" s="448"/>
      <c r="O512" s="464"/>
      <c r="R512" s="448"/>
      <c r="S512" s="464"/>
      <c r="V512" s="448"/>
      <c r="W512" s="464"/>
      <c r="Z512" s="448"/>
      <c r="AA512" s="464"/>
      <c r="AD512" s="448"/>
      <c r="AE512" s="464"/>
      <c r="AH512" s="448"/>
      <c r="AI512" s="464"/>
      <c r="AL512" s="448"/>
      <c r="AP512" s="448"/>
    </row>
    <row r="513" spans="1:42" ht="13">
      <c r="A513" s="462"/>
      <c r="B513" s="462"/>
      <c r="N513" s="448"/>
      <c r="O513" s="464"/>
      <c r="R513" s="448"/>
      <c r="S513" s="464"/>
      <c r="V513" s="448"/>
      <c r="W513" s="464"/>
      <c r="Z513" s="448"/>
      <c r="AA513" s="464"/>
      <c r="AD513" s="448"/>
      <c r="AE513" s="464"/>
      <c r="AH513" s="448"/>
      <c r="AI513" s="464"/>
      <c r="AL513" s="448"/>
      <c r="AP513" s="448"/>
    </row>
    <row r="514" spans="1:42" ht="13">
      <c r="A514" s="462"/>
      <c r="B514" s="462"/>
      <c r="N514" s="448"/>
      <c r="O514" s="464"/>
      <c r="R514" s="448"/>
      <c r="S514" s="464"/>
      <c r="V514" s="448"/>
      <c r="W514" s="464"/>
      <c r="Z514" s="448"/>
      <c r="AA514" s="464"/>
      <c r="AD514" s="448"/>
      <c r="AE514" s="464"/>
      <c r="AH514" s="448"/>
      <c r="AI514" s="464"/>
      <c r="AL514" s="448"/>
      <c r="AP514" s="448"/>
    </row>
    <row r="515" spans="1:42" ht="13">
      <c r="A515" s="462"/>
      <c r="B515" s="462"/>
      <c r="N515" s="448"/>
      <c r="O515" s="464"/>
      <c r="R515" s="448"/>
      <c r="S515" s="464"/>
      <c r="V515" s="448"/>
      <c r="W515" s="464"/>
      <c r="Z515" s="448"/>
      <c r="AA515" s="464"/>
      <c r="AD515" s="448"/>
      <c r="AE515" s="464"/>
      <c r="AH515" s="448"/>
      <c r="AI515" s="464"/>
      <c r="AL515" s="448"/>
      <c r="AP515" s="448"/>
    </row>
    <row r="516" spans="1:42" ht="13">
      <c r="A516" s="462"/>
      <c r="B516" s="462"/>
      <c r="N516" s="448"/>
      <c r="O516" s="464"/>
      <c r="R516" s="448"/>
      <c r="S516" s="464"/>
      <c r="V516" s="448"/>
      <c r="W516" s="464"/>
      <c r="Z516" s="448"/>
      <c r="AA516" s="464"/>
      <c r="AD516" s="448"/>
      <c r="AE516" s="464"/>
      <c r="AH516" s="448"/>
      <c r="AI516" s="464"/>
      <c r="AL516" s="448"/>
      <c r="AP516" s="448"/>
    </row>
    <row r="517" spans="1:42" ht="13">
      <c r="A517" s="462"/>
      <c r="B517" s="462"/>
      <c r="N517" s="448"/>
      <c r="O517" s="464"/>
      <c r="R517" s="448"/>
      <c r="S517" s="464"/>
      <c r="V517" s="448"/>
      <c r="W517" s="464"/>
      <c r="Z517" s="448"/>
      <c r="AA517" s="464"/>
      <c r="AD517" s="448"/>
      <c r="AE517" s="464"/>
      <c r="AH517" s="448"/>
      <c r="AI517" s="464"/>
      <c r="AL517" s="448"/>
      <c r="AP517" s="448"/>
    </row>
    <row r="518" spans="1:42" ht="13">
      <c r="A518" s="462"/>
      <c r="B518" s="462"/>
      <c r="N518" s="448"/>
      <c r="O518" s="464"/>
      <c r="R518" s="448"/>
      <c r="S518" s="464"/>
      <c r="V518" s="448"/>
      <c r="W518" s="464"/>
      <c r="Z518" s="448"/>
      <c r="AA518" s="464"/>
      <c r="AD518" s="448"/>
      <c r="AE518" s="464"/>
      <c r="AH518" s="448"/>
      <c r="AI518" s="464"/>
      <c r="AL518" s="448"/>
      <c r="AP518" s="448"/>
    </row>
    <row r="519" spans="1:42" ht="13">
      <c r="A519" s="462"/>
      <c r="B519" s="462"/>
      <c r="N519" s="448"/>
      <c r="O519" s="464"/>
      <c r="R519" s="448"/>
      <c r="S519" s="464"/>
      <c r="V519" s="448"/>
      <c r="W519" s="464"/>
      <c r="Z519" s="448"/>
      <c r="AA519" s="464"/>
      <c r="AD519" s="448"/>
      <c r="AE519" s="464"/>
      <c r="AH519" s="448"/>
      <c r="AI519" s="464"/>
      <c r="AL519" s="448"/>
      <c r="AP519" s="448"/>
    </row>
    <row r="520" spans="1:42" ht="13">
      <c r="A520" s="462"/>
      <c r="B520" s="462"/>
      <c r="N520" s="448"/>
      <c r="O520" s="464"/>
      <c r="R520" s="448"/>
      <c r="S520" s="464"/>
      <c r="V520" s="448"/>
      <c r="W520" s="464"/>
      <c r="Z520" s="448"/>
      <c r="AA520" s="464"/>
      <c r="AD520" s="448"/>
      <c r="AE520" s="464"/>
      <c r="AH520" s="448"/>
      <c r="AI520" s="464"/>
      <c r="AL520" s="448"/>
      <c r="AP520" s="448"/>
    </row>
    <row r="521" spans="1:42" ht="13">
      <c r="A521" s="462"/>
      <c r="B521" s="462"/>
      <c r="N521" s="448"/>
      <c r="O521" s="464"/>
      <c r="R521" s="448"/>
      <c r="S521" s="464"/>
      <c r="V521" s="448"/>
      <c r="W521" s="464"/>
      <c r="Z521" s="448"/>
      <c r="AA521" s="464"/>
      <c r="AD521" s="448"/>
      <c r="AE521" s="464"/>
      <c r="AH521" s="448"/>
      <c r="AI521" s="464"/>
      <c r="AL521" s="448"/>
      <c r="AP521" s="448"/>
    </row>
    <row r="522" spans="1:42" ht="13">
      <c r="A522" s="462"/>
      <c r="B522" s="462"/>
      <c r="N522" s="448"/>
      <c r="O522" s="464"/>
      <c r="R522" s="448"/>
      <c r="S522" s="464"/>
      <c r="V522" s="448"/>
      <c r="W522" s="464"/>
      <c r="Z522" s="448"/>
      <c r="AA522" s="464"/>
      <c r="AD522" s="448"/>
      <c r="AE522" s="464"/>
      <c r="AH522" s="448"/>
      <c r="AI522" s="464"/>
      <c r="AL522" s="448"/>
      <c r="AP522" s="448"/>
    </row>
    <row r="523" spans="1:42" ht="13">
      <c r="A523" s="462"/>
      <c r="B523" s="462"/>
      <c r="N523" s="448"/>
      <c r="O523" s="464"/>
      <c r="R523" s="448"/>
      <c r="S523" s="464"/>
      <c r="V523" s="448"/>
      <c r="W523" s="464"/>
      <c r="Z523" s="448"/>
      <c r="AA523" s="464"/>
      <c r="AD523" s="448"/>
      <c r="AE523" s="464"/>
      <c r="AH523" s="448"/>
      <c r="AI523" s="464"/>
      <c r="AL523" s="448"/>
      <c r="AP523" s="448"/>
    </row>
    <row r="524" spans="1:42" ht="13">
      <c r="A524" s="462"/>
      <c r="B524" s="462"/>
      <c r="N524" s="448"/>
      <c r="O524" s="464"/>
      <c r="R524" s="448"/>
      <c r="S524" s="464"/>
      <c r="V524" s="448"/>
      <c r="W524" s="464"/>
      <c r="Z524" s="448"/>
      <c r="AA524" s="464"/>
      <c r="AD524" s="448"/>
      <c r="AE524" s="464"/>
      <c r="AH524" s="448"/>
      <c r="AI524" s="464"/>
      <c r="AL524" s="448"/>
      <c r="AP524" s="448"/>
    </row>
    <row r="525" spans="1:42" ht="13">
      <c r="A525" s="462"/>
      <c r="B525" s="462"/>
      <c r="N525" s="448"/>
      <c r="O525" s="464"/>
      <c r="R525" s="448"/>
      <c r="S525" s="464"/>
      <c r="V525" s="448"/>
      <c r="W525" s="464"/>
      <c r="Z525" s="448"/>
      <c r="AA525" s="464"/>
      <c r="AD525" s="448"/>
      <c r="AE525" s="464"/>
      <c r="AH525" s="448"/>
      <c r="AI525" s="464"/>
      <c r="AL525" s="448"/>
      <c r="AP525" s="448"/>
    </row>
    <row r="526" spans="1:42" ht="13">
      <c r="A526" s="462"/>
      <c r="B526" s="462"/>
      <c r="N526" s="448"/>
      <c r="O526" s="464"/>
      <c r="R526" s="448"/>
      <c r="S526" s="464"/>
      <c r="V526" s="448"/>
      <c r="W526" s="464"/>
      <c r="Z526" s="448"/>
      <c r="AA526" s="464"/>
      <c r="AD526" s="448"/>
      <c r="AE526" s="464"/>
      <c r="AH526" s="448"/>
      <c r="AI526" s="464"/>
      <c r="AL526" s="448"/>
      <c r="AP526" s="448"/>
    </row>
    <row r="527" spans="1:42" ht="13">
      <c r="A527" s="462"/>
      <c r="B527" s="462"/>
      <c r="N527" s="448"/>
      <c r="O527" s="464"/>
      <c r="R527" s="448"/>
      <c r="S527" s="464"/>
      <c r="V527" s="448"/>
      <c r="W527" s="464"/>
      <c r="Z527" s="448"/>
      <c r="AA527" s="464"/>
      <c r="AD527" s="448"/>
      <c r="AE527" s="464"/>
      <c r="AH527" s="448"/>
      <c r="AI527" s="464"/>
      <c r="AL527" s="448"/>
      <c r="AP527" s="448"/>
    </row>
    <row r="528" spans="1:42" ht="13">
      <c r="A528" s="462"/>
      <c r="B528" s="462"/>
      <c r="N528" s="448"/>
      <c r="O528" s="464"/>
      <c r="R528" s="448"/>
      <c r="S528" s="464"/>
      <c r="V528" s="448"/>
      <c r="W528" s="464"/>
      <c r="Z528" s="448"/>
      <c r="AA528" s="464"/>
      <c r="AD528" s="448"/>
      <c r="AE528" s="464"/>
      <c r="AH528" s="448"/>
      <c r="AI528" s="464"/>
      <c r="AL528" s="448"/>
      <c r="AP528" s="448"/>
    </row>
    <row r="529" spans="1:42" ht="13">
      <c r="A529" s="462"/>
      <c r="B529" s="462"/>
      <c r="N529" s="448"/>
      <c r="O529" s="464"/>
      <c r="R529" s="448"/>
      <c r="S529" s="464"/>
      <c r="V529" s="448"/>
      <c r="W529" s="464"/>
      <c r="Z529" s="448"/>
      <c r="AA529" s="464"/>
      <c r="AD529" s="448"/>
      <c r="AE529" s="464"/>
      <c r="AH529" s="448"/>
      <c r="AI529" s="464"/>
      <c r="AL529" s="448"/>
      <c r="AP529" s="448"/>
    </row>
    <row r="530" spans="1:42" ht="13">
      <c r="A530" s="462"/>
      <c r="B530" s="462"/>
      <c r="N530" s="448"/>
      <c r="O530" s="464"/>
      <c r="R530" s="448"/>
      <c r="S530" s="464"/>
      <c r="V530" s="448"/>
      <c r="W530" s="464"/>
      <c r="Z530" s="448"/>
      <c r="AA530" s="464"/>
      <c r="AD530" s="448"/>
      <c r="AE530" s="464"/>
      <c r="AH530" s="448"/>
      <c r="AI530" s="464"/>
      <c r="AL530" s="448"/>
      <c r="AP530" s="448"/>
    </row>
    <row r="531" spans="1:42" ht="13">
      <c r="A531" s="462"/>
      <c r="B531" s="462"/>
      <c r="N531" s="448"/>
      <c r="O531" s="464"/>
      <c r="R531" s="448"/>
      <c r="S531" s="464"/>
      <c r="V531" s="448"/>
      <c r="W531" s="464"/>
      <c r="Z531" s="448"/>
      <c r="AA531" s="464"/>
      <c r="AD531" s="448"/>
      <c r="AE531" s="464"/>
      <c r="AH531" s="448"/>
      <c r="AI531" s="464"/>
      <c r="AL531" s="448"/>
      <c r="AP531" s="448"/>
    </row>
    <row r="532" spans="1:42" ht="13">
      <c r="A532" s="462"/>
      <c r="B532" s="462"/>
      <c r="N532" s="448"/>
      <c r="O532" s="464"/>
      <c r="R532" s="448"/>
      <c r="S532" s="464"/>
      <c r="V532" s="448"/>
      <c r="W532" s="464"/>
      <c r="Z532" s="448"/>
      <c r="AA532" s="464"/>
      <c r="AD532" s="448"/>
      <c r="AE532" s="464"/>
      <c r="AH532" s="448"/>
      <c r="AI532" s="464"/>
      <c r="AL532" s="448"/>
      <c r="AP532" s="448"/>
    </row>
    <row r="533" spans="1:42" ht="13">
      <c r="A533" s="462"/>
      <c r="B533" s="462"/>
      <c r="N533" s="448"/>
      <c r="O533" s="464"/>
      <c r="R533" s="448"/>
      <c r="S533" s="464"/>
      <c r="V533" s="448"/>
      <c r="W533" s="464"/>
      <c r="Z533" s="448"/>
      <c r="AA533" s="464"/>
      <c r="AD533" s="448"/>
      <c r="AE533" s="464"/>
      <c r="AH533" s="448"/>
      <c r="AI533" s="464"/>
      <c r="AL533" s="448"/>
      <c r="AP533" s="448"/>
    </row>
    <row r="534" spans="1:42" ht="13">
      <c r="A534" s="462"/>
      <c r="B534" s="462"/>
      <c r="N534" s="448"/>
      <c r="O534" s="464"/>
      <c r="R534" s="448"/>
      <c r="S534" s="464"/>
      <c r="V534" s="448"/>
      <c r="W534" s="464"/>
      <c r="Z534" s="448"/>
      <c r="AA534" s="464"/>
      <c r="AD534" s="448"/>
      <c r="AE534" s="464"/>
      <c r="AH534" s="448"/>
      <c r="AI534" s="464"/>
      <c r="AL534" s="448"/>
      <c r="AP534" s="448"/>
    </row>
    <row r="535" spans="1:42" ht="13">
      <c r="A535" s="462"/>
      <c r="B535" s="462"/>
      <c r="N535" s="448"/>
      <c r="O535" s="464"/>
      <c r="R535" s="448"/>
      <c r="S535" s="464"/>
      <c r="V535" s="448"/>
      <c r="W535" s="464"/>
      <c r="Z535" s="448"/>
      <c r="AA535" s="464"/>
      <c r="AD535" s="448"/>
      <c r="AE535" s="464"/>
      <c r="AH535" s="448"/>
      <c r="AI535" s="464"/>
      <c r="AL535" s="448"/>
      <c r="AP535" s="448"/>
    </row>
    <row r="536" spans="1:42" ht="13">
      <c r="A536" s="462"/>
      <c r="B536" s="462"/>
      <c r="N536" s="448"/>
      <c r="O536" s="464"/>
      <c r="R536" s="448"/>
      <c r="S536" s="464"/>
      <c r="V536" s="448"/>
      <c r="W536" s="464"/>
      <c r="Z536" s="448"/>
      <c r="AA536" s="464"/>
      <c r="AD536" s="448"/>
      <c r="AE536" s="464"/>
      <c r="AH536" s="448"/>
      <c r="AI536" s="464"/>
      <c r="AL536" s="448"/>
      <c r="AP536" s="448"/>
    </row>
    <row r="537" spans="1:42" ht="13">
      <c r="A537" s="462"/>
      <c r="B537" s="462"/>
      <c r="N537" s="448"/>
      <c r="O537" s="464"/>
      <c r="R537" s="448"/>
      <c r="S537" s="464"/>
      <c r="V537" s="448"/>
      <c r="W537" s="464"/>
      <c r="Z537" s="448"/>
      <c r="AA537" s="464"/>
      <c r="AD537" s="448"/>
      <c r="AE537" s="464"/>
      <c r="AH537" s="448"/>
      <c r="AI537" s="464"/>
      <c r="AL537" s="448"/>
      <c r="AP537" s="448"/>
    </row>
    <row r="538" spans="1:42" ht="13">
      <c r="A538" s="462"/>
      <c r="B538" s="462"/>
      <c r="N538" s="448"/>
      <c r="O538" s="464"/>
      <c r="R538" s="448"/>
      <c r="S538" s="464"/>
      <c r="V538" s="448"/>
      <c r="W538" s="464"/>
      <c r="Z538" s="448"/>
      <c r="AA538" s="464"/>
      <c r="AD538" s="448"/>
      <c r="AE538" s="464"/>
      <c r="AH538" s="448"/>
      <c r="AI538" s="464"/>
      <c r="AL538" s="448"/>
      <c r="AP538" s="448"/>
    </row>
    <row r="539" spans="1:42" ht="13">
      <c r="A539" s="462"/>
      <c r="B539" s="462"/>
      <c r="N539" s="448"/>
      <c r="O539" s="464"/>
      <c r="R539" s="448"/>
      <c r="S539" s="464"/>
      <c r="V539" s="448"/>
      <c r="W539" s="464"/>
      <c r="Z539" s="448"/>
      <c r="AA539" s="464"/>
      <c r="AD539" s="448"/>
      <c r="AE539" s="464"/>
      <c r="AH539" s="448"/>
      <c r="AI539" s="464"/>
      <c r="AL539" s="448"/>
      <c r="AP539" s="448"/>
    </row>
    <row r="540" spans="1:42" ht="13">
      <c r="A540" s="462"/>
      <c r="B540" s="462"/>
      <c r="N540" s="448"/>
      <c r="O540" s="464"/>
      <c r="R540" s="448"/>
      <c r="S540" s="464"/>
      <c r="V540" s="448"/>
      <c r="W540" s="464"/>
      <c r="Z540" s="448"/>
      <c r="AA540" s="464"/>
      <c r="AD540" s="448"/>
      <c r="AE540" s="464"/>
      <c r="AH540" s="448"/>
      <c r="AI540" s="464"/>
      <c r="AL540" s="448"/>
      <c r="AP540" s="448"/>
    </row>
    <row r="541" spans="1:42" ht="13">
      <c r="A541" s="462"/>
      <c r="B541" s="462"/>
      <c r="N541" s="448"/>
      <c r="O541" s="464"/>
      <c r="R541" s="448"/>
      <c r="S541" s="464"/>
      <c r="V541" s="448"/>
      <c r="W541" s="464"/>
      <c r="Z541" s="448"/>
      <c r="AA541" s="464"/>
      <c r="AD541" s="448"/>
      <c r="AE541" s="464"/>
      <c r="AH541" s="448"/>
      <c r="AI541" s="464"/>
      <c r="AL541" s="448"/>
      <c r="AP541" s="448"/>
    </row>
    <row r="542" spans="1:42" ht="13">
      <c r="A542" s="462"/>
      <c r="B542" s="462"/>
      <c r="N542" s="448"/>
      <c r="O542" s="464"/>
      <c r="R542" s="448"/>
      <c r="S542" s="464"/>
      <c r="V542" s="448"/>
      <c r="W542" s="464"/>
      <c r="Z542" s="448"/>
      <c r="AA542" s="464"/>
      <c r="AD542" s="448"/>
      <c r="AE542" s="464"/>
      <c r="AH542" s="448"/>
      <c r="AI542" s="464"/>
      <c r="AL542" s="448"/>
      <c r="AP542" s="448"/>
    </row>
    <row r="543" spans="1:42" ht="13">
      <c r="A543" s="462"/>
      <c r="B543" s="462"/>
      <c r="N543" s="448"/>
      <c r="O543" s="464"/>
      <c r="R543" s="448"/>
      <c r="S543" s="464"/>
      <c r="V543" s="448"/>
      <c r="W543" s="464"/>
      <c r="Z543" s="448"/>
      <c r="AA543" s="464"/>
      <c r="AD543" s="448"/>
      <c r="AE543" s="464"/>
      <c r="AH543" s="448"/>
      <c r="AI543" s="464"/>
      <c r="AL543" s="448"/>
      <c r="AP543" s="448"/>
    </row>
    <row r="544" spans="1:42" ht="13">
      <c r="A544" s="462"/>
      <c r="B544" s="462"/>
      <c r="N544" s="448"/>
      <c r="O544" s="464"/>
      <c r="R544" s="448"/>
      <c r="S544" s="464"/>
      <c r="V544" s="448"/>
      <c r="W544" s="464"/>
      <c r="Z544" s="448"/>
      <c r="AA544" s="464"/>
      <c r="AD544" s="448"/>
      <c r="AE544" s="464"/>
      <c r="AH544" s="448"/>
      <c r="AI544" s="464"/>
      <c r="AL544" s="448"/>
      <c r="AP544" s="448"/>
    </row>
    <row r="545" spans="1:42" ht="13">
      <c r="A545" s="462"/>
      <c r="B545" s="462"/>
      <c r="N545" s="448"/>
      <c r="O545" s="464"/>
      <c r="R545" s="448"/>
      <c r="S545" s="464"/>
      <c r="V545" s="448"/>
      <c r="W545" s="464"/>
      <c r="Z545" s="448"/>
      <c r="AA545" s="464"/>
      <c r="AD545" s="448"/>
      <c r="AE545" s="464"/>
      <c r="AH545" s="448"/>
      <c r="AI545" s="464"/>
      <c r="AL545" s="448"/>
      <c r="AP545" s="448"/>
    </row>
    <row r="546" spans="1:42" ht="13">
      <c r="A546" s="462"/>
      <c r="B546" s="462"/>
      <c r="N546" s="448"/>
      <c r="O546" s="464"/>
      <c r="R546" s="448"/>
      <c r="S546" s="464"/>
      <c r="V546" s="448"/>
      <c r="W546" s="464"/>
      <c r="Z546" s="448"/>
      <c r="AA546" s="464"/>
      <c r="AD546" s="448"/>
      <c r="AE546" s="464"/>
      <c r="AH546" s="448"/>
      <c r="AI546" s="464"/>
      <c r="AL546" s="448"/>
      <c r="AP546" s="448"/>
    </row>
    <row r="547" spans="1:42" ht="13">
      <c r="A547" s="462"/>
      <c r="B547" s="462"/>
      <c r="N547" s="448"/>
      <c r="O547" s="464"/>
      <c r="R547" s="448"/>
      <c r="S547" s="464"/>
      <c r="V547" s="448"/>
      <c r="W547" s="464"/>
      <c r="Z547" s="448"/>
      <c r="AA547" s="464"/>
      <c r="AD547" s="448"/>
      <c r="AE547" s="464"/>
      <c r="AH547" s="448"/>
      <c r="AI547" s="464"/>
      <c r="AL547" s="448"/>
      <c r="AP547" s="448"/>
    </row>
    <row r="548" spans="1:42" ht="13">
      <c r="A548" s="462"/>
      <c r="B548" s="462"/>
      <c r="N548" s="448"/>
      <c r="O548" s="464"/>
      <c r="R548" s="448"/>
      <c r="S548" s="464"/>
      <c r="V548" s="448"/>
      <c r="W548" s="464"/>
      <c r="Z548" s="448"/>
      <c r="AA548" s="464"/>
      <c r="AD548" s="448"/>
      <c r="AE548" s="464"/>
      <c r="AH548" s="448"/>
      <c r="AI548" s="464"/>
      <c r="AL548" s="448"/>
      <c r="AP548" s="448"/>
    </row>
    <row r="549" spans="1:42" ht="13">
      <c r="A549" s="462"/>
      <c r="B549" s="462"/>
      <c r="N549" s="448"/>
      <c r="O549" s="464"/>
      <c r="R549" s="448"/>
      <c r="S549" s="464"/>
      <c r="V549" s="448"/>
      <c r="W549" s="464"/>
      <c r="Z549" s="448"/>
      <c r="AA549" s="464"/>
      <c r="AD549" s="448"/>
      <c r="AE549" s="464"/>
      <c r="AH549" s="448"/>
      <c r="AI549" s="464"/>
      <c r="AL549" s="448"/>
      <c r="AP549" s="448"/>
    </row>
    <row r="550" spans="1:42" ht="13">
      <c r="A550" s="462"/>
      <c r="B550" s="462"/>
      <c r="N550" s="448"/>
      <c r="O550" s="464"/>
      <c r="R550" s="448"/>
      <c r="S550" s="464"/>
      <c r="V550" s="448"/>
      <c r="W550" s="464"/>
      <c r="Z550" s="448"/>
      <c r="AA550" s="464"/>
      <c r="AD550" s="448"/>
      <c r="AE550" s="464"/>
      <c r="AH550" s="448"/>
      <c r="AI550" s="464"/>
      <c r="AL550" s="448"/>
      <c r="AP550" s="448"/>
    </row>
    <row r="551" spans="1:42" ht="13">
      <c r="A551" s="462"/>
      <c r="B551" s="462"/>
      <c r="N551" s="448"/>
      <c r="O551" s="464"/>
      <c r="R551" s="448"/>
      <c r="S551" s="464"/>
      <c r="V551" s="448"/>
      <c r="W551" s="464"/>
      <c r="Z551" s="448"/>
      <c r="AA551" s="464"/>
      <c r="AD551" s="448"/>
      <c r="AE551" s="464"/>
      <c r="AH551" s="448"/>
      <c r="AI551" s="464"/>
      <c r="AL551" s="448"/>
      <c r="AP551" s="448"/>
    </row>
    <row r="552" spans="1:42" ht="13">
      <c r="A552" s="462"/>
      <c r="B552" s="462"/>
      <c r="N552" s="448"/>
      <c r="O552" s="464"/>
      <c r="R552" s="448"/>
      <c r="S552" s="464"/>
      <c r="V552" s="448"/>
      <c r="W552" s="464"/>
      <c r="Z552" s="448"/>
      <c r="AA552" s="464"/>
      <c r="AD552" s="448"/>
      <c r="AE552" s="464"/>
      <c r="AH552" s="448"/>
      <c r="AI552" s="464"/>
      <c r="AL552" s="448"/>
      <c r="AP552" s="448"/>
    </row>
    <row r="553" spans="1:42" ht="13">
      <c r="A553" s="462"/>
      <c r="B553" s="462"/>
      <c r="N553" s="448"/>
      <c r="O553" s="464"/>
      <c r="R553" s="448"/>
      <c r="S553" s="464"/>
      <c r="V553" s="448"/>
      <c r="W553" s="464"/>
      <c r="Z553" s="448"/>
      <c r="AA553" s="464"/>
      <c r="AD553" s="448"/>
      <c r="AE553" s="464"/>
      <c r="AH553" s="448"/>
      <c r="AI553" s="464"/>
      <c r="AL553" s="448"/>
      <c r="AP553" s="448"/>
    </row>
    <row r="554" spans="1:42" ht="13">
      <c r="A554" s="462"/>
      <c r="B554" s="462"/>
      <c r="N554" s="448"/>
      <c r="O554" s="464"/>
      <c r="R554" s="448"/>
      <c r="S554" s="464"/>
      <c r="V554" s="448"/>
      <c r="W554" s="464"/>
      <c r="Z554" s="448"/>
      <c r="AA554" s="464"/>
      <c r="AD554" s="448"/>
      <c r="AE554" s="464"/>
      <c r="AH554" s="448"/>
      <c r="AI554" s="464"/>
      <c r="AL554" s="448"/>
      <c r="AP554" s="448"/>
    </row>
    <row r="555" spans="1:42" ht="13">
      <c r="A555" s="462"/>
      <c r="B555" s="462"/>
      <c r="N555" s="448"/>
      <c r="O555" s="464"/>
      <c r="R555" s="448"/>
      <c r="S555" s="464"/>
      <c r="V555" s="448"/>
      <c r="W555" s="464"/>
      <c r="Z555" s="448"/>
      <c r="AA555" s="464"/>
      <c r="AD555" s="448"/>
      <c r="AE555" s="464"/>
      <c r="AH555" s="448"/>
      <c r="AI555" s="464"/>
      <c r="AL555" s="448"/>
      <c r="AP555" s="448"/>
    </row>
    <row r="556" spans="1:42" ht="13">
      <c r="A556" s="462"/>
      <c r="B556" s="462"/>
      <c r="N556" s="448"/>
      <c r="O556" s="464"/>
      <c r="R556" s="448"/>
      <c r="S556" s="464"/>
      <c r="V556" s="448"/>
      <c r="W556" s="464"/>
      <c r="Z556" s="448"/>
      <c r="AA556" s="464"/>
      <c r="AD556" s="448"/>
      <c r="AE556" s="464"/>
      <c r="AH556" s="448"/>
      <c r="AI556" s="464"/>
      <c r="AL556" s="448"/>
      <c r="AP556" s="448"/>
    </row>
    <row r="557" spans="1:42" ht="13">
      <c r="A557" s="462"/>
      <c r="B557" s="462"/>
      <c r="N557" s="448"/>
      <c r="O557" s="464"/>
      <c r="R557" s="448"/>
      <c r="S557" s="464"/>
      <c r="V557" s="448"/>
      <c r="W557" s="464"/>
      <c r="Z557" s="448"/>
      <c r="AA557" s="464"/>
      <c r="AD557" s="448"/>
      <c r="AE557" s="464"/>
      <c r="AH557" s="448"/>
      <c r="AI557" s="464"/>
      <c r="AL557" s="448"/>
      <c r="AP557" s="448"/>
    </row>
    <row r="558" spans="1:42" ht="13">
      <c r="A558" s="462"/>
      <c r="B558" s="462"/>
      <c r="N558" s="448"/>
      <c r="O558" s="464"/>
      <c r="R558" s="448"/>
      <c r="S558" s="464"/>
      <c r="V558" s="448"/>
      <c r="W558" s="464"/>
      <c r="Z558" s="448"/>
      <c r="AA558" s="464"/>
      <c r="AD558" s="448"/>
      <c r="AE558" s="464"/>
      <c r="AH558" s="448"/>
      <c r="AI558" s="464"/>
      <c r="AL558" s="448"/>
      <c r="AP558" s="448"/>
    </row>
    <row r="559" spans="1:42" ht="13">
      <c r="A559" s="462"/>
      <c r="B559" s="462"/>
      <c r="N559" s="448"/>
      <c r="O559" s="464"/>
      <c r="R559" s="448"/>
      <c r="S559" s="464"/>
      <c r="V559" s="448"/>
      <c r="W559" s="464"/>
      <c r="Z559" s="448"/>
      <c r="AA559" s="464"/>
      <c r="AD559" s="448"/>
      <c r="AE559" s="464"/>
      <c r="AH559" s="448"/>
      <c r="AI559" s="464"/>
      <c r="AL559" s="448"/>
      <c r="AP559" s="448"/>
    </row>
    <row r="560" spans="1:42" ht="13">
      <c r="A560" s="462"/>
      <c r="B560" s="462"/>
      <c r="N560" s="448"/>
      <c r="O560" s="464"/>
      <c r="R560" s="448"/>
      <c r="S560" s="464"/>
      <c r="V560" s="448"/>
      <c r="W560" s="464"/>
      <c r="Z560" s="448"/>
      <c r="AA560" s="464"/>
      <c r="AD560" s="448"/>
      <c r="AE560" s="464"/>
      <c r="AH560" s="448"/>
      <c r="AI560" s="464"/>
      <c r="AL560" s="448"/>
      <c r="AP560" s="448"/>
    </row>
    <row r="561" spans="1:42" ht="13">
      <c r="A561" s="462"/>
      <c r="B561" s="462"/>
      <c r="N561" s="448"/>
      <c r="O561" s="464"/>
      <c r="R561" s="448"/>
      <c r="S561" s="464"/>
      <c r="V561" s="448"/>
      <c r="W561" s="464"/>
      <c r="Z561" s="448"/>
      <c r="AA561" s="464"/>
      <c r="AD561" s="448"/>
      <c r="AE561" s="464"/>
      <c r="AH561" s="448"/>
      <c r="AI561" s="464"/>
      <c r="AL561" s="448"/>
      <c r="AP561" s="448"/>
    </row>
    <row r="562" spans="1:42" ht="13">
      <c r="A562" s="462"/>
      <c r="B562" s="462"/>
      <c r="N562" s="448"/>
      <c r="O562" s="464"/>
      <c r="R562" s="448"/>
      <c r="S562" s="464"/>
      <c r="V562" s="448"/>
      <c r="W562" s="464"/>
      <c r="Z562" s="448"/>
      <c r="AA562" s="464"/>
      <c r="AD562" s="448"/>
      <c r="AE562" s="464"/>
      <c r="AH562" s="448"/>
      <c r="AI562" s="464"/>
      <c r="AL562" s="448"/>
      <c r="AP562" s="448"/>
    </row>
    <row r="563" spans="1:42" ht="13">
      <c r="A563" s="462"/>
      <c r="B563" s="462"/>
      <c r="N563" s="448"/>
      <c r="O563" s="464"/>
      <c r="R563" s="448"/>
      <c r="S563" s="464"/>
      <c r="V563" s="448"/>
      <c r="W563" s="464"/>
      <c r="Z563" s="448"/>
      <c r="AA563" s="464"/>
      <c r="AD563" s="448"/>
      <c r="AE563" s="464"/>
      <c r="AH563" s="448"/>
      <c r="AI563" s="464"/>
      <c r="AL563" s="448"/>
      <c r="AP563" s="448"/>
    </row>
    <row r="564" spans="1:42" ht="13">
      <c r="A564" s="462"/>
      <c r="B564" s="462"/>
      <c r="N564" s="448"/>
      <c r="O564" s="464"/>
      <c r="R564" s="448"/>
      <c r="S564" s="464"/>
      <c r="V564" s="448"/>
      <c r="W564" s="464"/>
      <c r="Z564" s="448"/>
      <c r="AA564" s="464"/>
      <c r="AD564" s="448"/>
      <c r="AE564" s="464"/>
      <c r="AH564" s="448"/>
      <c r="AI564" s="464"/>
      <c r="AL564" s="448"/>
      <c r="AP564" s="448"/>
    </row>
    <row r="565" spans="1:42" ht="13">
      <c r="A565" s="462"/>
      <c r="B565" s="462"/>
      <c r="N565" s="448"/>
      <c r="O565" s="464"/>
      <c r="R565" s="448"/>
      <c r="S565" s="464"/>
      <c r="V565" s="448"/>
      <c r="W565" s="464"/>
      <c r="Z565" s="448"/>
      <c r="AA565" s="464"/>
      <c r="AD565" s="448"/>
      <c r="AE565" s="464"/>
      <c r="AH565" s="448"/>
      <c r="AI565" s="464"/>
      <c r="AL565" s="448"/>
      <c r="AP565" s="448"/>
    </row>
    <row r="566" spans="1:42" ht="13">
      <c r="A566" s="462"/>
      <c r="B566" s="462"/>
      <c r="N566" s="448"/>
      <c r="O566" s="464"/>
      <c r="R566" s="448"/>
      <c r="S566" s="464"/>
      <c r="V566" s="448"/>
      <c r="W566" s="464"/>
      <c r="Z566" s="448"/>
      <c r="AA566" s="464"/>
      <c r="AD566" s="448"/>
      <c r="AE566" s="464"/>
      <c r="AH566" s="448"/>
      <c r="AI566" s="464"/>
      <c r="AL566" s="448"/>
      <c r="AP566" s="448"/>
    </row>
    <row r="567" spans="1:42" ht="13">
      <c r="A567" s="462"/>
      <c r="B567" s="462"/>
      <c r="N567" s="448"/>
      <c r="O567" s="464"/>
      <c r="R567" s="448"/>
      <c r="S567" s="464"/>
      <c r="V567" s="448"/>
      <c r="W567" s="464"/>
      <c r="Z567" s="448"/>
      <c r="AA567" s="464"/>
      <c r="AD567" s="448"/>
      <c r="AE567" s="464"/>
      <c r="AH567" s="448"/>
      <c r="AI567" s="464"/>
      <c r="AL567" s="448"/>
      <c r="AP567" s="448"/>
    </row>
    <row r="568" spans="1:42" ht="13">
      <c r="A568" s="462"/>
      <c r="B568" s="462"/>
      <c r="N568" s="448"/>
      <c r="O568" s="464"/>
      <c r="R568" s="448"/>
      <c r="S568" s="464"/>
      <c r="V568" s="448"/>
      <c r="W568" s="464"/>
      <c r="Z568" s="448"/>
      <c r="AA568" s="464"/>
      <c r="AD568" s="448"/>
      <c r="AE568" s="464"/>
      <c r="AH568" s="448"/>
      <c r="AI568" s="464"/>
      <c r="AL568" s="448"/>
      <c r="AP568" s="448"/>
    </row>
    <row r="569" spans="1:42" ht="13">
      <c r="A569" s="462"/>
      <c r="B569" s="462"/>
      <c r="N569" s="448"/>
      <c r="O569" s="464"/>
      <c r="R569" s="448"/>
      <c r="S569" s="464"/>
      <c r="V569" s="448"/>
      <c r="W569" s="464"/>
      <c r="Z569" s="448"/>
      <c r="AA569" s="464"/>
      <c r="AD569" s="448"/>
      <c r="AE569" s="464"/>
      <c r="AH569" s="448"/>
      <c r="AI569" s="464"/>
      <c r="AL569" s="448"/>
      <c r="AP569" s="448"/>
    </row>
    <row r="570" spans="1:42" ht="13">
      <c r="A570" s="462"/>
      <c r="B570" s="462"/>
      <c r="N570" s="448"/>
      <c r="O570" s="464"/>
      <c r="R570" s="448"/>
      <c r="S570" s="464"/>
      <c r="V570" s="448"/>
      <c r="W570" s="464"/>
      <c r="Z570" s="448"/>
      <c r="AA570" s="464"/>
      <c r="AD570" s="448"/>
      <c r="AE570" s="464"/>
      <c r="AH570" s="448"/>
      <c r="AI570" s="464"/>
      <c r="AL570" s="448"/>
      <c r="AP570" s="448"/>
    </row>
    <row r="571" spans="1:42" ht="13">
      <c r="A571" s="462"/>
      <c r="B571" s="462"/>
      <c r="N571" s="448"/>
      <c r="O571" s="464"/>
      <c r="R571" s="448"/>
      <c r="S571" s="464"/>
      <c r="V571" s="448"/>
      <c r="W571" s="464"/>
      <c r="Z571" s="448"/>
      <c r="AA571" s="464"/>
      <c r="AD571" s="448"/>
      <c r="AE571" s="464"/>
      <c r="AH571" s="448"/>
      <c r="AI571" s="464"/>
      <c r="AL571" s="448"/>
      <c r="AP571" s="448"/>
    </row>
    <row r="572" spans="1:42" ht="13">
      <c r="A572" s="462"/>
      <c r="B572" s="462"/>
      <c r="N572" s="448"/>
      <c r="O572" s="464"/>
      <c r="R572" s="448"/>
      <c r="S572" s="464"/>
      <c r="V572" s="448"/>
      <c r="W572" s="464"/>
      <c r="Z572" s="448"/>
      <c r="AA572" s="464"/>
      <c r="AD572" s="448"/>
      <c r="AE572" s="464"/>
      <c r="AH572" s="448"/>
      <c r="AI572" s="464"/>
      <c r="AL572" s="448"/>
      <c r="AP572" s="448"/>
    </row>
    <row r="573" spans="1:42" ht="13">
      <c r="A573" s="462"/>
      <c r="B573" s="462"/>
      <c r="N573" s="448"/>
      <c r="O573" s="464"/>
      <c r="R573" s="448"/>
      <c r="S573" s="464"/>
      <c r="V573" s="448"/>
      <c r="W573" s="464"/>
      <c r="Z573" s="448"/>
      <c r="AA573" s="464"/>
      <c r="AD573" s="448"/>
      <c r="AE573" s="464"/>
      <c r="AH573" s="448"/>
      <c r="AI573" s="464"/>
      <c r="AL573" s="448"/>
      <c r="AP573" s="448"/>
    </row>
    <row r="574" spans="1:42" ht="13">
      <c r="A574" s="462"/>
      <c r="B574" s="462"/>
      <c r="N574" s="448"/>
      <c r="O574" s="464"/>
      <c r="R574" s="448"/>
      <c r="S574" s="464"/>
      <c r="V574" s="448"/>
      <c r="W574" s="464"/>
      <c r="Z574" s="448"/>
      <c r="AA574" s="464"/>
      <c r="AD574" s="448"/>
      <c r="AE574" s="464"/>
      <c r="AH574" s="448"/>
      <c r="AI574" s="464"/>
      <c r="AL574" s="448"/>
      <c r="AP574" s="448"/>
    </row>
    <row r="575" spans="1:42" ht="13">
      <c r="A575" s="462"/>
      <c r="B575" s="462"/>
      <c r="N575" s="448"/>
      <c r="O575" s="464"/>
      <c r="R575" s="448"/>
      <c r="S575" s="464"/>
      <c r="V575" s="448"/>
      <c r="W575" s="464"/>
      <c r="Z575" s="448"/>
      <c r="AA575" s="464"/>
      <c r="AD575" s="448"/>
      <c r="AE575" s="464"/>
      <c r="AH575" s="448"/>
      <c r="AI575" s="464"/>
      <c r="AL575" s="448"/>
      <c r="AP575" s="448"/>
    </row>
    <row r="576" spans="1:42" ht="13">
      <c r="A576" s="462"/>
      <c r="B576" s="462"/>
      <c r="N576" s="448"/>
      <c r="O576" s="464"/>
      <c r="R576" s="448"/>
      <c r="S576" s="464"/>
      <c r="V576" s="448"/>
      <c r="W576" s="464"/>
      <c r="Z576" s="448"/>
      <c r="AA576" s="464"/>
      <c r="AD576" s="448"/>
      <c r="AE576" s="464"/>
      <c r="AH576" s="448"/>
      <c r="AI576" s="464"/>
      <c r="AL576" s="448"/>
      <c r="AP576" s="448"/>
    </row>
    <row r="577" spans="1:42" ht="13">
      <c r="A577" s="462"/>
      <c r="B577" s="462"/>
      <c r="N577" s="448"/>
      <c r="O577" s="464"/>
      <c r="R577" s="448"/>
      <c r="S577" s="464"/>
      <c r="V577" s="448"/>
      <c r="W577" s="464"/>
      <c r="Z577" s="448"/>
      <c r="AA577" s="464"/>
      <c r="AD577" s="448"/>
      <c r="AE577" s="464"/>
      <c r="AH577" s="448"/>
      <c r="AI577" s="464"/>
      <c r="AL577" s="448"/>
      <c r="AP577" s="448"/>
    </row>
    <row r="578" spans="1:42" ht="13">
      <c r="A578" s="462"/>
      <c r="B578" s="462"/>
      <c r="N578" s="448"/>
      <c r="O578" s="464"/>
      <c r="R578" s="448"/>
      <c r="S578" s="464"/>
      <c r="V578" s="448"/>
      <c r="W578" s="464"/>
      <c r="Z578" s="448"/>
      <c r="AA578" s="464"/>
      <c r="AD578" s="448"/>
      <c r="AE578" s="464"/>
      <c r="AH578" s="448"/>
      <c r="AI578" s="464"/>
      <c r="AL578" s="448"/>
      <c r="AP578" s="448"/>
    </row>
    <row r="579" spans="1:42" ht="13">
      <c r="A579" s="462"/>
      <c r="B579" s="462"/>
      <c r="N579" s="448"/>
      <c r="O579" s="464"/>
      <c r="R579" s="448"/>
      <c r="S579" s="464"/>
      <c r="V579" s="448"/>
      <c r="W579" s="464"/>
      <c r="Z579" s="448"/>
      <c r="AA579" s="464"/>
      <c r="AD579" s="448"/>
      <c r="AE579" s="464"/>
      <c r="AH579" s="448"/>
      <c r="AI579" s="464"/>
      <c r="AL579" s="448"/>
      <c r="AP579" s="448"/>
    </row>
    <row r="580" spans="1:42" ht="13">
      <c r="A580" s="462"/>
      <c r="B580" s="462"/>
      <c r="N580" s="448"/>
      <c r="O580" s="464"/>
      <c r="R580" s="448"/>
      <c r="S580" s="464"/>
      <c r="V580" s="448"/>
      <c r="W580" s="464"/>
      <c r="Z580" s="448"/>
      <c r="AA580" s="464"/>
      <c r="AD580" s="448"/>
      <c r="AE580" s="464"/>
      <c r="AH580" s="448"/>
      <c r="AI580" s="464"/>
      <c r="AL580" s="448"/>
      <c r="AP580" s="448"/>
    </row>
    <row r="581" spans="1:42" ht="13">
      <c r="A581" s="462"/>
      <c r="B581" s="462"/>
      <c r="N581" s="448"/>
      <c r="O581" s="464"/>
      <c r="R581" s="448"/>
      <c r="S581" s="464"/>
      <c r="V581" s="448"/>
      <c r="W581" s="464"/>
      <c r="Z581" s="448"/>
      <c r="AA581" s="464"/>
      <c r="AD581" s="448"/>
      <c r="AE581" s="464"/>
      <c r="AH581" s="448"/>
      <c r="AI581" s="464"/>
      <c r="AL581" s="448"/>
      <c r="AP581" s="448"/>
    </row>
    <row r="582" spans="1:42" ht="13">
      <c r="A582" s="462"/>
      <c r="B582" s="462"/>
      <c r="N582" s="448"/>
      <c r="O582" s="464"/>
      <c r="R582" s="448"/>
      <c r="S582" s="464"/>
      <c r="V582" s="448"/>
      <c r="W582" s="464"/>
      <c r="Z582" s="448"/>
      <c r="AA582" s="464"/>
      <c r="AD582" s="448"/>
      <c r="AE582" s="464"/>
      <c r="AH582" s="448"/>
      <c r="AI582" s="464"/>
      <c r="AL582" s="448"/>
      <c r="AP582" s="448"/>
    </row>
    <row r="583" spans="1:42" ht="13">
      <c r="A583" s="462"/>
      <c r="B583" s="462"/>
      <c r="N583" s="448"/>
      <c r="O583" s="464"/>
      <c r="R583" s="448"/>
      <c r="S583" s="464"/>
      <c r="V583" s="448"/>
      <c r="W583" s="464"/>
      <c r="Z583" s="448"/>
      <c r="AA583" s="464"/>
      <c r="AD583" s="448"/>
      <c r="AE583" s="464"/>
      <c r="AH583" s="448"/>
      <c r="AI583" s="464"/>
      <c r="AL583" s="448"/>
      <c r="AP583" s="448"/>
    </row>
    <row r="584" spans="1:42" ht="13">
      <c r="A584" s="462"/>
      <c r="B584" s="462"/>
      <c r="N584" s="448"/>
      <c r="O584" s="464"/>
      <c r="R584" s="448"/>
      <c r="S584" s="464"/>
      <c r="V584" s="448"/>
      <c r="W584" s="464"/>
      <c r="Z584" s="448"/>
      <c r="AA584" s="464"/>
      <c r="AD584" s="448"/>
      <c r="AE584" s="464"/>
      <c r="AH584" s="448"/>
      <c r="AI584" s="464"/>
      <c r="AL584" s="448"/>
      <c r="AP584" s="448"/>
    </row>
    <row r="585" spans="1:42" ht="13">
      <c r="A585" s="462"/>
      <c r="B585" s="462"/>
      <c r="N585" s="448"/>
      <c r="O585" s="464"/>
      <c r="R585" s="448"/>
      <c r="S585" s="464"/>
      <c r="V585" s="448"/>
      <c r="W585" s="464"/>
      <c r="Z585" s="448"/>
      <c r="AA585" s="464"/>
      <c r="AD585" s="448"/>
      <c r="AE585" s="464"/>
      <c r="AH585" s="448"/>
      <c r="AI585" s="464"/>
      <c r="AL585" s="448"/>
      <c r="AP585" s="448"/>
    </row>
    <row r="586" spans="1:42" ht="13">
      <c r="A586" s="462"/>
      <c r="B586" s="462"/>
      <c r="N586" s="448"/>
      <c r="O586" s="464"/>
      <c r="R586" s="448"/>
      <c r="S586" s="464"/>
      <c r="V586" s="448"/>
      <c r="W586" s="464"/>
      <c r="Z586" s="448"/>
      <c r="AA586" s="464"/>
      <c r="AD586" s="448"/>
      <c r="AE586" s="464"/>
      <c r="AH586" s="448"/>
      <c r="AI586" s="464"/>
      <c r="AL586" s="448"/>
      <c r="AP586" s="448"/>
    </row>
    <row r="587" spans="1:42" ht="13">
      <c r="A587" s="462"/>
      <c r="B587" s="462"/>
      <c r="N587" s="448"/>
      <c r="O587" s="464"/>
      <c r="R587" s="448"/>
      <c r="S587" s="464"/>
      <c r="V587" s="448"/>
      <c r="W587" s="464"/>
      <c r="Z587" s="448"/>
      <c r="AA587" s="464"/>
      <c r="AD587" s="448"/>
      <c r="AE587" s="464"/>
      <c r="AH587" s="448"/>
      <c r="AI587" s="464"/>
      <c r="AL587" s="448"/>
      <c r="AP587" s="448"/>
    </row>
    <row r="588" spans="1:42" ht="13">
      <c r="A588" s="462"/>
      <c r="B588" s="462"/>
      <c r="N588" s="448"/>
      <c r="O588" s="464"/>
      <c r="R588" s="448"/>
      <c r="S588" s="464"/>
      <c r="V588" s="448"/>
      <c r="W588" s="464"/>
      <c r="Z588" s="448"/>
      <c r="AA588" s="464"/>
      <c r="AD588" s="448"/>
      <c r="AE588" s="464"/>
      <c r="AH588" s="448"/>
      <c r="AI588" s="464"/>
      <c r="AL588" s="448"/>
      <c r="AP588" s="448"/>
    </row>
    <row r="589" spans="1:42" ht="13">
      <c r="A589" s="462"/>
      <c r="B589" s="462"/>
      <c r="N589" s="448"/>
      <c r="O589" s="464"/>
      <c r="R589" s="448"/>
      <c r="S589" s="464"/>
      <c r="V589" s="448"/>
      <c r="W589" s="464"/>
      <c r="Z589" s="448"/>
      <c r="AA589" s="464"/>
      <c r="AD589" s="448"/>
      <c r="AE589" s="464"/>
      <c r="AH589" s="448"/>
      <c r="AI589" s="464"/>
      <c r="AL589" s="448"/>
      <c r="AP589" s="448"/>
    </row>
    <row r="590" spans="1:42" ht="13">
      <c r="A590" s="462"/>
      <c r="B590" s="462"/>
      <c r="N590" s="448"/>
      <c r="O590" s="464"/>
      <c r="R590" s="448"/>
      <c r="S590" s="464"/>
      <c r="V590" s="448"/>
      <c r="W590" s="464"/>
      <c r="Z590" s="448"/>
      <c r="AA590" s="464"/>
      <c r="AD590" s="448"/>
      <c r="AE590" s="464"/>
      <c r="AH590" s="448"/>
      <c r="AI590" s="464"/>
      <c r="AL590" s="448"/>
      <c r="AP590" s="448"/>
    </row>
    <row r="591" spans="1:42" ht="13">
      <c r="A591" s="462"/>
      <c r="B591" s="462"/>
      <c r="N591" s="448"/>
      <c r="O591" s="464"/>
      <c r="R591" s="448"/>
      <c r="S591" s="464"/>
      <c r="V591" s="448"/>
      <c r="W591" s="464"/>
      <c r="Z591" s="448"/>
      <c r="AA591" s="464"/>
      <c r="AD591" s="448"/>
      <c r="AE591" s="464"/>
      <c r="AH591" s="448"/>
      <c r="AI591" s="464"/>
      <c r="AL591" s="448"/>
      <c r="AP591" s="448"/>
    </row>
    <row r="592" spans="1:42" ht="13">
      <c r="A592" s="462"/>
      <c r="B592" s="462"/>
      <c r="N592" s="448"/>
      <c r="O592" s="464"/>
      <c r="R592" s="448"/>
      <c r="S592" s="464"/>
      <c r="V592" s="448"/>
      <c r="W592" s="464"/>
      <c r="Z592" s="448"/>
      <c r="AA592" s="464"/>
      <c r="AD592" s="448"/>
      <c r="AE592" s="464"/>
      <c r="AH592" s="448"/>
      <c r="AI592" s="464"/>
      <c r="AL592" s="448"/>
      <c r="AP592" s="448"/>
    </row>
    <row r="593" spans="1:42" ht="13">
      <c r="A593" s="462"/>
      <c r="B593" s="462"/>
      <c r="N593" s="448"/>
      <c r="O593" s="464"/>
      <c r="R593" s="448"/>
      <c r="S593" s="464"/>
      <c r="V593" s="448"/>
      <c r="W593" s="464"/>
      <c r="Z593" s="448"/>
      <c r="AA593" s="464"/>
      <c r="AD593" s="448"/>
      <c r="AE593" s="464"/>
      <c r="AH593" s="448"/>
      <c r="AI593" s="464"/>
      <c r="AL593" s="448"/>
      <c r="AP593" s="448"/>
    </row>
    <row r="594" spans="1:42" ht="13">
      <c r="A594" s="462"/>
      <c r="B594" s="462"/>
      <c r="N594" s="448"/>
      <c r="O594" s="464"/>
      <c r="R594" s="448"/>
      <c r="S594" s="464"/>
      <c r="V594" s="448"/>
      <c r="W594" s="464"/>
      <c r="Z594" s="448"/>
      <c r="AA594" s="464"/>
      <c r="AD594" s="448"/>
      <c r="AE594" s="464"/>
      <c r="AH594" s="448"/>
      <c r="AI594" s="464"/>
      <c r="AL594" s="448"/>
      <c r="AP594" s="448"/>
    </row>
    <row r="595" spans="1:42" ht="13">
      <c r="A595" s="462"/>
      <c r="B595" s="462"/>
      <c r="N595" s="448"/>
      <c r="O595" s="464"/>
      <c r="R595" s="448"/>
      <c r="S595" s="464"/>
      <c r="V595" s="448"/>
      <c r="W595" s="464"/>
      <c r="Z595" s="448"/>
      <c r="AA595" s="464"/>
      <c r="AD595" s="448"/>
      <c r="AE595" s="464"/>
      <c r="AH595" s="448"/>
      <c r="AI595" s="464"/>
      <c r="AL595" s="448"/>
      <c r="AP595" s="448"/>
    </row>
    <row r="596" spans="1:42" ht="13">
      <c r="A596" s="462"/>
      <c r="B596" s="462"/>
      <c r="N596" s="448"/>
      <c r="O596" s="464"/>
      <c r="R596" s="448"/>
      <c r="S596" s="464"/>
      <c r="V596" s="448"/>
      <c r="W596" s="464"/>
      <c r="Z596" s="448"/>
      <c r="AA596" s="464"/>
      <c r="AD596" s="448"/>
      <c r="AE596" s="464"/>
      <c r="AH596" s="448"/>
      <c r="AI596" s="464"/>
      <c r="AL596" s="448"/>
      <c r="AP596" s="448"/>
    </row>
    <row r="597" spans="1:42" ht="13">
      <c r="A597" s="462"/>
      <c r="B597" s="462"/>
      <c r="N597" s="448"/>
      <c r="O597" s="464"/>
      <c r="R597" s="448"/>
      <c r="S597" s="464"/>
      <c r="V597" s="448"/>
      <c r="W597" s="464"/>
      <c r="Z597" s="448"/>
      <c r="AA597" s="464"/>
      <c r="AD597" s="448"/>
      <c r="AE597" s="464"/>
      <c r="AH597" s="448"/>
      <c r="AI597" s="464"/>
      <c r="AL597" s="448"/>
      <c r="AP597" s="448"/>
    </row>
    <row r="598" spans="1:42" ht="13">
      <c r="A598" s="462"/>
      <c r="B598" s="462"/>
      <c r="N598" s="448"/>
      <c r="O598" s="464"/>
      <c r="R598" s="448"/>
      <c r="S598" s="464"/>
      <c r="V598" s="448"/>
      <c r="W598" s="464"/>
      <c r="Z598" s="448"/>
      <c r="AA598" s="464"/>
      <c r="AD598" s="448"/>
      <c r="AE598" s="464"/>
      <c r="AH598" s="448"/>
      <c r="AI598" s="464"/>
      <c r="AL598" s="448"/>
      <c r="AP598" s="448"/>
    </row>
    <row r="599" spans="1:42" ht="13">
      <c r="A599" s="462"/>
      <c r="B599" s="462"/>
      <c r="N599" s="448"/>
      <c r="O599" s="464"/>
      <c r="R599" s="448"/>
      <c r="S599" s="464"/>
      <c r="V599" s="448"/>
      <c r="W599" s="464"/>
      <c r="Z599" s="448"/>
      <c r="AA599" s="464"/>
      <c r="AD599" s="448"/>
      <c r="AE599" s="464"/>
      <c r="AH599" s="448"/>
      <c r="AI599" s="464"/>
      <c r="AL599" s="448"/>
      <c r="AP599" s="448"/>
    </row>
    <row r="600" spans="1:42" ht="13">
      <c r="A600" s="462"/>
      <c r="B600" s="462"/>
      <c r="N600" s="448"/>
      <c r="O600" s="464"/>
      <c r="R600" s="448"/>
      <c r="S600" s="464"/>
      <c r="V600" s="448"/>
      <c r="W600" s="464"/>
      <c r="Z600" s="448"/>
      <c r="AA600" s="464"/>
      <c r="AD600" s="448"/>
      <c r="AE600" s="464"/>
      <c r="AH600" s="448"/>
      <c r="AI600" s="464"/>
      <c r="AL600" s="448"/>
      <c r="AP600" s="448"/>
    </row>
    <row r="601" spans="1:42" ht="13">
      <c r="A601" s="462"/>
      <c r="B601" s="462"/>
      <c r="N601" s="448"/>
      <c r="O601" s="464"/>
      <c r="R601" s="448"/>
      <c r="S601" s="464"/>
      <c r="V601" s="448"/>
      <c r="W601" s="464"/>
      <c r="Z601" s="448"/>
      <c r="AA601" s="464"/>
      <c r="AD601" s="448"/>
      <c r="AE601" s="464"/>
      <c r="AH601" s="448"/>
      <c r="AI601" s="464"/>
      <c r="AL601" s="448"/>
      <c r="AP601" s="448"/>
    </row>
    <row r="602" spans="1:42" ht="13">
      <c r="A602" s="462"/>
      <c r="B602" s="462"/>
      <c r="N602" s="448"/>
      <c r="O602" s="464"/>
      <c r="R602" s="448"/>
      <c r="S602" s="464"/>
      <c r="V602" s="448"/>
      <c r="W602" s="464"/>
      <c r="Z602" s="448"/>
      <c r="AA602" s="464"/>
      <c r="AD602" s="448"/>
      <c r="AE602" s="464"/>
      <c r="AH602" s="448"/>
      <c r="AI602" s="464"/>
      <c r="AL602" s="448"/>
      <c r="AP602" s="448"/>
    </row>
    <row r="603" spans="1:42" ht="13">
      <c r="A603" s="462"/>
      <c r="B603" s="462"/>
      <c r="N603" s="448"/>
      <c r="O603" s="464"/>
      <c r="R603" s="448"/>
      <c r="S603" s="464"/>
      <c r="V603" s="448"/>
      <c r="W603" s="464"/>
      <c r="Z603" s="448"/>
      <c r="AA603" s="464"/>
      <c r="AD603" s="448"/>
      <c r="AE603" s="464"/>
      <c r="AH603" s="448"/>
      <c r="AI603" s="464"/>
      <c r="AL603" s="448"/>
      <c r="AP603" s="448"/>
    </row>
    <row r="604" spans="1:42" ht="13">
      <c r="A604" s="462"/>
      <c r="B604" s="462"/>
      <c r="N604" s="448"/>
      <c r="O604" s="464"/>
      <c r="R604" s="448"/>
      <c r="S604" s="464"/>
      <c r="V604" s="448"/>
      <c r="W604" s="464"/>
      <c r="Z604" s="448"/>
      <c r="AA604" s="464"/>
      <c r="AD604" s="448"/>
      <c r="AE604" s="464"/>
      <c r="AH604" s="448"/>
      <c r="AI604" s="464"/>
      <c r="AL604" s="448"/>
      <c r="AP604" s="448"/>
    </row>
    <row r="605" spans="1:42" ht="13">
      <c r="A605" s="462"/>
      <c r="B605" s="462"/>
      <c r="N605" s="448"/>
      <c r="O605" s="464"/>
      <c r="R605" s="448"/>
      <c r="S605" s="464"/>
      <c r="V605" s="448"/>
      <c r="W605" s="464"/>
      <c r="Z605" s="448"/>
      <c r="AA605" s="464"/>
      <c r="AD605" s="448"/>
      <c r="AE605" s="464"/>
      <c r="AH605" s="448"/>
      <c r="AI605" s="464"/>
      <c r="AL605" s="448"/>
      <c r="AP605" s="448"/>
    </row>
    <row r="606" spans="1:42" ht="13">
      <c r="A606" s="462"/>
      <c r="B606" s="462"/>
      <c r="N606" s="448"/>
      <c r="O606" s="464"/>
      <c r="R606" s="448"/>
      <c r="S606" s="464"/>
      <c r="V606" s="448"/>
      <c r="W606" s="464"/>
      <c r="Z606" s="448"/>
      <c r="AA606" s="464"/>
      <c r="AD606" s="448"/>
      <c r="AE606" s="464"/>
      <c r="AH606" s="448"/>
      <c r="AI606" s="464"/>
      <c r="AL606" s="448"/>
      <c r="AP606" s="448"/>
    </row>
    <row r="607" spans="1:42" ht="13">
      <c r="A607" s="462"/>
      <c r="B607" s="462"/>
      <c r="N607" s="448"/>
      <c r="O607" s="464"/>
      <c r="R607" s="448"/>
      <c r="S607" s="464"/>
      <c r="V607" s="448"/>
      <c r="W607" s="464"/>
      <c r="Z607" s="448"/>
      <c r="AA607" s="464"/>
      <c r="AD607" s="448"/>
      <c r="AE607" s="464"/>
      <c r="AH607" s="448"/>
      <c r="AI607" s="464"/>
      <c r="AL607" s="448"/>
      <c r="AP607" s="448"/>
    </row>
    <row r="608" spans="1:42" ht="13">
      <c r="A608" s="462"/>
      <c r="B608" s="462"/>
      <c r="N608" s="448"/>
      <c r="O608" s="464"/>
      <c r="R608" s="448"/>
      <c r="S608" s="464"/>
      <c r="V608" s="448"/>
      <c r="W608" s="464"/>
      <c r="Z608" s="448"/>
      <c r="AA608" s="464"/>
      <c r="AD608" s="448"/>
      <c r="AE608" s="464"/>
      <c r="AH608" s="448"/>
      <c r="AI608" s="464"/>
      <c r="AL608" s="448"/>
      <c r="AP608" s="448"/>
    </row>
    <row r="609" spans="1:42" ht="13">
      <c r="A609" s="462"/>
      <c r="B609" s="462"/>
      <c r="N609" s="448"/>
      <c r="O609" s="464"/>
      <c r="R609" s="448"/>
      <c r="S609" s="464"/>
      <c r="V609" s="448"/>
      <c r="W609" s="464"/>
      <c r="Z609" s="448"/>
      <c r="AA609" s="464"/>
      <c r="AD609" s="448"/>
      <c r="AE609" s="464"/>
      <c r="AH609" s="448"/>
      <c r="AI609" s="464"/>
      <c r="AL609" s="448"/>
      <c r="AP609" s="448"/>
    </row>
    <row r="610" spans="1:42" ht="13">
      <c r="A610" s="462"/>
      <c r="B610" s="462"/>
      <c r="N610" s="448"/>
      <c r="O610" s="464"/>
      <c r="R610" s="448"/>
      <c r="S610" s="464"/>
      <c r="V610" s="448"/>
      <c r="W610" s="464"/>
      <c r="Z610" s="448"/>
      <c r="AA610" s="464"/>
      <c r="AD610" s="448"/>
      <c r="AE610" s="464"/>
      <c r="AH610" s="448"/>
      <c r="AI610" s="464"/>
      <c r="AL610" s="448"/>
      <c r="AP610" s="448"/>
    </row>
    <row r="611" spans="1:42" ht="13">
      <c r="A611" s="462"/>
      <c r="B611" s="462"/>
      <c r="N611" s="448"/>
      <c r="O611" s="464"/>
      <c r="R611" s="448"/>
      <c r="S611" s="464"/>
      <c r="V611" s="448"/>
      <c r="W611" s="464"/>
      <c r="Z611" s="448"/>
      <c r="AA611" s="464"/>
      <c r="AD611" s="448"/>
      <c r="AE611" s="464"/>
      <c r="AH611" s="448"/>
      <c r="AI611" s="464"/>
      <c r="AL611" s="448"/>
      <c r="AP611" s="448"/>
    </row>
    <row r="612" spans="1:42" ht="13">
      <c r="A612" s="462"/>
      <c r="B612" s="462"/>
      <c r="N612" s="448"/>
      <c r="O612" s="464"/>
      <c r="R612" s="448"/>
      <c r="S612" s="464"/>
      <c r="V612" s="448"/>
      <c r="W612" s="464"/>
      <c r="Z612" s="448"/>
      <c r="AA612" s="464"/>
      <c r="AD612" s="448"/>
      <c r="AE612" s="464"/>
      <c r="AH612" s="448"/>
      <c r="AI612" s="464"/>
      <c r="AL612" s="448"/>
      <c r="AP612" s="448"/>
    </row>
    <row r="613" spans="1:42" ht="13">
      <c r="A613" s="462"/>
      <c r="B613" s="462"/>
      <c r="N613" s="448"/>
      <c r="O613" s="464"/>
      <c r="R613" s="448"/>
      <c r="S613" s="464"/>
      <c r="V613" s="448"/>
      <c r="W613" s="464"/>
      <c r="Z613" s="448"/>
      <c r="AA613" s="464"/>
      <c r="AD613" s="448"/>
      <c r="AE613" s="464"/>
      <c r="AH613" s="448"/>
      <c r="AI613" s="464"/>
      <c r="AL613" s="448"/>
      <c r="AP613" s="448"/>
    </row>
    <row r="614" spans="1:42" ht="13">
      <c r="A614" s="462"/>
      <c r="B614" s="462"/>
      <c r="N614" s="448"/>
      <c r="O614" s="464"/>
      <c r="R614" s="448"/>
      <c r="S614" s="464"/>
      <c r="V614" s="448"/>
      <c r="W614" s="464"/>
      <c r="Z614" s="448"/>
      <c r="AA614" s="464"/>
      <c r="AD614" s="448"/>
      <c r="AE614" s="464"/>
      <c r="AH614" s="448"/>
      <c r="AI614" s="464"/>
      <c r="AL614" s="448"/>
      <c r="AP614" s="448"/>
    </row>
    <row r="615" spans="1:42" ht="13">
      <c r="A615" s="462"/>
      <c r="B615" s="462"/>
      <c r="N615" s="448"/>
      <c r="O615" s="464"/>
      <c r="R615" s="448"/>
      <c r="S615" s="464"/>
      <c r="V615" s="448"/>
      <c r="W615" s="464"/>
      <c r="Z615" s="448"/>
      <c r="AA615" s="464"/>
      <c r="AD615" s="448"/>
      <c r="AE615" s="464"/>
      <c r="AH615" s="448"/>
      <c r="AI615" s="464"/>
      <c r="AL615" s="448"/>
      <c r="AP615" s="448"/>
    </row>
    <row r="616" spans="1:42" ht="13">
      <c r="A616" s="462"/>
      <c r="B616" s="462"/>
      <c r="N616" s="448"/>
      <c r="O616" s="464"/>
      <c r="R616" s="448"/>
      <c r="S616" s="464"/>
      <c r="V616" s="448"/>
      <c r="W616" s="464"/>
      <c r="Z616" s="448"/>
      <c r="AA616" s="464"/>
      <c r="AD616" s="448"/>
      <c r="AE616" s="464"/>
      <c r="AH616" s="448"/>
      <c r="AI616" s="464"/>
      <c r="AL616" s="448"/>
      <c r="AP616" s="448"/>
    </row>
    <row r="617" spans="1:42" ht="13">
      <c r="A617" s="462"/>
      <c r="B617" s="462"/>
      <c r="N617" s="448"/>
      <c r="O617" s="464"/>
      <c r="R617" s="448"/>
      <c r="S617" s="464"/>
      <c r="V617" s="448"/>
      <c r="W617" s="464"/>
      <c r="Z617" s="448"/>
      <c r="AA617" s="464"/>
      <c r="AD617" s="448"/>
      <c r="AE617" s="464"/>
      <c r="AH617" s="448"/>
      <c r="AI617" s="464"/>
      <c r="AL617" s="448"/>
      <c r="AP617" s="448"/>
    </row>
    <row r="618" spans="1:42" ht="13">
      <c r="A618" s="462"/>
      <c r="B618" s="462"/>
      <c r="N618" s="448"/>
      <c r="O618" s="464"/>
      <c r="R618" s="448"/>
      <c r="S618" s="464"/>
      <c r="V618" s="448"/>
      <c r="W618" s="464"/>
      <c r="Z618" s="448"/>
      <c r="AA618" s="464"/>
      <c r="AD618" s="448"/>
      <c r="AE618" s="464"/>
      <c r="AH618" s="448"/>
      <c r="AI618" s="464"/>
      <c r="AL618" s="448"/>
      <c r="AP618" s="448"/>
    </row>
    <row r="619" spans="1:42" ht="13">
      <c r="A619" s="462"/>
      <c r="B619" s="462"/>
      <c r="N619" s="448"/>
      <c r="O619" s="464"/>
      <c r="R619" s="448"/>
      <c r="S619" s="464"/>
      <c r="V619" s="448"/>
      <c r="W619" s="464"/>
      <c r="Z619" s="448"/>
      <c r="AA619" s="464"/>
      <c r="AD619" s="448"/>
      <c r="AE619" s="464"/>
      <c r="AH619" s="448"/>
      <c r="AI619" s="464"/>
      <c r="AL619" s="448"/>
      <c r="AP619" s="448"/>
    </row>
    <row r="620" spans="1:42" ht="13">
      <c r="A620" s="462"/>
      <c r="B620" s="462"/>
      <c r="N620" s="448"/>
      <c r="O620" s="464"/>
      <c r="R620" s="448"/>
      <c r="S620" s="464"/>
      <c r="V620" s="448"/>
      <c r="W620" s="464"/>
      <c r="Z620" s="448"/>
      <c r="AA620" s="464"/>
      <c r="AD620" s="448"/>
      <c r="AE620" s="464"/>
      <c r="AH620" s="448"/>
      <c r="AI620" s="464"/>
      <c r="AL620" s="448"/>
      <c r="AP620" s="448"/>
    </row>
    <row r="621" spans="1:42" ht="13">
      <c r="A621" s="462"/>
      <c r="B621" s="462"/>
      <c r="N621" s="448"/>
      <c r="O621" s="464"/>
      <c r="R621" s="448"/>
      <c r="S621" s="464"/>
      <c r="V621" s="448"/>
      <c r="W621" s="464"/>
      <c r="Z621" s="448"/>
      <c r="AA621" s="464"/>
      <c r="AD621" s="448"/>
      <c r="AE621" s="464"/>
      <c r="AH621" s="448"/>
      <c r="AI621" s="464"/>
      <c r="AL621" s="448"/>
      <c r="AP621" s="448"/>
    </row>
    <row r="622" spans="1:42" ht="13">
      <c r="A622" s="462"/>
      <c r="B622" s="462"/>
      <c r="N622" s="448"/>
      <c r="O622" s="464"/>
      <c r="R622" s="448"/>
      <c r="S622" s="464"/>
      <c r="V622" s="448"/>
      <c r="W622" s="464"/>
      <c r="Z622" s="448"/>
      <c r="AA622" s="464"/>
      <c r="AD622" s="448"/>
      <c r="AE622" s="464"/>
      <c r="AH622" s="448"/>
      <c r="AI622" s="464"/>
      <c r="AL622" s="448"/>
      <c r="AP622" s="448"/>
    </row>
    <row r="623" spans="1:42" ht="13">
      <c r="A623" s="462"/>
      <c r="B623" s="462"/>
      <c r="N623" s="448"/>
      <c r="O623" s="464"/>
      <c r="R623" s="448"/>
      <c r="S623" s="464"/>
      <c r="V623" s="448"/>
      <c r="W623" s="464"/>
      <c r="Z623" s="448"/>
      <c r="AA623" s="464"/>
      <c r="AD623" s="448"/>
      <c r="AE623" s="464"/>
      <c r="AH623" s="448"/>
      <c r="AI623" s="464"/>
      <c r="AL623" s="448"/>
      <c r="AP623" s="448"/>
    </row>
    <row r="624" spans="1:42" ht="13">
      <c r="A624" s="462"/>
      <c r="B624" s="462"/>
      <c r="N624" s="448"/>
      <c r="O624" s="464"/>
      <c r="R624" s="448"/>
      <c r="S624" s="464"/>
      <c r="V624" s="448"/>
      <c r="W624" s="464"/>
      <c r="Z624" s="448"/>
      <c r="AA624" s="464"/>
      <c r="AD624" s="448"/>
      <c r="AE624" s="464"/>
      <c r="AH624" s="448"/>
      <c r="AI624" s="464"/>
      <c r="AL624" s="448"/>
      <c r="AP624" s="448"/>
    </row>
    <row r="625" spans="1:42" ht="13">
      <c r="A625" s="462"/>
      <c r="B625" s="462"/>
      <c r="N625" s="448"/>
      <c r="O625" s="464"/>
      <c r="R625" s="448"/>
      <c r="S625" s="464"/>
      <c r="V625" s="448"/>
      <c r="W625" s="464"/>
      <c r="Z625" s="448"/>
      <c r="AA625" s="464"/>
      <c r="AD625" s="448"/>
      <c r="AE625" s="464"/>
      <c r="AH625" s="448"/>
      <c r="AI625" s="464"/>
      <c r="AL625" s="448"/>
      <c r="AP625" s="448"/>
    </row>
    <row r="626" spans="1:42" ht="13">
      <c r="A626" s="462"/>
      <c r="B626" s="462"/>
      <c r="N626" s="448"/>
      <c r="O626" s="464"/>
      <c r="R626" s="448"/>
      <c r="S626" s="464"/>
      <c r="V626" s="448"/>
      <c r="W626" s="464"/>
      <c r="Z626" s="448"/>
      <c r="AA626" s="464"/>
      <c r="AD626" s="448"/>
      <c r="AE626" s="464"/>
      <c r="AH626" s="448"/>
      <c r="AI626" s="464"/>
      <c r="AL626" s="448"/>
      <c r="AP626" s="448"/>
    </row>
    <row r="627" spans="1:42" ht="13">
      <c r="A627" s="462"/>
      <c r="B627" s="462"/>
      <c r="N627" s="448"/>
      <c r="O627" s="464"/>
      <c r="R627" s="448"/>
      <c r="S627" s="464"/>
      <c r="V627" s="448"/>
      <c r="W627" s="464"/>
      <c r="Z627" s="448"/>
      <c r="AA627" s="464"/>
      <c r="AD627" s="448"/>
      <c r="AE627" s="464"/>
      <c r="AH627" s="448"/>
      <c r="AI627" s="464"/>
      <c r="AL627" s="448"/>
      <c r="AP627" s="448"/>
    </row>
    <row r="628" spans="1:42" ht="13">
      <c r="A628" s="462"/>
      <c r="B628" s="462"/>
      <c r="N628" s="448"/>
      <c r="O628" s="464"/>
      <c r="R628" s="448"/>
      <c r="S628" s="464"/>
      <c r="V628" s="448"/>
      <c r="W628" s="464"/>
      <c r="Z628" s="448"/>
      <c r="AA628" s="464"/>
      <c r="AD628" s="448"/>
      <c r="AE628" s="464"/>
      <c r="AH628" s="448"/>
      <c r="AI628" s="464"/>
      <c r="AL628" s="448"/>
      <c r="AP628" s="448"/>
    </row>
    <row r="629" spans="1:42" ht="13">
      <c r="A629" s="462"/>
      <c r="B629" s="462"/>
      <c r="N629" s="448"/>
      <c r="O629" s="464"/>
      <c r="R629" s="448"/>
      <c r="S629" s="464"/>
      <c r="V629" s="448"/>
      <c r="W629" s="464"/>
      <c r="Z629" s="448"/>
      <c r="AA629" s="464"/>
      <c r="AD629" s="448"/>
      <c r="AE629" s="464"/>
      <c r="AH629" s="448"/>
      <c r="AI629" s="464"/>
      <c r="AL629" s="448"/>
      <c r="AP629" s="448"/>
    </row>
    <row r="630" spans="1:42" ht="13">
      <c r="A630" s="462"/>
      <c r="B630" s="462"/>
      <c r="N630" s="448"/>
      <c r="O630" s="464"/>
      <c r="R630" s="448"/>
      <c r="S630" s="464"/>
      <c r="V630" s="448"/>
      <c r="W630" s="464"/>
      <c r="Z630" s="448"/>
      <c r="AA630" s="464"/>
      <c r="AD630" s="448"/>
      <c r="AE630" s="464"/>
      <c r="AH630" s="448"/>
      <c r="AI630" s="464"/>
      <c r="AL630" s="448"/>
      <c r="AP630" s="448"/>
    </row>
    <row r="631" spans="1:42" ht="13">
      <c r="A631" s="462"/>
      <c r="B631" s="462"/>
      <c r="N631" s="448"/>
      <c r="O631" s="464"/>
      <c r="R631" s="448"/>
      <c r="S631" s="464"/>
      <c r="V631" s="448"/>
      <c r="W631" s="464"/>
      <c r="Z631" s="448"/>
      <c r="AA631" s="464"/>
      <c r="AD631" s="448"/>
      <c r="AE631" s="464"/>
      <c r="AH631" s="448"/>
      <c r="AI631" s="464"/>
      <c r="AL631" s="448"/>
      <c r="AP631" s="448"/>
    </row>
    <row r="632" spans="1:42" ht="13">
      <c r="A632" s="462"/>
      <c r="B632" s="462"/>
      <c r="N632" s="448"/>
      <c r="O632" s="464"/>
      <c r="R632" s="448"/>
      <c r="S632" s="464"/>
      <c r="V632" s="448"/>
      <c r="W632" s="464"/>
      <c r="Z632" s="448"/>
      <c r="AA632" s="464"/>
      <c r="AD632" s="448"/>
      <c r="AE632" s="464"/>
      <c r="AH632" s="448"/>
      <c r="AI632" s="464"/>
      <c r="AL632" s="448"/>
      <c r="AP632" s="448"/>
    </row>
    <row r="633" spans="1:42" ht="13">
      <c r="A633" s="462"/>
      <c r="B633" s="462"/>
      <c r="N633" s="448"/>
      <c r="O633" s="464"/>
      <c r="R633" s="448"/>
      <c r="S633" s="464"/>
      <c r="V633" s="448"/>
      <c r="W633" s="464"/>
      <c r="Z633" s="448"/>
      <c r="AA633" s="464"/>
      <c r="AD633" s="448"/>
      <c r="AE633" s="464"/>
      <c r="AH633" s="448"/>
      <c r="AI633" s="464"/>
      <c r="AL633" s="448"/>
      <c r="AP633" s="448"/>
    </row>
    <row r="634" spans="1:42" ht="13">
      <c r="A634" s="462"/>
      <c r="B634" s="462"/>
      <c r="N634" s="448"/>
      <c r="O634" s="464"/>
      <c r="R634" s="448"/>
      <c r="S634" s="464"/>
      <c r="V634" s="448"/>
      <c r="W634" s="464"/>
      <c r="Z634" s="448"/>
      <c r="AA634" s="464"/>
      <c r="AD634" s="448"/>
      <c r="AE634" s="464"/>
      <c r="AH634" s="448"/>
      <c r="AI634" s="464"/>
      <c r="AL634" s="448"/>
      <c r="AP634" s="448"/>
    </row>
    <row r="635" spans="1:42" ht="13">
      <c r="A635" s="462"/>
      <c r="B635" s="462"/>
      <c r="N635" s="448"/>
      <c r="O635" s="464"/>
      <c r="R635" s="448"/>
      <c r="S635" s="464"/>
      <c r="V635" s="448"/>
      <c r="W635" s="464"/>
      <c r="Z635" s="448"/>
      <c r="AA635" s="464"/>
      <c r="AD635" s="448"/>
      <c r="AE635" s="464"/>
      <c r="AH635" s="448"/>
      <c r="AI635" s="464"/>
      <c r="AL635" s="448"/>
      <c r="AP635" s="448"/>
    </row>
    <row r="636" spans="1:42" ht="13">
      <c r="A636" s="462"/>
      <c r="B636" s="462"/>
      <c r="N636" s="448"/>
      <c r="O636" s="464"/>
      <c r="R636" s="448"/>
      <c r="S636" s="464"/>
      <c r="V636" s="448"/>
      <c r="W636" s="464"/>
      <c r="Z636" s="448"/>
      <c r="AA636" s="464"/>
      <c r="AD636" s="448"/>
      <c r="AE636" s="464"/>
      <c r="AH636" s="448"/>
      <c r="AI636" s="464"/>
      <c r="AL636" s="448"/>
      <c r="AP636" s="448"/>
    </row>
    <row r="637" spans="1:42" ht="13">
      <c r="A637" s="462"/>
      <c r="B637" s="462"/>
      <c r="N637" s="448"/>
      <c r="O637" s="464"/>
      <c r="R637" s="448"/>
      <c r="S637" s="464"/>
      <c r="V637" s="448"/>
      <c r="W637" s="464"/>
      <c r="Z637" s="448"/>
      <c r="AA637" s="464"/>
      <c r="AD637" s="448"/>
      <c r="AE637" s="464"/>
      <c r="AH637" s="448"/>
      <c r="AI637" s="464"/>
      <c r="AL637" s="448"/>
      <c r="AP637" s="448"/>
    </row>
    <row r="638" spans="1:42" ht="13">
      <c r="A638" s="462"/>
      <c r="B638" s="462"/>
      <c r="N638" s="448"/>
      <c r="O638" s="464"/>
      <c r="R638" s="448"/>
      <c r="S638" s="464"/>
      <c r="V638" s="448"/>
      <c r="W638" s="464"/>
      <c r="Z638" s="448"/>
      <c r="AA638" s="464"/>
      <c r="AD638" s="448"/>
      <c r="AE638" s="464"/>
      <c r="AH638" s="448"/>
      <c r="AI638" s="464"/>
      <c r="AL638" s="448"/>
      <c r="AP638" s="448"/>
    </row>
    <row r="639" spans="1:42" ht="13">
      <c r="A639" s="462"/>
      <c r="B639" s="462"/>
      <c r="N639" s="448"/>
      <c r="O639" s="464"/>
      <c r="R639" s="448"/>
      <c r="S639" s="464"/>
      <c r="V639" s="448"/>
      <c r="W639" s="464"/>
      <c r="Z639" s="448"/>
      <c r="AA639" s="464"/>
      <c r="AD639" s="448"/>
      <c r="AE639" s="464"/>
      <c r="AH639" s="448"/>
      <c r="AI639" s="464"/>
      <c r="AL639" s="448"/>
      <c r="AP639" s="448"/>
    </row>
    <row r="640" spans="1:42" ht="13">
      <c r="A640" s="462"/>
      <c r="B640" s="462"/>
      <c r="N640" s="448"/>
      <c r="O640" s="464"/>
      <c r="R640" s="448"/>
      <c r="S640" s="464"/>
      <c r="V640" s="448"/>
      <c r="W640" s="464"/>
      <c r="Z640" s="448"/>
      <c r="AA640" s="464"/>
      <c r="AD640" s="448"/>
      <c r="AE640" s="464"/>
      <c r="AH640" s="448"/>
      <c r="AI640" s="464"/>
      <c r="AL640" s="448"/>
      <c r="AP640" s="448"/>
    </row>
    <row r="641" spans="1:42" ht="13">
      <c r="A641" s="462"/>
      <c r="B641" s="462"/>
      <c r="N641" s="448"/>
      <c r="O641" s="464"/>
      <c r="R641" s="448"/>
      <c r="S641" s="464"/>
      <c r="V641" s="448"/>
      <c r="W641" s="464"/>
      <c r="Z641" s="448"/>
      <c r="AA641" s="464"/>
      <c r="AD641" s="448"/>
      <c r="AE641" s="464"/>
      <c r="AH641" s="448"/>
      <c r="AI641" s="464"/>
      <c r="AL641" s="448"/>
      <c r="AP641" s="448"/>
    </row>
    <row r="642" spans="1:42" ht="13">
      <c r="A642" s="462"/>
      <c r="B642" s="462"/>
      <c r="N642" s="448"/>
      <c r="O642" s="464"/>
      <c r="R642" s="448"/>
      <c r="S642" s="464"/>
      <c r="V642" s="448"/>
      <c r="W642" s="464"/>
      <c r="Z642" s="448"/>
      <c r="AA642" s="464"/>
      <c r="AD642" s="448"/>
      <c r="AE642" s="464"/>
      <c r="AH642" s="448"/>
      <c r="AI642" s="464"/>
      <c r="AL642" s="448"/>
      <c r="AP642" s="448"/>
    </row>
    <row r="643" spans="1:42" ht="13">
      <c r="A643" s="462"/>
      <c r="B643" s="462"/>
      <c r="N643" s="448"/>
      <c r="O643" s="464"/>
      <c r="R643" s="448"/>
      <c r="S643" s="464"/>
      <c r="V643" s="448"/>
      <c r="W643" s="464"/>
      <c r="Z643" s="448"/>
      <c r="AA643" s="464"/>
      <c r="AD643" s="448"/>
      <c r="AE643" s="464"/>
      <c r="AH643" s="448"/>
      <c r="AI643" s="464"/>
      <c r="AL643" s="448"/>
      <c r="AP643" s="448"/>
    </row>
    <row r="644" spans="1:42" ht="13">
      <c r="A644" s="462"/>
      <c r="B644" s="462"/>
      <c r="N644" s="448"/>
      <c r="O644" s="464"/>
      <c r="R644" s="448"/>
      <c r="S644" s="464"/>
      <c r="V644" s="448"/>
      <c r="W644" s="464"/>
      <c r="Z644" s="448"/>
      <c r="AA644" s="464"/>
      <c r="AD644" s="448"/>
      <c r="AE644" s="464"/>
      <c r="AH644" s="448"/>
      <c r="AI644" s="464"/>
      <c r="AL644" s="448"/>
      <c r="AP644" s="448"/>
    </row>
    <row r="645" spans="1:42" ht="13">
      <c r="A645" s="462"/>
      <c r="B645" s="462"/>
      <c r="N645" s="448"/>
      <c r="O645" s="464"/>
      <c r="R645" s="448"/>
      <c r="S645" s="464"/>
      <c r="V645" s="448"/>
      <c r="W645" s="464"/>
      <c r="Z645" s="448"/>
      <c r="AA645" s="464"/>
      <c r="AD645" s="448"/>
      <c r="AE645" s="464"/>
      <c r="AH645" s="448"/>
      <c r="AI645" s="464"/>
      <c r="AL645" s="448"/>
      <c r="AP645" s="448"/>
    </row>
    <row r="646" spans="1:42" ht="13">
      <c r="A646" s="462"/>
      <c r="B646" s="462"/>
      <c r="N646" s="448"/>
      <c r="O646" s="464"/>
      <c r="R646" s="448"/>
      <c r="S646" s="464"/>
      <c r="V646" s="448"/>
      <c r="W646" s="464"/>
      <c r="Z646" s="448"/>
      <c r="AA646" s="464"/>
      <c r="AD646" s="448"/>
      <c r="AE646" s="464"/>
      <c r="AH646" s="448"/>
      <c r="AI646" s="464"/>
      <c r="AL646" s="448"/>
      <c r="AP646" s="448"/>
    </row>
    <row r="647" spans="1:42" ht="13">
      <c r="A647" s="462"/>
      <c r="B647" s="462"/>
      <c r="N647" s="448"/>
      <c r="O647" s="464"/>
      <c r="R647" s="448"/>
      <c r="S647" s="464"/>
      <c r="V647" s="448"/>
      <c r="W647" s="464"/>
      <c r="Z647" s="448"/>
      <c r="AA647" s="464"/>
      <c r="AD647" s="448"/>
      <c r="AE647" s="464"/>
      <c r="AH647" s="448"/>
      <c r="AI647" s="464"/>
      <c r="AL647" s="448"/>
      <c r="AP647" s="448"/>
    </row>
    <row r="648" spans="1:42" ht="13">
      <c r="A648" s="462"/>
      <c r="B648" s="462"/>
      <c r="N648" s="448"/>
      <c r="O648" s="464"/>
      <c r="R648" s="448"/>
      <c r="S648" s="464"/>
      <c r="V648" s="448"/>
      <c r="W648" s="464"/>
      <c r="Z648" s="448"/>
      <c r="AA648" s="464"/>
      <c r="AD648" s="448"/>
      <c r="AE648" s="464"/>
      <c r="AH648" s="448"/>
      <c r="AI648" s="464"/>
      <c r="AL648" s="448"/>
      <c r="AP648" s="448"/>
    </row>
    <row r="649" spans="1:42" ht="13">
      <c r="A649" s="462"/>
      <c r="B649" s="462"/>
      <c r="N649" s="448"/>
      <c r="O649" s="464"/>
      <c r="R649" s="448"/>
      <c r="S649" s="464"/>
      <c r="V649" s="448"/>
      <c r="W649" s="464"/>
      <c r="Z649" s="448"/>
      <c r="AA649" s="464"/>
      <c r="AD649" s="448"/>
      <c r="AE649" s="464"/>
      <c r="AH649" s="448"/>
      <c r="AI649" s="464"/>
      <c r="AL649" s="448"/>
      <c r="AP649" s="448"/>
    </row>
    <row r="650" spans="1:42" ht="13">
      <c r="A650" s="462"/>
      <c r="B650" s="462"/>
      <c r="N650" s="448"/>
      <c r="O650" s="464"/>
      <c r="R650" s="448"/>
      <c r="S650" s="464"/>
      <c r="V650" s="448"/>
      <c r="W650" s="464"/>
      <c r="Z650" s="448"/>
      <c r="AA650" s="464"/>
      <c r="AD650" s="448"/>
      <c r="AE650" s="464"/>
      <c r="AH650" s="448"/>
      <c r="AI650" s="464"/>
      <c r="AL650" s="448"/>
      <c r="AP650" s="448"/>
    </row>
    <row r="651" spans="1:42" ht="13">
      <c r="A651" s="462"/>
      <c r="B651" s="462"/>
      <c r="N651" s="448"/>
      <c r="O651" s="464"/>
      <c r="R651" s="448"/>
      <c r="S651" s="464"/>
      <c r="V651" s="448"/>
      <c r="W651" s="464"/>
      <c r="Z651" s="448"/>
      <c r="AA651" s="464"/>
      <c r="AD651" s="448"/>
      <c r="AE651" s="464"/>
      <c r="AH651" s="448"/>
      <c r="AI651" s="464"/>
      <c r="AL651" s="448"/>
      <c r="AP651" s="448"/>
    </row>
    <row r="652" spans="1:42" ht="13">
      <c r="A652" s="462"/>
      <c r="B652" s="462"/>
      <c r="N652" s="448"/>
      <c r="O652" s="464"/>
      <c r="R652" s="448"/>
      <c r="S652" s="464"/>
      <c r="V652" s="448"/>
      <c r="W652" s="464"/>
      <c r="Z652" s="448"/>
      <c r="AA652" s="464"/>
      <c r="AD652" s="448"/>
      <c r="AE652" s="464"/>
      <c r="AH652" s="448"/>
      <c r="AI652" s="464"/>
      <c r="AL652" s="448"/>
      <c r="AP652" s="448"/>
    </row>
    <row r="653" spans="1:42" ht="13">
      <c r="A653" s="462"/>
      <c r="B653" s="462"/>
      <c r="N653" s="448"/>
      <c r="O653" s="464"/>
      <c r="R653" s="448"/>
      <c r="S653" s="464"/>
      <c r="V653" s="448"/>
      <c r="W653" s="464"/>
      <c r="Z653" s="448"/>
      <c r="AA653" s="464"/>
      <c r="AD653" s="448"/>
      <c r="AE653" s="464"/>
      <c r="AH653" s="448"/>
      <c r="AI653" s="464"/>
      <c r="AL653" s="448"/>
      <c r="AP653" s="448"/>
    </row>
    <row r="654" spans="1:42" ht="13">
      <c r="A654" s="462"/>
      <c r="B654" s="462"/>
      <c r="N654" s="448"/>
      <c r="O654" s="464"/>
      <c r="R654" s="448"/>
      <c r="S654" s="464"/>
      <c r="V654" s="448"/>
      <c r="W654" s="464"/>
      <c r="Z654" s="448"/>
      <c r="AA654" s="464"/>
      <c r="AD654" s="448"/>
      <c r="AE654" s="464"/>
      <c r="AH654" s="448"/>
      <c r="AI654" s="464"/>
      <c r="AL654" s="448"/>
      <c r="AP654" s="448"/>
    </row>
    <row r="655" spans="1:42" ht="13">
      <c r="A655" s="462"/>
      <c r="B655" s="462"/>
      <c r="N655" s="448"/>
      <c r="O655" s="464"/>
      <c r="R655" s="448"/>
      <c r="S655" s="464"/>
      <c r="V655" s="448"/>
      <c r="W655" s="464"/>
      <c r="Z655" s="448"/>
      <c r="AA655" s="464"/>
      <c r="AD655" s="448"/>
      <c r="AE655" s="464"/>
      <c r="AH655" s="448"/>
      <c r="AI655" s="464"/>
      <c r="AL655" s="448"/>
      <c r="AP655" s="448"/>
    </row>
    <row r="656" spans="1:42" ht="13">
      <c r="A656" s="462"/>
      <c r="B656" s="462"/>
      <c r="N656" s="448"/>
      <c r="O656" s="464"/>
      <c r="R656" s="448"/>
      <c r="S656" s="464"/>
      <c r="V656" s="448"/>
      <c r="W656" s="464"/>
      <c r="Z656" s="448"/>
      <c r="AA656" s="464"/>
      <c r="AD656" s="448"/>
      <c r="AE656" s="464"/>
      <c r="AH656" s="448"/>
      <c r="AI656" s="464"/>
      <c r="AL656" s="448"/>
      <c r="AP656" s="448"/>
    </row>
    <row r="657" spans="1:42" ht="13">
      <c r="A657" s="462"/>
      <c r="B657" s="462"/>
      <c r="N657" s="448"/>
      <c r="O657" s="464"/>
      <c r="R657" s="448"/>
      <c r="S657" s="464"/>
      <c r="V657" s="448"/>
      <c r="W657" s="464"/>
      <c r="Z657" s="448"/>
      <c r="AA657" s="464"/>
      <c r="AD657" s="448"/>
      <c r="AE657" s="464"/>
      <c r="AH657" s="448"/>
      <c r="AI657" s="464"/>
      <c r="AL657" s="448"/>
      <c r="AP657" s="448"/>
    </row>
    <row r="658" spans="1:42" ht="13">
      <c r="A658" s="462"/>
      <c r="B658" s="462"/>
      <c r="N658" s="448"/>
      <c r="O658" s="464"/>
      <c r="R658" s="448"/>
      <c r="S658" s="464"/>
      <c r="V658" s="448"/>
      <c r="W658" s="464"/>
      <c r="Z658" s="448"/>
      <c r="AA658" s="464"/>
      <c r="AD658" s="448"/>
      <c r="AE658" s="464"/>
      <c r="AH658" s="448"/>
      <c r="AI658" s="464"/>
      <c r="AL658" s="448"/>
      <c r="AP658" s="448"/>
    </row>
    <row r="659" spans="1:42" ht="13">
      <c r="A659" s="462"/>
      <c r="B659" s="462"/>
      <c r="N659" s="448"/>
      <c r="O659" s="464"/>
      <c r="R659" s="448"/>
      <c r="S659" s="464"/>
      <c r="V659" s="448"/>
      <c r="W659" s="464"/>
      <c r="Z659" s="448"/>
      <c r="AA659" s="464"/>
      <c r="AD659" s="448"/>
      <c r="AE659" s="464"/>
      <c r="AH659" s="448"/>
      <c r="AI659" s="464"/>
      <c r="AL659" s="448"/>
      <c r="AP659" s="448"/>
    </row>
    <row r="660" spans="1:42" ht="13">
      <c r="A660" s="462"/>
      <c r="B660" s="462"/>
      <c r="N660" s="448"/>
      <c r="O660" s="464"/>
      <c r="R660" s="448"/>
      <c r="S660" s="464"/>
      <c r="V660" s="448"/>
      <c r="W660" s="464"/>
      <c r="Z660" s="448"/>
      <c r="AA660" s="464"/>
      <c r="AD660" s="448"/>
      <c r="AE660" s="464"/>
      <c r="AH660" s="448"/>
      <c r="AI660" s="464"/>
      <c r="AL660" s="448"/>
      <c r="AP660" s="448"/>
    </row>
    <row r="661" spans="1:42" ht="13">
      <c r="A661" s="462"/>
      <c r="B661" s="462"/>
      <c r="N661" s="448"/>
      <c r="O661" s="464"/>
      <c r="R661" s="448"/>
      <c r="S661" s="464"/>
      <c r="V661" s="448"/>
      <c r="W661" s="464"/>
      <c r="Z661" s="448"/>
      <c r="AA661" s="464"/>
      <c r="AD661" s="448"/>
      <c r="AE661" s="464"/>
      <c r="AH661" s="448"/>
      <c r="AI661" s="464"/>
      <c r="AL661" s="448"/>
      <c r="AP661" s="448"/>
    </row>
    <row r="662" spans="1:42" ht="13">
      <c r="A662" s="462"/>
      <c r="B662" s="462"/>
      <c r="N662" s="448"/>
      <c r="O662" s="464"/>
      <c r="R662" s="448"/>
      <c r="S662" s="464"/>
      <c r="V662" s="448"/>
      <c r="W662" s="464"/>
      <c r="Z662" s="448"/>
      <c r="AA662" s="464"/>
      <c r="AD662" s="448"/>
      <c r="AE662" s="464"/>
      <c r="AH662" s="448"/>
      <c r="AI662" s="464"/>
      <c r="AL662" s="448"/>
      <c r="AP662" s="448"/>
    </row>
    <row r="663" spans="1:42" ht="13">
      <c r="A663" s="462"/>
      <c r="B663" s="462"/>
      <c r="N663" s="448"/>
      <c r="O663" s="464"/>
      <c r="R663" s="448"/>
      <c r="S663" s="464"/>
      <c r="V663" s="448"/>
      <c r="W663" s="464"/>
      <c r="Z663" s="448"/>
      <c r="AA663" s="464"/>
      <c r="AD663" s="448"/>
      <c r="AE663" s="464"/>
      <c r="AH663" s="448"/>
      <c r="AI663" s="464"/>
      <c r="AL663" s="448"/>
      <c r="AP663" s="448"/>
    </row>
    <row r="664" spans="1:42" ht="13">
      <c r="A664" s="462"/>
      <c r="B664" s="462"/>
      <c r="N664" s="448"/>
      <c r="O664" s="464"/>
      <c r="R664" s="448"/>
      <c r="S664" s="464"/>
      <c r="V664" s="448"/>
      <c r="W664" s="464"/>
      <c r="Z664" s="448"/>
      <c r="AA664" s="464"/>
      <c r="AD664" s="448"/>
      <c r="AE664" s="464"/>
      <c r="AH664" s="448"/>
      <c r="AI664" s="464"/>
      <c r="AL664" s="448"/>
      <c r="AP664" s="448"/>
    </row>
    <row r="665" spans="1:42" ht="13">
      <c r="A665" s="462"/>
      <c r="B665" s="462"/>
      <c r="N665" s="448"/>
      <c r="O665" s="464"/>
      <c r="R665" s="448"/>
      <c r="S665" s="464"/>
      <c r="V665" s="448"/>
      <c r="W665" s="464"/>
      <c r="Z665" s="448"/>
      <c r="AA665" s="464"/>
      <c r="AD665" s="448"/>
      <c r="AE665" s="464"/>
      <c r="AH665" s="448"/>
      <c r="AI665" s="464"/>
      <c r="AL665" s="448"/>
      <c r="AP665" s="448"/>
    </row>
    <row r="666" spans="1:42" ht="13">
      <c r="A666" s="462"/>
      <c r="B666" s="462"/>
      <c r="N666" s="448"/>
      <c r="O666" s="464"/>
      <c r="R666" s="448"/>
      <c r="S666" s="464"/>
      <c r="V666" s="448"/>
      <c r="W666" s="464"/>
      <c r="Z666" s="448"/>
      <c r="AA666" s="464"/>
      <c r="AD666" s="448"/>
      <c r="AE666" s="464"/>
      <c r="AH666" s="448"/>
      <c r="AI666" s="464"/>
      <c r="AL666" s="448"/>
      <c r="AP666" s="448"/>
    </row>
    <row r="667" spans="1:42" ht="13">
      <c r="A667" s="462"/>
      <c r="B667" s="462"/>
      <c r="N667" s="448"/>
      <c r="O667" s="464"/>
      <c r="R667" s="448"/>
      <c r="S667" s="464"/>
      <c r="V667" s="448"/>
      <c r="W667" s="464"/>
      <c r="Z667" s="448"/>
      <c r="AA667" s="464"/>
      <c r="AD667" s="448"/>
      <c r="AE667" s="464"/>
      <c r="AH667" s="448"/>
      <c r="AI667" s="464"/>
      <c r="AL667" s="448"/>
      <c r="AP667" s="448"/>
    </row>
    <row r="668" spans="1:42" ht="13">
      <c r="A668" s="462"/>
      <c r="B668" s="462"/>
      <c r="N668" s="448"/>
      <c r="O668" s="464"/>
      <c r="R668" s="448"/>
      <c r="S668" s="464"/>
      <c r="V668" s="448"/>
      <c r="W668" s="464"/>
      <c r="Z668" s="448"/>
      <c r="AA668" s="464"/>
      <c r="AD668" s="448"/>
      <c r="AE668" s="464"/>
      <c r="AH668" s="448"/>
      <c r="AI668" s="464"/>
      <c r="AL668" s="448"/>
      <c r="AP668" s="448"/>
    </row>
    <row r="669" spans="1:42" ht="13">
      <c r="A669" s="462"/>
      <c r="B669" s="462"/>
      <c r="N669" s="448"/>
      <c r="O669" s="464"/>
      <c r="R669" s="448"/>
      <c r="S669" s="464"/>
      <c r="V669" s="448"/>
      <c r="W669" s="464"/>
      <c r="Z669" s="448"/>
      <c r="AA669" s="464"/>
      <c r="AD669" s="448"/>
      <c r="AE669" s="464"/>
      <c r="AH669" s="448"/>
      <c r="AI669" s="464"/>
      <c r="AL669" s="448"/>
      <c r="AP669" s="448"/>
    </row>
    <row r="670" spans="1:42" ht="13">
      <c r="A670" s="462"/>
      <c r="B670" s="462"/>
      <c r="N670" s="448"/>
      <c r="O670" s="464"/>
      <c r="R670" s="448"/>
      <c r="S670" s="464"/>
      <c r="V670" s="448"/>
      <c r="W670" s="464"/>
      <c r="Z670" s="448"/>
      <c r="AA670" s="464"/>
      <c r="AD670" s="448"/>
      <c r="AE670" s="464"/>
      <c r="AH670" s="448"/>
      <c r="AI670" s="464"/>
      <c r="AL670" s="448"/>
      <c r="AP670" s="448"/>
    </row>
    <row r="671" spans="1:42" ht="13">
      <c r="A671" s="462"/>
      <c r="B671" s="462"/>
      <c r="N671" s="448"/>
      <c r="O671" s="464"/>
      <c r="R671" s="448"/>
      <c r="S671" s="464"/>
      <c r="V671" s="448"/>
      <c r="W671" s="464"/>
      <c r="Z671" s="448"/>
      <c r="AA671" s="464"/>
      <c r="AD671" s="448"/>
      <c r="AE671" s="464"/>
      <c r="AH671" s="448"/>
      <c r="AI671" s="464"/>
      <c r="AL671" s="448"/>
      <c r="AP671" s="448"/>
    </row>
    <row r="672" spans="1:42" ht="13">
      <c r="A672" s="462"/>
      <c r="B672" s="462"/>
      <c r="N672" s="448"/>
      <c r="O672" s="464"/>
      <c r="R672" s="448"/>
      <c r="S672" s="464"/>
      <c r="V672" s="448"/>
      <c r="W672" s="464"/>
      <c r="Z672" s="448"/>
      <c r="AA672" s="464"/>
      <c r="AD672" s="448"/>
      <c r="AE672" s="464"/>
      <c r="AH672" s="448"/>
      <c r="AI672" s="464"/>
      <c r="AL672" s="448"/>
      <c r="AP672" s="448"/>
    </row>
    <row r="673" spans="1:42" ht="13">
      <c r="A673" s="462"/>
      <c r="B673" s="462"/>
      <c r="N673" s="448"/>
      <c r="O673" s="464"/>
      <c r="R673" s="448"/>
      <c r="S673" s="464"/>
      <c r="V673" s="448"/>
      <c r="W673" s="464"/>
      <c r="Z673" s="448"/>
      <c r="AA673" s="464"/>
      <c r="AD673" s="448"/>
      <c r="AE673" s="464"/>
      <c r="AH673" s="448"/>
      <c r="AI673" s="464"/>
      <c r="AL673" s="448"/>
      <c r="AP673" s="448"/>
    </row>
    <row r="674" spans="1:42" ht="13">
      <c r="A674" s="462"/>
      <c r="B674" s="462"/>
      <c r="N674" s="448"/>
      <c r="O674" s="464"/>
      <c r="R674" s="448"/>
      <c r="S674" s="464"/>
      <c r="V674" s="448"/>
      <c r="W674" s="464"/>
      <c r="Z674" s="448"/>
      <c r="AA674" s="464"/>
      <c r="AD674" s="448"/>
      <c r="AE674" s="464"/>
      <c r="AH674" s="448"/>
      <c r="AI674" s="464"/>
      <c r="AL674" s="448"/>
      <c r="AP674" s="448"/>
    </row>
    <row r="675" spans="1:42" ht="13">
      <c r="A675" s="462"/>
      <c r="B675" s="462"/>
      <c r="N675" s="448"/>
      <c r="O675" s="464"/>
      <c r="R675" s="448"/>
      <c r="S675" s="464"/>
      <c r="V675" s="448"/>
      <c r="W675" s="464"/>
      <c r="Z675" s="448"/>
      <c r="AA675" s="464"/>
      <c r="AD675" s="448"/>
      <c r="AE675" s="464"/>
      <c r="AH675" s="448"/>
      <c r="AI675" s="464"/>
      <c r="AL675" s="448"/>
      <c r="AP675" s="448"/>
    </row>
    <row r="676" spans="1:42" ht="13">
      <c r="A676" s="462"/>
      <c r="B676" s="462"/>
      <c r="N676" s="448"/>
      <c r="O676" s="464"/>
      <c r="R676" s="448"/>
      <c r="S676" s="464"/>
      <c r="V676" s="448"/>
      <c r="W676" s="464"/>
      <c r="Z676" s="448"/>
      <c r="AA676" s="464"/>
      <c r="AD676" s="448"/>
      <c r="AE676" s="464"/>
      <c r="AH676" s="448"/>
      <c r="AI676" s="464"/>
      <c r="AL676" s="448"/>
      <c r="AP676" s="448"/>
    </row>
    <row r="677" spans="1:42" ht="13">
      <c r="A677" s="462"/>
      <c r="B677" s="462"/>
      <c r="N677" s="448"/>
      <c r="O677" s="464"/>
      <c r="R677" s="448"/>
      <c r="S677" s="464"/>
      <c r="V677" s="448"/>
      <c r="W677" s="464"/>
      <c r="Z677" s="448"/>
      <c r="AA677" s="464"/>
      <c r="AD677" s="448"/>
      <c r="AE677" s="464"/>
      <c r="AH677" s="448"/>
      <c r="AI677" s="464"/>
      <c r="AL677" s="448"/>
      <c r="AP677" s="448"/>
    </row>
    <row r="678" spans="1:42" ht="13">
      <c r="A678" s="462"/>
      <c r="B678" s="462"/>
      <c r="N678" s="448"/>
      <c r="O678" s="464"/>
      <c r="R678" s="448"/>
      <c r="S678" s="464"/>
      <c r="V678" s="448"/>
      <c r="W678" s="464"/>
      <c r="Z678" s="448"/>
      <c r="AA678" s="464"/>
      <c r="AD678" s="448"/>
      <c r="AE678" s="464"/>
      <c r="AH678" s="448"/>
      <c r="AI678" s="464"/>
      <c r="AL678" s="448"/>
      <c r="AP678" s="448"/>
    </row>
    <row r="679" spans="1:42" ht="13">
      <c r="A679" s="462"/>
      <c r="B679" s="462"/>
      <c r="N679" s="448"/>
      <c r="O679" s="464"/>
      <c r="R679" s="448"/>
      <c r="S679" s="464"/>
      <c r="V679" s="448"/>
      <c r="W679" s="464"/>
      <c r="Z679" s="448"/>
      <c r="AA679" s="464"/>
      <c r="AD679" s="448"/>
      <c r="AE679" s="464"/>
      <c r="AH679" s="448"/>
      <c r="AI679" s="464"/>
      <c r="AL679" s="448"/>
      <c r="AP679" s="448"/>
    </row>
    <row r="680" spans="1:42" ht="13">
      <c r="A680" s="462"/>
      <c r="B680" s="462"/>
      <c r="N680" s="448"/>
      <c r="O680" s="464"/>
      <c r="R680" s="448"/>
      <c r="S680" s="464"/>
      <c r="V680" s="448"/>
      <c r="W680" s="464"/>
      <c r="Z680" s="448"/>
      <c r="AA680" s="464"/>
      <c r="AD680" s="448"/>
      <c r="AE680" s="464"/>
      <c r="AH680" s="448"/>
      <c r="AI680" s="464"/>
      <c r="AL680" s="448"/>
      <c r="AP680" s="448"/>
    </row>
    <row r="681" spans="1:42" ht="13">
      <c r="A681" s="462"/>
      <c r="B681" s="462"/>
      <c r="N681" s="448"/>
      <c r="O681" s="464"/>
      <c r="R681" s="448"/>
      <c r="S681" s="464"/>
      <c r="V681" s="448"/>
      <c r="W681" s="464"/>
      <c r="Z681" s="448"/>
      <c r="AA681" s="464"/>
      <c r="AD681" s="448"/>
      <c r="AE681" s="464"/>
      <c r="AH681" s="448"/>
      <c r="AI681" s="464"/>
      <c r="AL681" s="448"/>
      <c r="AP681" s="448"/>
    </row>
    <row r="682" spans="1:42" ht="13">
      <c r="A682" s="462"/>
      <c r="B682" s="462"/>
      <c r="N682" s="448"/>
      <c r="O682" s="464"/>
      <c r="R682" s="448"/>
      <c r="S682" s="464"/>
      <c r="V682" s="448"/>
      <c r="W682" s="464"/>
      <c r="Z682" s="448"/>
      <c r="AA682" s="464"/>
      <c r="AD682" s="448"/>
      <c r="AE682" s="464"/>
      <c r="AH682" s="448"/>
      <c r="AI682" s="464"/>
      <c r="AL682" s="448"/>
      <c r="AP682" s="448"/>
    </row>
    <row r="683" spans="1:42" ht="13">
      <c r="A683" s="462"/>
      <c r="B683" s="462"/>
      <c r="N683" s="448"/>
      <c r="O683" s="464"/>
      <c r="R683" s="448"/>
      <c r="S683" s="464"/>
      <c r="V683" s="448"/>
      <c r="W683" s="464"/>
      <c r="Z683" s="448"/>
      <c r="AA683" s="464"/>
      <c r="AD683" s="448"/>
      <c r="AE683" s="464"/>
      <c r="AH683" s="448"/>
      <c r="AI683" s="464"/>
      <c r="AL683" s="448"/>
      <c r="AP683" s="448"/>
    </row>
    <row r="684" spans="1:42" ht="13">
      <c r="A684" s="462"/>
      <c r="B684" s="462"/>
      <c r="N684" s="448"/>
      <c r="O684" s="464"/>
      <c r="R684" s="448"/>
      <c r="S684" s="464"/>
      <c r="V684" s="448"/>
      <c r="W684" s="464"/>
      <c r="Z684" s="448"/>
      <c r="AA684" s="464"/>
      <c r="AD684" s="448"/>
      <c r="AE684" s="464"/>
      <c r="AH684" s="448"/>
      <c r="AI684" s="464"/>
      <c r="AL684" s="448"/>
      <c r="AP684" s="448"/>
    </row>
    <row r="685" spans="1:42" ht="13">
      <c r="A685" s="462"/>
      <c r="B685" s="462"/>
      <c r="N685" s="448"/>
      <c r="O685" s="464"/>
      <c r="R685" s="448"/>
      <c r="S685" s="464"/>
      <c r="V685" s="448"/>
      <c r="W685" s="464"/>
      <c r="Z685" s="448"/>
      <c r="AA685" s="464"/>
      <c r="AD685" s="448"/>
      <c r="AE685" s="464"/>
      <c r="AH685" s="448"/>
      <c r="AI685" s="464"/>
      <c r="AL685" s="448"/>
      <c r="AP685" s="448"/>
    </row>
    <row r="686" spans="1:42" ht="13">
      <c r="A686" s="462"/>
      <c r="B686" s="462"/>
      <c r="N686" s="448"/>
      <c r="O686" s="464"/>
      <c r="R686" s="448"/>
      <c r="S686" s="464"/>
      <c r="V686" s="448"/>
      <c r="W686" s="464"/>
      <c r="Z686" s="448"/>
      <c r="AA686" s="464"/>
      <c r="AD686" s="448"/>
      <c r="AE686" s="464"/>
      <c r="AH686" s="448"/>
      <c r="AI686" s="464"/>
      <c r="AL686" s="448"/>
      <c r="AP686" s="448"/>
    </row>
    <row r="687" spans="1:42" ht="13">
      <c r="A687" s="462"/>
      <c r="B687" s="462"/>
      <c r="N687" s="448"/>
      <c r="O687" s="464"/>
      <c r="R687" s="448"/>
      <c r="S687" s="464"/>
      <c r="V687" s="448"/>
      <c r="W687" s="464"/>
      <c r="Z687" s="448"/>
      <c r="AA687" s="464"/>
      <c r="AD687" s="448"/>
      <c r="AE687" s="464"/>
      <c r="AH687" s="448"/>
      <c r="AI687" s="464"/>
      <c r="AL687" s="448"/>
      <c r="AP687" s="448"/>
    </row>
    <row r="688" spans="1:42" ht="13">
      <c r="A688" s="462"/>
      <c r="B688" s="462"/>
      <c r="N688" s="448"/>
      <c r="O688" s="464"/>
      <c r="R688" s="448"/>
      <c r="S688" s="464"/>
      <c r="V688" s="448"/>
      <c r="W688" s="464"/>
      <c r="Z688" s="448"/>
      <c r="AA688" s="464"/>
      <c r="AD688" s="448"/>
      <c r="AE688" s="464"/>
      <c r="AH688" s="448"/>
      <c r="AI688" s="464"/>
      <c r="AL688" s="448"/>
      <c r="AP688" s="448"/>
    </row>
    <row r="689" spans="1:42" ht="13">
      <c r="A689" s="462"/>
      <c r="B689" s="462"/>
      <c r="N689" s="448"/>
      <c r="O689" s="464"/>
      <c r="R689" s="448"/>
      <c r="S689" s="464"/>
      <c r="V689" s="448"/>
      <c r="W689" s="464"/>
      <c r="Z689" s="448"/>
      <c r="AA689" s="464"/>
      <c r="AD689" s="448"/>
      <c r="AE689" s="464"/>
      <c r="AH689" s="448"/>
      <c r="AI689" s="464"/>
      <c r="AL689" s="448"/>
      <c r="AP689" s="448"/>
    </row>
    <row r="690" spans="1:42" ht="13">
      <c r="A690" s="462"/>
      <c r="B690" s="462"/>
      <c r="N690" s="448"/>
      <c r="O690" s="464"/>
      <c r="R690" s="448"/>
      <c r="S690" s="464"/>
      <c r="V690" s="448"/>
      <c r="W690" s="464"/>
      <c r="Z690" s="448"/>
      <c r="AA690" s="464"/>
      <c r="AD690" s="448"/>
      <c r="AE690" s="464"/>
      <c r="AH690" s="448"/>
      <c r="AI690" s="464"/>
      <c r="AL690" s="448"/>
      <c r="AP690" s="448"/>
    </row>
    <row r="691" spans="1:42" ht="13">
      <c r="A691" s="462"/>
      <c r="B691" s="462"/>
      <c r="N691" s="448"/>
      <c r="O691" s="464"/>
      <c r="R691" s="448"/>
      <c r="S691" s="464"/>
      <c r="V691" s="448"/>
      <c r="W691" s="464"/>
      <c r="Z691" s="448"/>
      <c r="AA691" s="464"/>
      <c r="AD691" s="448"/>
      <c r="AE691" s="464"/>
      <c r="AH691" s="448"/>
      <c r="AI691" s="464"/>
      <c r="AL691" s="448"/>
      <c r="AP691" s="448"/>
    </row>
    <row r="692" spans="1:42" ht="13">
      <c r="A692" s="462"/>
      <c r="B692" s="462"/>
      <c r="N692" s="448"/>
      <c r="O692" s="464"/>
      <c r="R692" s="448"/>
      <c r="S692" s="464"/>
      <c r="V692" s="448"/>
      <c r="W692" s="464"/>
      <c r="Z692" s="448"/>
      <c r="AA692" s="464"/>
      <c r="AD692" s="448"/>
      <c r="AE692" s="464"/>
      <c r="AH692" s="448"/>
      <c r="AI692" s="464"/>
      <c r="AL692" s="448"/>
      <c r="AP692" s="448"/>
    </row>
    <row r="693" spans="1:42" ht="13">
      <c r="A693" s="462"/>
      <c r="B693" s="462"/>
      <c r="N693" s="448"/>
      <c r="O693" s="464"/>
      <c r="R693" s="448"/>
      <c r="S693" s="464"/>
      <c r="V693" s="448"/>
      <c r="W693" s="464"/>
      <c r="Z693" s="448"/>
      <c r="AA693" s="464"/>
      <c r="AD693" s="448"/>
      <c r="AE693" s="464"/>
      <c r="AH693" s="448"/>
      <c r="AI693" s="464"/>
      <c r="AL693" s="448"/>
      <c r="AP693" s="448"/>
    </row>
    <row r="694" spans="1:42" ht="13">
      <c r="A694" s="462"/>
      <c r="B694" s="462"/>
      <c r="N694" s="448"/>
      <c r="O694" s="464"/>
      <c r="R694" s="448"/>
      <c r="S694" s="464"/>
      <c r="V694" s="448"/>
      <c r="W694" s="464"/>
      <c r="Z694" s="448"/>
      <c r="AA694" s="464"/>
      <c r="AD694" s="448"/>
      <c r="AE694" s="464"/>
      <c r="AH694" s="448"/>
      <c r="AI694" s="464"/>
      <c r="AL694" s="448"/>
      <c r="AP694" s="448"/>
    </row>
    <row r="695" spans="1:42" ht="13">
      <c r="A695" s="462"/>
      <c r="B695" s="462"/>
      <c r="N695" s="448"/>
      <c r="O695" s="464"/>
      <c r="R695" s="448"/>
      <c r="S695" s="464"/>
      <c r="V695" s="448"/>
      <c r="W695" s="464"/>
      <c r="Z695" s="448"/>
      <c r="AA695" s="464"/>
      <c r="AD695" s="448"/>
      <c r="AE695" s="464"/>
      <c r="AH695" s="448"/>
      <c r="AI695" s="464"/>
      <c r="AL695" s="448"/>
      <c r="AP695" s="448"/>
    </row>
    <row r="696" spans="1:42" ht="13">
      <c r="A696" s="462"/>
      <c r="B696" s="462"/>
      <c r="N696" s="448"/>
      <c r="O696" s="464"/>
      <c r="R696" s="448"/>
      <c r="S696" s="464"/>
      <c r="V696" s="448"/>
      <c r="W696" s="464"/>
      <c r="Z696" s="448"/>
      <c r="AA696" s="464"/>
      <c r="AD696" s="448"/>
      <c r="AE696" s="464"/>
      <c r="AH696" s="448"/>
      <c r="AI696" s="464"/>
      <c r="AL696" s="448"/>
      <c r="AP696" s="448"/>
    </row>
    <row r="697" spans="1:42" ht="13">
      <c r="A697" s="462"/>
      <c r="B697" s="462"/>
      <c r="N697" s="448"/>
      <c r="O697" s="464"/>
      <c r="R697" s="448"/>
      <c r="S697" s="464"/>
      <c r="V697" s="448"/>
      <c r="W697" s="464"/>
      <c r="Z697" s="448"/>
      <c r="AA697" s="464"/>
      <c r="AD697" s="448"/>
      <c r="AE697" s="464"/>
      <c r="AH697" s="448"/>
      <c r="AI697" s="464"/>
      <c r="AL697" s="448"/>
      <c r="AP697" s="448"/>
    </row>
    <row r="698" spans="1:42" ht="13">
      <c r="A698" s="462"/>
      <c r="B698" s="462"/>
      <c r="N698" s="448"/>
      <c r="O698" s="464"/>
      <c r="R698" s="448"/>
      <c r="S698" s="464"/>
      <c r="V698" s="448"/>
      <c r="W698" s="464"/>
      <c r="Z698" s="448"/>
      <c r="AA698" s="464"/>
      <c r="AD698" s="448"/>
      <c r="AE698" s="464"/>
      <c r="AH698" s="448"/>
      <c r="AI698" s="464"/>
      <c r="AL698" s="448"/>
      <c r="AP698" s="448"/>
    </row>
    <row r="699" spans="1:42" ht="13">
      <c r="A699" s="462"/>
      <c r="B699" s="462"/>
      <c r="N699" s="448"/>
      <c r="O699" s="464"/>
      <c r="R699" s="448"/>
      <c r="S699" s="464"/>
      <c r="V699" s="448"/>
      <c r="W699" s="464"/>
      <c r="Z699" s="448"/>
      <c r="AA699" s="464"/>
      <c r="AD699" s="448"/>
      <c r="AE699" s="464"/>
      <c r="AH699" s="448"/>
      <c r="AI699" s="464"/>
      <c r="AL699" s="448"/>
      <c r="AP699" s="448"/>
    </row>
    <row r="700" spans="1:42" ht="13">
      <c r="A700" s="462"/>
      <c r="B700" s="462"/>
      <c r="N700" s="448"/>
      <c r="O700" s="464"/>
      <c r="R700" s="448"/>
      <c r="S700" s="464"/>
      <c r="V700" s="448"/>
      <c r="W700" s="464"/>
      <c r="Z700" s="448"/>
      <c r="AA700" s="464"/>
      <c r="AD700" s="448"/>
      <c r="AE700" s="464"/>
      <c r="AH700" s="448"/>
      <c r="AI700" s="464"/>
      <c r="AL700" s="448"/>
      <c r="AP700" s="448"/>
    </row>
    <row r="701" spans="1:42" ht="13">
      <c r="A701" s="462"/>
      <c r="B701" s="462"/>
      <c r="N701" s="448"/>
      <c r="O701" s="464"/>
      <c r="R701" s="448"/>
      <c r="S701" s="464"/>
      <c r="V701" s="448"/>
      <c r="W701" s="464"/>
      <c r="Z701" s="448"/>
      <c r="AA701" s="464"/>
      <c r="AD701" s="448"/>
      <c r="AE701" s="464"/>
      <c r="AH701" s="448"/>
      <c r="AI701" s="464"/>
      <c r="AL701" s="448"/>
      <c r="AP701" s="448"/>
    </row>
    <row r="702" spans="1:42" ht="13">
      <c r="A702" s="462"/>
      <c r="B702" s="462"/>
      <c r="N702" s="448"/>
      <c r="O702" s="464"/>
      <c r="R702" s="448"/>
      <c r="S702" s="464"/>
      <c r="V702" s="448"/>
      <c r="W702" s="464"/>
      <c r="Z702" s="448"/>
      <c r="AA702" s="464"/>
      <c r="AD702" s="448"/>
      <c r="AE702" s="464"/>
      <c r="AH702" s="448"/>
      <c r="AI702" s="464"/>
      <c r="AL702" s="448"/>
      <c r="AP702" s="448"/>
    </row>
    <row r="703" spans="1:42" ht="13">
      <c r="A703" s="462"/>
      <c r="B703" s="462"/>
      <c r="N703" s="448"/>
      <c r="O703" s="464"/>
      <c r="R703" s="448"/>
      <c r="S703" s="464"/>
      <c r="V703" s="448"/>
      <c r="W703" s="464"/>
      <c r="Z703" s="448"/>
      <c r="AA703" s="464"/>
      <c r="AD703" s="448"/>
      <c r="AE703" s="464"/>
      <c r="AH703" s="448"/>
      <c r="AI703" s="464"/>
      <c r="AL703" s="448"/>
      <c r="AP703" s="448"/>
    </row>
    <row r="704" spans="1:42" ht="13">
      <c r="A704" s="462"/>
      <c r="B704" s="462"/>
      <c r="N704" s="448"/>
      <c r="O704" s="464"/>
      <c r="R704" s="448"/>
      <c r="S704" s="464"/>
      <c r="V704" s="448"/>
      <c r="W704" s="464"/>
      <c r="Z704" s="448"/>
      <c r="AA704" s="464"/>
      <c r="AD704" s="448"/>
      <c r="AE704" s="464"/>
      <c r="AH704" s="448"/>
      <c r="AI704" s="464"/>
      <c r="AL704" s="448"/>
      <c r="AP704" s="448"/>
    </row>
    <row r="705" spans="1:42" ht="13">
      <c r="A705" s="462"/>
      <c r="B705" s="462"/>
      <c r="N705" s="448"/>
      <c r="O705" s="464"/>
      <c r="R705" s="448"/>
      <c r="S705" s="464"/>
      <c r="V705" s="448"/>
      <c r="W705" s="464"/>
      <c r="Z705" s="448"/>
      <c r="AA705" s="464"/>
      <c r="AD705" s="448"/>
      <c r="AE705" s="464"/>
      <c r="AH705" s="448"/>
      <c r="AI705" s="464"/>
      <c r="AL705" s="448"/>
      <c r="AP705" s="448"/>
    </row>
    <row r="706" spans="1:42" ht="13">
      <c r="A706" s="462"/>
      <c r="B706" s="462"/>
      <c r="N706" s="448"/>
      <c r="O706" s="464"/>
      <c r="R706" s="448"/>
      <c r="S706" s="464"/>
      <c r="V706" s="448"/>
      <c r="W706" s="464"/>
      <c r="Z706" s="448"/>
      <c r="AA706" s="464"/>
      <c r="AD706" s="448"/>
      <c r="AE706" s="464"/>
      <c r="AH706" s="448"/>
      <c r="AI706" s="464"/>
      <c r="AL706" s="448"/>
      <c r="AP706" s="448"/>
    </row>
    <row r="707" spans="1:42" ht="13">
      <c r="A707" s="462"/>
      <c r="B707" s="462"/>
      <c r="N707" s="448"/>
      <c r="O707" s="464"/>
      <c r="R707" s="448"/>
      <c r="S707" s="464"/>
      <c r="V707" s="448"/>
      <c r="W707" s="464"/>
      <c r="Z707" s="448"/>
      <c r="AA707" s="464"/>
      <c r="AD707" s="448"/>
      <c r="AE707" s="464"/>
      <c r="AH707" s="448"/>
      <c r="AI707" s="464"/>
      <c r="AL707" s="448"/>
      <c r="AP707" s="448"/>
    </row>
    <row r="708" spans="1:42" ht="13">
      <c r="A708" s="462"/>
      <c r="B708" s="462"/>
      <c r="N708" s="448"/>
      <c r="O708" s="464"/>
      <c r="R708" s="448"/>
      <c r="S708" s="464"/>
      <c r="V708" s="448"/>
      <c r="W708" s="464"/>
      <c r="Z708" s="448"/>
      <c r="AA708" s="464"/>
      <c r="AD708" s="448"/>
      <c r="AE708" s="464"/>
      <c r="AH708" s="448"/>
      <c r="AI708" s="464"/>
      <c r="AL708" s="448"/>
      <c r="AP708" s="448"/>
    </row>
    <row r="709" spans="1:42" ht="13">
      <c r="A709" s="462"/>
      <c r="B709" s="462"/>
      <c r="N709" s="448"/>
      <c r="O709" s="464"/>
      <c r="R709" s="448"/>
      <c r="S709" s="464"/>
      <c r="V709" s="448"/>
      <c r="W709" s="464"/>
      <c r="Z709" s="448"/>
      <c r="AA709" s="464"/>
      <c r="AD709" s="448"/>
      <c r="AE709" s="464"/>
      <c r="AH709" s="448"/>
      <c r="AI709" s="464"/>
      <c r="AL709" s="448"/>
      <c r="AP709" s="448"/>
    </row>
    <row r="710" spans="1:42" ht="13">
      <c r="A710" s="462"/>
      <c r="B710" s="462"/>
      <c r="N710" s="448"/>
      <c r="O710" s="464"/>
      <c r="R710" s="448"/>
      <c r="S710" s="464"/>
      <c r="V710" s="448"/>
      <c r="W710" s="464"/>
      <c r="Z710" s="448"/>
      <c r="AA710" s="464"/>
      <c r="AD710" s="448"/>
      <c r="AE710" s="464"/>
      <c r="AH710" s="448"/>
      <c r="AI710" s="464"/>
      <c r="AL710" s="448"/>
      <c r="AP710" s="448"/>
    </row>
    <row r="711" spans="1:42" ht="13">
      <c r="A711" s="462"/>
      <c r="B711" s="462"/>
      <c r="N711" s="448"/>
      <c r="O711" s="464"/>
      <c r="R711" s="448"/>
      <c r="S711" s="464"/>
      <c r="V711" s="448"/>
      <c r="W711" s="464"/>
      <c r="Z711" s="448"/>
      <c r="AA711" s="464"/>
      <c r="AD711" s="448"/>
      <c r="AE711" s="464"/>
      <c r="AH711" s="448"/>
      <c r="AI711" s="464"/>
      <c r="AL711" s="448"/>
      <c r="AP711" s="448"/>
    </row>
    <row r="712" spans="1:42" ht="13">
      <c r="A712" s="462"/>
      <c r="B712" s="462"/>
      <c r="N712" s="448"/>
      <c r="O712" s="464"/>
      <c r="R712" s="448"/>
      <c r="S712" s="464"/>
      <c r="V712" s="448"/>
      <c r="W712" s="464"/>
      <c r="Z712" s="448"/>
      <c r="AA712" s="464"/>
      <c r="AD712" s="448"/>
      <c r="AE712" s="464"/>
      <c r="AH712" s="448"/>
      <c r="AI712" s="464"/>
      <c r="AL712" s="448"/>
      <c r="AP712" s="448"/>
    </row>
    <row r="713" spans="1:42" ht="13">
      <c r="A713" s="462"/>
      <c r="B713" s="462"/>
      <c r="N713" s="448"/>
      <c r="O713" s="464"/>
      <c r="R713" s="448"/>
      <c r="S713" s="464"/>
      <c r="V713" s="448"/>
      <c r="W713" s="464"/>
      <c r="Z713" s="448"/>
      <c r="AA713" s="464"/>
      <c r="AD713" s="448"/>
      <c r="AE713" s="464"/>
      <c r="AH713" s="448"/>
      <c r="AI713" s="464"/>
      <c r="AL713" s="448"/>
      <c r="AP713" s="448"/>
    </row>
    <row r="714" spans="1:42" ht="13">
      <c r="A714" s="462"/>
      <c r="B714" s="462"/>
      <c r="N714" s="448"/>
      <c r="O714" s="464"/>
      <c r="R714" s="448"/>
      <c r="S714" s="464"/>
      <c r="V714" s="448"/>
      <c r="W714" s="464"/>
      <c r="Z714" s="448"/>
      <c r="AA714" s="464"/>
      <c r="AD714" s="448"/>
      <c r="AE714" s="464"/>
      <c r="AH714" s="448"/>
      <c r="AI714" s="464"/>
      <c r="AL714" s="448"/>
      <c r="AP714" s="448"/>
    </row>
    <row r="715" spans="1:42" ht="13">
      <c r="A715" s="462"/>
      <c r="B715" s="462"/>
      <c r="N715" s="448"/>
      <c r="O715" s="464"/>
      <c r="R715" s="448"/>
      <c r="S715" s="464"/>
      <c r="V715" s="448"/>
      <c r="W715" s="464"/>
      <c r="Z715" s="448"/>
      <c r="AA715" s="464"/>
      <c r="AD715" s="448"/>
      <c r="AE715" s="464"/>
      <c r="AH715" s="448"/>
      <c r="AI715" s="464"/>
      <c r="AL715" s="448"/>
      <c r="AP715" s="448"/>
    </row>
    <row r="716" spans="1:42" ht="13">
      <c r="A716" s="462"/>
      <c r="B716" s="462"/>
      <c r="N716" s="448"/>
      <c r="O716" s="464"/>
      <c r="R716" s="448"/>
      <c r="S716" s="464"/>
      <c r="V716" s="448"/>
      <c r="W716" s="464"/>
      <c r="Z716" s="448"/>
      <c r="AA716" s="464"/>
      <c r="AD716" s="448"/>
      <c r="AE716" s="464"/>
      <c r="AH716" s="448"/>
      <c r="AI716" s="464"/>
      <c r="AL716" s="448"/>
      <c r="AP716" s="448"/>
    </row>
    <row r="717" spans="1:42" ht="13">
      <c r="A717" s="462"/>
      <c r="B717" s="462"/>
      <c r="N717" s="448"/>
      <c r="O717" s="464"/>
      <c r="R717" s="448"/>
      <c r="S717" s="464"/>
      <c r="V717" s="448"/>
      <c r="W717" s="464"/>
      <c r="Z717" s="448"/>
      <c r="AA717" s="464"/>
      <c r="AD717" s="448"/>
      <c r="AE717" s="464"/>
      <c r="AH717" s="448"/>
      <c r="AI717" s="464"/>
      <c r="AL717" s="448"/>
      <c r="AP717" s="448"/>
    </row>
    <row r="718" spans="1:42" ht="13">
      <c r="A718" s="462"/>
      <c r="B718" s="462"/>
      <c r="N718" s="448"/>
      <c r="O718" s="464"/>
      <c r="R718" s="448"/>
      <c r="S718" s="464"/>
      <c r="V718" s="448"/>
      <c r="W718" s="464"/>
      <c r="Z718" s="448"/>
      <c r="AA718" s="464"/>
      <c r="AD718" s="448"/>
      <c r="AE718" s="464"/>
      <c r="AH718" s="448"/>
      <c r="AI718" s="464"/>
      <c r="AL718" s="448"/>
      <c r="AP718" s="448"/>
    </row>
    <row r="719" spans="1:42" ht="13">
      <c r="A719" s="462"/>
      <c r="B719" s="462"/>
      <c r="N719" s="448"/>
      <c r="O719" s="464"/>
      <c r="R719" s="448"/>
      <c r="S719" s="464"/>
      <c r="V719" s="448"/>
      <c r="W719" s="464"/>
      <c r="Z719" s="448"/>
      <c r="AA719" s="464"/>
      <c r="AD719" s="448"/>
      <c r="AE719" s="464"/>
      <c r="AH719" s="448"/>
      <c r="AI719" s="464"/>
      <c r="AL719" s="448"/>
      <c r="AP719" s="448"/>
    </row>
    <row r="720" spans="1:42" ht="13">
      <c r="A720" s="462"/>
      <c r="B720" s="462"/>
      <c r="N720" s="448"/>
      <c r="O720" s="464"/>
      <c r="R720" s="448"/>
      <c r="S720" s="464"/>
      <c r="V720" s="448"/>
      <c r="W720" s="464"/>
      <c r="Z720" s="448"/>
      <c r="AA720" s="464"/>
      <c r="AD720" s="448"/>
      <c r="AE720" s="464"/>
      <c r="AH720" s="448"/>
      <c r="AI720" s="464"/>
      <c r="AL720" s="448"/>
      <c r="AP720" s="448"/>
    </row>
    <row r="721" spans="1:42" ht="13">
      <c r="A721" s="462"/>
      <c r="B721" s="462"/>
      <c r="N721" s="448"/>
      <c r="O721" s="464"/>
      <c r="R721" s="448"/>
      <c r="S721" s="464"/>
      <c r="V721" s="448"/>
      <c r="W721" s="464"/>
      <c r="Z721" s="448"/>
      <c r="AA721" s="464"/>
      <c r="AD721" s="448"/>
      <c r="AE721" s="464"/>
      <c r="AH721" s="448"/>
      <c r="AI721" s="464"/>
      <c r="AL721" s="448"/>
      <c r="AP721" s="448"/>
    </row>
    <row r="722" spans="1:42" ht="13">
      <c r="A722" s="462"/>
      <c r="B722" s="462"/>
      <c r="N722" s="448"/>
      <c r="O722" s="464"/>
      <c r="R722" s="448"/>
      <c r="S722" s="464"/>
      <c r="V722" s="448"/>
      <c r="W722" s="464"/>
      <c r="Z722" s="448"/>
      <c r="AA722" s="464"/>
      <c r="AD722" s="448"/>
      <c r="AE722" s="464"/>
      <c r="AH722" s="448"/>
      <c r="AI722" s="464"/>
      <c r="AL722" s="448"/>
      <c r="AP722" s="448"/>
    </row>
    <row r="723" spans="1:42" ht="13">
      <c r="A723" s="462"/>
      <c r="B723" s="462"/>
      <c r="N723" s="448"/>
      <c r="O723" s="464"/>
      <c r="R723" s="448"/>
      <c r="S723" s="464"/>
      <c r="V723" s="448"/>
      <c r="W723" s="464"/>
      <c r="Z723" s="448"/>
      <c r="AA723" s="464"/>
      <c r="AD723" s="448"/>
      <c r="AE723" s="464"/>
      <c r="AH723" s="448"/>
      <c r="AI723" s="464"/>
      <c r="AL723" s="448"/>
      <c r="AP723" s="448"/>
    </row>
    <row r="724" spans="1:42" ht="13">
      <c r="A724" s="462"/>
      <c r="B724" s="462"/>
      <c r="N724" s="448"/>
      <c r="O724" s="464"/>
      <c r="R724" s="448"/>
      <c r="S724" s="464"/>
      <c r="V724" s="448"/>
      <c r="W724" s="464"/>
      <c r="Z724" s="448"/>
      <c r="AA724" s="464"/>
      <c r="AD724" s="448"/>
      <c r="AE724" s="464"/>
      <c r="AH724" s="448"/>
      <c r="AI724" s="464"/>
      <c r="AL724" s="448"/>
      <c r="AP724" s="448"/>
    </row>
    <row r="725" spans="1:42" ht="13">
      <c r="A725" s="462"/>
      <c r="B725" s="462"/>
      <c r="N725" s="448"/>
      <c r="O725" s="464"/>
      <c r="R725" s="448"/>
      <c r="S725" s="464"/>
      <c r="V725" s="448"/>
      <c r="W725" s="464"/>
      <c r="Z725" s="448"/>
      <c r="AA725" s="464"/>
      <c r="AD725" s="448"/>
      <c r="AE725" s="464"/>
      <c r="AH725" s="448"/>
      <c r="AI725" s="464"/>
      <c r="AL725" s="448"/>
      <c r="AP725" s="448"/>
    </row>
    <row r="726" spans="1:42" ht="13">
      <c r="A726" s="462"/>
      <c r="B726" s="462"/>
      <c r="N726" s="448"/>
      <c r="O726" s="464"/>
      <c r="R726" s="448"/>
      <c r="S726" s="464"/>
      <c r="V726" s="448"/>
      <c r="W726" s="464"/>
      <c r="Z726" s="448"/>
      <c r="AA726" s="464"/>
      <c r="AD726" s="448"/>
      <c r="AE726" s="464"/>
      <c r="AH726" s="448"/>
      <c r="AI726" s="464"/>
      <c r="AL726" s="448"/>
      <c r="AP726" s="448"/>
    </row>
    <row r="727" spans="1:42" ht="13">
      <c r="A727" s="462"/>
      <c r="B727" s="462"/>
      <c r="N727" s="448"/>
      <c r="O727" s="464"/>
      <c r="R727" s="448"/>
      <c r="S727" s="464"/>
      <c r="V727" s="448"/>
      <c r="W727" s="464"/>
      <c r="Z727" s="448"/>
      <c r="AA727" s="464"/>
      <c r="AD727" s="448"/>
      <c r="AE727" s="464"/>
      <c r="AH727" s="448"/>
      <c r="AI727" s="464"/>
      <c r="AL727" s="448"/>
      <c r="AP727" s="448"/>
    </row>
    <row r="728" spans="1:42" ht="13">
      <c r="A728" s="462"/>
      <c r="B728" s="462"/>
      <c r="N728" s="448"/>
      <c r="O728" s="464"/>
      <c r="R728" s="448"/>
      <c r="S728" s="464"/>
      <c r="V728" s="448"/>
      <c r="W728" s="464"/>
      <c r="Z728" s="448"/>
      <c r="AA728" s="464"/>
      <c r="AD728" s="448"/>
      <c r="AE728" s="464"/>
      <c r="AH728" s="448"/>
      <c r="AI728" s="464"/>
      <c r="AL728" s="448"/>
      <c r="AP728" s="448"/>
    </row>
    <row r="729" spans="1:42" ht="13">
      <c r="A729" s="462"/>
      <c r="B729" s="462"/>
      <c r="N729" s="448"/>
      <c r="O729" s="464"/>
      <c r="R729" s="448"/>
      <c r="S729" s="464"/>
      <c r="V729" s="448"/>
      <c r="W729" s="464"/>
      <c r="Z729" s="448"/>
      <c r="AA729" s="464"/>
      <c r="AD729" s="448"/>
      <c r="AE729" s="464"/>
      <c r="AH729" s="448"/>
      <c r="AI729" s="464"/>
      <c r="AL729" s="448"/>
      <c r="AP729" s="448"/>
    </row>
    <row r="730" spans="1:42" ht="13">
      <c r="A730" s="462"/>
      <c r="B730" s="462"/>
      <c r="N730" s="448"/>
      <c r="O730" s="464"/>
      <c r="R730" s="448"/>
      <c r="S730" s="464"/>
      <c r="V730" s="448"/>
      <c r="W730" s="464"/>
      <c r="Z730" s="448"/>
      <c r="AA730" s="464"/>
      <c r="AD730" s="448"/>
      <c r="AE730" s="464"/>
      <c r="AH730" s="448"/>
      <c r="AI730" s="464"/>
      <c r="AL730" s="448"/>
      <c r="AP730" s="448"/>
    </row>
    <row r="731" spans="1:42" ht="13">
      <c r="A731" s="462"/>
      <c r="B731" s="462"/>
      <c r="N731" s="448"/>
      <c r="O731" s="464"/>
      <c r="R731" s="448"/>
      <c r="S731" s="464"/>
      <c r="V731" s="448"/>
      <c r="W731" s="464"/>
      <c r="Z731" s="448"/>
      <c r="AA731" s="464"/>
      <c r="AD731" s="448"/>
      <c r="AE731" s="464"/>
      <c r="AH731" s="448"/>
      <c r="AI731" s="464"/>
      <c r="AL731" s="448"/>
      <c r="AP731" s="448"/>
    </row>
    <row r="732" spans="1:42" ht="13">
      <c r="A732" s="462"/>
      <c r="B732" s="462"/>
      <c r="N732" s="448"/>
      <c r="O732" s="464"/>
      <c r="R732" s="448"/>
      <c r="S732" s="464"/>
      <c r="V732" s="448"/>
      <c r="W732" s="464"/>
      <c r="Z732" s="448"/>
      <c r="AA732" s="464"/>
      <c r="AD732" s="448"/>
      <c r="AE732" s="464"/>
      <c r="AH732" s="448"/>
      <c r="AI732" s="464"/>
      <c r="AL732" s="448"/>
      <c r="AP732" s="448"/>
    </row>
    <row r="733" spans="1:42" ht="13">
      <c r="A733" s="462"/>
      <c r="B733" s="462"/>
      <c r="N733" s="448"/>
      <c r="O733" s="464"/>
      <c r="R733" s="448"/>
      <c r="S733" s="464"/>
      <c r="V733" s="448"/>
      <c r="W733" s="464"/>
      <c r="Z733" s="448"/>
      <c r="AA733" s="464"/>
      <c r="AD733" s="448"/>
      <c r="AE733" s="464"/>
      <c r="AH733" s="448"/>
      <c r="AI733" s="464"/>
      <c r="AL733" s="448"/>
      <c r="AP733" s="448"/>
    </row>
    <row r="734" spans="1:42" ht="13">
      <c r="A734" s="462"/>
      <c r="B734" s="462"/>
      <c r="N734" s="448"/>
      <c r="O734" s="464"/>
      <c r="R734" s="448"/>
      <c r="S734" s="464"/>
      <c r="V734" s="448"/>
      <c r="W734" s="464"/>
      <c r="Z734" s="448"/>
      <c r="AA734" s="464"/>
      <c r="AD734" s="448"/>
      <c r="AE734" s="464"/>
      <c r="AH734" s="448"/>
      <c r="AI734" s="464"/>
      <c r="AL734" s="448"/>
      <c r="AP734" s="448"/>
    </row>
    <row r="735" spans="1:42" ht="13">
      <c r="A735" s="462"/>
      <c r="B735" s="462"/>
      <c r="N735" s="448"/>
      <c r="O735" s="464"/>
      <c r="R735" s="448"/>
      <c r="S735" s="464"/>
      <c r="V735" s="448"/>
      <c r="W735" s="464"/>
      <c r="Z735" s="448"/>
      <c r="AA735" s="464"/>
      <c r="AD735" s="448"/>
      <c r="AE735" s="464"/>
      <c r="AH735" s="448"/>
      <c r="AI735" s="464"/>
      <c r="AL735" s="448"/>
      <c r="AP735" s="448"/>
    </row>
    <row r="736" spans="1:42" ht="13">
      <c r="A736" s="462"/>
      <c r="B736" s="462"/>
      <c r="N736" s="448"/>
      <c r="O736" s="464"/>
      <c r="R736" s="448"/>
      <c r="S736" s="464"/>
      <c r="V736" s="448"/>
      <c r="W736" s="464"/>
      <c r="Z736" s="448"/>
      <c r="AA736" s="464"/>
      <c r="AD736" s="448"/>
      <c r="AE736" s="464"/>
      <c r="AH736" s="448"/>
      <c r="AI736" s="464"/>
      <c r="AL736" s="448"/>
      <c r="AP736" s="448"/>
    </row>
    <row r="737" spans="1:42" ht="13">
      <c r="A737" s="462"/>
      <c r="B737" s="462"/>
      <c r="N737" s="448"/>
      <c r="O737" s="464"/>
      <c r="R737" s="448"/>
      <c r="S737" s="464"/>
      <c r="V737" s="448"/>
      <c r="W737" s="464"/>
      <c r="Z737" s="448"/>
      <c r="AA737" s="464"/>
      <c r="AD737" s="448"/>
      <c r="AE737" s="464"/>
      <c r="AH737" s="448"/>
      <c r="AI737" s="464"/>
      <c r="AL737" s="448"/>
      <c r="AP737" s="448"/>
    </row>
    <row r="738" spans="1:42" ht="13">
      <c r="A738" s="462"/>
      <c r="B738" s="462"/>
      <c r="N738" s="448"/>
      <c r="O738" s="464"/>
      <c r="R738" s="448"/>
      <c r="S738" s="464"/>
      <c r="V738" s="448"/>
      <c r="W738" s="464"/>
      <c r="Z738" s="448"/>
      <c r="AA738" s="464"/>
      <c r="AD738" s="448"/>
      <c r="AE738" s="464"/>
      <c r="AH738" s="448"/>
      <c r="AI738" s="464"/>
      <c r="AL738" s="448"/>
      <c r="AP738" s="448"/>
    </row>
    <row r="739" spans="1:42" ht="13">
      <c r="A739" s="462"/>
      <c r="B739" s="462"/>
      <c r="N739" s="448"/>
      <c r="O739" s="464"/>
      <c r="R739" s="448"/>
      <c r="S739" s="464"/>
      <c r="V739" s="448"/>
      <c r="W739" s="464"/>
      <c r="Z739" s="448"/>
      <c r="AA739" s="464"/>
      <c r="AD739" s="448"/>
      <c r="AE739" s="464"/>
      <c r="AH739" s="448"/>
      <c r="AI739" s="464"/>
      <c r="AL739" s="448"/>
      <c r="AP739" s="448"/>
    </row>
    <row r="740" spans="1:42" ht="13">
      <c r="A740" s="462"/>
      <c r="B740" s="462"/>
      <c r="N740" s="448"/>
      <c r="O740" s="464"/>
      <c r="R740" s="448"/>
      <c r="S740" s="464"/>
      <c r="V740" s="448"/>
      <c r="W740" s="464"/>
      <c r="Z740" s="448"/>
      <c r="AA740" s="464"/>
      <c r="AD740" s="448"/>
      <c r="AE740" s="464"/>
      <c r="AH740" s="448"/>
      <c r="AI740" s="464"/>
      <c r="AL740" s="448"/>
      <c r="AP740" s="448"/>
    </row>
    <row r="741" spans="1:42" ht="13">
      <c r="A741" s="462"/>
      <c r="B741" s="462"/>
      <c r="N741" s="448"/>
      <c r="O741" s="464"/>
      <c r="R741" s="448"/>
      <c r="S741" s="464"/>
      <c r="V741" s="448"/>
      <c r="W741" s="464"/>
      <c r="Z741" s="448"/>
      <c r="AA741" s="464"/>
      <c r="AD741" s="448"/>
      <c r="AE741" s="464"/>
      <c r="AH741" s="448"/>
      <c r="AI741" s="464"/>
      <c r="AL741" s="448"/>
      <c r="AP741" s="448"/>
    </row>
    <row r="742" spans="1:42" ht="13">
      <c r="A742" s="462"/>
      <c r="B742" s="462"/>
      <c r="N742" s="448"/>
      <c r="O742" s="464"/>
      <c r="R742" s="448"/>
      <c r="S742" s="464"/>
      <c r="V742" s="448"/>
      <c r="W742" s="464"/>
      <c r="Z742" s="448"/>
      <c r="AA742" s="464"/>
      <c r="AD742" s="448"/>
      <c r="AE742" s="464"/>
      <c r="AH742" s="448"/>
      <c r="AI742" s="464"/>
      <c r="AL742" s="448"/>
      <c r="AP742" s="448"/>
    </row>
    <row r="743" spans="1:42" ht="13">
      <c r="A743" s="462"/>
      <c r="B743" s="462"/>
      <c r="N743" s="448"/>
      <c r="O743" s="464"/>
      <c r="R743" s="448"/>
      <c r="S743" s="464"/>
      <c r="V743" s="448"/>
      <c r="W743" s="464"/>
      <c r="Z743" s="448"/>
      <c r="AA743" s="464"/>
      <c r="AD743" s="448"/>
      <c r="AE743" s="464"/>
      <c r="AH743" s="448"/>
      <c r="AI743" s="464"/>
      <c r="AL743" s="448"/>
      <c r="AP743" s="448"/>
    </row>
    <row r="744" spans="1:42" ht="13">
      <c r="A744" s="462"/>
      <c r="B744" s="462"/>
      <c r="N744" s="448"/>
      <c r="O744" s="464"/>
      <c r="R744" s="448"/>
      <c r="S744" s="464"/>
      <c r="V744" s="448"/>
      <c r="W744" s="464"/>
      <c r="Z744" s="448"/>
      <c r="AA744" s="464"/>
      <c r="AD744" s="448"/>
      <c r="AE744" s="464"/>
      <c r="AH744" s="448"/>
      <c r="AI744" s="464"/>
      <c r="AL744" s="448"/>
      <c r="AP744" s="448"/>
    </row>
    <row r="745" spans="1:42" ht="13">
      <c r="A745" s="462"/>
      <c r="B745" s="462"/>
      <c r="N745" s="448"/>
      <c r="O745" s="464"/>
      <c r="R745" s="448"/>
      <c r="S745" s="464"/>
      <c r="V745" s="448"/>
      <c r="W745" s="464"/>
      <c r="Z745" s="448"/>
      <c r="AA745" s="464"/>
      <c r="AD745" s="448"/>
      <c r="AE745" s="464"/>
      <c r="AH745" s="448"/>
      <c r="AI745" s="464"/>
      <c r="AL745" s="448"/>
      <c r="AP745" s="448"/>
    </row>
    <row r="746" spans="1:42" ht="13">
      <c r="A746" s="462"/>
      <c r="B746" s="462"/>
      <c r="N746" s="448"/>
      <c r="O746" s="464"/>
      <c r="R746" s="448"/>
      <c r="S746" s="464"/>
      <c r="V746" s="448"/>
      <c r="W746" s="464"/>
      <c r="Z746" s="448"/>
      <c r="AA746" s="464"/>
      <c r="AD746" s="448"/>
      <c r="AE746" s="464"/>
      <c r="AH746" s="448"/>
      <c r="AI746" s="464"/>
      <c r="AL746" s="448"/>
      <c r="AP746" s="448"/>
    </row>
    <row r="747" spans="1:42" ht="13">
      <c r="A747" s="462"/>
      <c r="B747" s="462"/>
      <c r="N747" s="448"/>
      <c r="O747" s="464"/>
      <c r="R747" s="448"/>
      <c r="S747" s="464"/>
      <c r="V747" s="448"/>
      <c r="W747" s="464"/>
      <c r="Z747" s="448"/>
      <c r="AA747" s="464"/>
      <c r="AD747" s="448"/>
      <c r="AE747" s="464"/>
      <c r="AH747" s="448"/>
      <c r="AI747" s="464"/>
      <c r="AL747" s="448"/>
      <c r="AP747" s="448"/>
    </row>
    <row r="748" spans="1:42" ht="13">
      <c r="A748" s="462"/>
      <c r="B748" s="462"/>
      <c r="N748" s="448"/>
      <c r="O748" s="464"/>
      <c r="R748" s="448"/>
      <c r="S748" s="464"/>
      <c r="V748" s="448"/>
      <c r="W748" s="464"/>
      <c r="Z748" s="448"/>
      <c r="AA748" s="464"/>
      <c r="AD748" s="448"/>
      <c r="AE748" s="464"/>
      <c r="AH748" s="448"/>
      <c r="AI748" s="464"/>
      <c r="AL748" s="448"/>
      <c r="AP748" s="448"/>
    </row>
    <row r="749" spans="1:42" ht="13">
      <c r="A749" s="462"/>
      <c r="B749" s="462"/>
      <c r="N749" s="448"/>
      <c r="O749" s="464"/>
      <c r="R749" s="448"/>
      <c r="S749" s="464"/>
      <c r="V749" s="448"/>
      <c r="W749" s="464"/>
      <c r="Z749" s="448"/>
      <c r="AA749" s="464"/>
      <c r="AD749" s="448"/>
      <c r="AE749" s="464"/>
      <c r="AH749" s="448"/>
      <c r="AI749" s="464"/>
      <c r="AL749" s="448"/>
      <c r="AP749" s="448"/>
    </row>
    <row r="750" spans="1:42" ht="13">
      <c r="A750" s="462"/>
      <c r="B750" s="462"/>
      <c r="N750" s="448"/>
      <c r="O750" s="464"/>
      <c r="R750" s="448"/>
      <c r="S750" s="464"/>
      <c r="V750" s="448"/>
      <c r="W750" s="464"/>
      <c r="Z750" s="448"/>
      <c r="AA750" s="464"/>
      <c r="AD750" s="448"/>
      <c r="AE750" s="464"/>
      <c r="AH750" s="448"/>
      <c r="AI750" s="464"/>
      <c r="AL750" s="448"/>
      <c r="AP750" s="448"/>
    </row>
    <row r="751" spans="1:42" ht="13">
      <c r="A751" s="462"/>
      <c r="B751" s="462"/>
      <c r="N751" s="448"/>
      <c r="O751" s="464"/>
      <c r="R751" s="448"/>
      <c r="S751" s="464"/>
      <c r="V751" s="448"/>
      <c r="W751" s="464"/>
      <c r="Z751" s="448"/>
      <c r="AA751" s="464"/>
      <c r="AD751" s="448"/>
      <c r="AE751" s="464"/>
      <c r="AH751" s="448"/>
      <c r="AI751" s="464"/>
      <c r="AL751" s="448"/>
      <c r="AP751" s="448"/>
    </row>
    <row r="752" spans="1:42" ht="13">
      <c r="A752" s="462"/>
      <c r="B752" s="462"/>
      <c r="N752" s="448"/>
      <c r="O752" s="464"/>
      <c r="R752" s="448"/>
      <c r="S752" s="464"/>
      <c r="V752" s="448"/>
      <c r="W752" s="464"/>
      <c r="Z752" s="448"/>
      <c r="AA752" s="464"/>
      <c r="AD752" s="448"/>
      <c r="AE752" s="464"/>
      <c r="AH752" s="448"/>
      <c r="AI752" s="464"/>
      <c r="AL752" s="448"/>
      <c r="AP752" s="448"/>
    </row>
    <row r="753" spans="1:42" ht="13">
      <c r="A753" s="462"/>
      <c r="B753" s="462"/>
      <c r="N753" s="448"/>
      <c r="O753" s="464"/>
      <c r="R753" s="448"/>
      <c r="S753" s="464"/>
      <c r="V753" s="448"/>
      <c r="W753" s="464"/>
      <c r="Z753" s="448"/>
      <c r="AA753" s="464"/>
      <c r="AD753" s="448"/>
      <c r="AE753" s="464"/>
      <c r="AH753" s="448"/>
      <c r="AI753" s="464"/>
      <c r="AL753" s="448"/>
      <c r="AP753" s="448"/>
    </row>
    <row r="754" spans="1:42" ht="13">
      <c r="A754" s="462"/>
      <c r="B754" s="462"/>
      <c r="N754" s="448"/>
      <c r="O754" s="464"/>
      <c r="R754" s="448"/>
      <c r="S754" s="464"/>
      <c r="V754" s="448"/>
      <c r="W754" s="464"/>
      <c r="Z754" s="448"/>
      <c r="AA754" s="464"/>
      <c r="AD754" s="448"/>
      <c r="AE754" s="464"/>
      <c r="AH754" s="448"/>
      <c r="AI754" s="464"/>
      <c r="AL754" s="448"/>
      <c r="AP754" s="448"/>
    </row>
    <row r="755" spans="1:42" ht="13">
      <c r="A755" s="462"/>
      <c r="B755" s="462"/>
      <c r="N755" s="448"/>
      <c r="O755" s="464"/>
      <c r="R755" s="448"/>
      <c r="S755" s="464"/>
      <c r="V755" s="448"/>
      <c r="W755" s="464"/>
      <c r="Z755" s="448"/>
      <c r="AA755" s="464"/>
      <c r="AD755" s="448"/>
      <c r="AE755" s="464"/>
      <c r="AH755" s="448"/>
      <c r="AI755" s="464"/>
      <c r="AL755" s="448"/>
      <c r="AP755" s="448"/>
    </row>
    <row r="756" spans="1:42" ht="13">
      <c r="A756" s="462"/>
      <c r="B756" s="462"/>
      <c r="N756" s="448"/>
      <c r="O756" s="464"/>
      <c r="R756" s="448"/>
      <c r="S756" s="464"/>
      <c r="V756" s="448"/>
      <c r="W756" s="464"/>
      <c r="Z756" s="448"/>
      <c r="AA756" s="464"/>
      <c r="AD756" s="448"/>
      <c r="AE756" s="464"/>
      <c r="AH756" s="448"/>
      <c r="AI756" s="464"/>
      <c r="AL756" s="448"/>
      <c r="AP756" s="448"/>
    </row>
    <row r="757" spans="1:42" ht="13">
      <c r="A757" s="462"/>
      <c r="B757" s="462"/>
      <c r="N757" s="448"/>
      <c r="O757" s="464"/>
      <c r="R757" s="448"/>
      <c r="S757" s="464"/>
      <c r="V757" s="448"/>
      <c r="W757" s="464"/>
      <c r="Z757" s="448"/>
      <c r="AA757" s="464"/>
      <c r="AD757" s="448"/>
      <c r="AE757" s="464"/>
      <c r="AH757" s="448"/>
      <c r="AI757" s="464"/>
      <c r="AL757" s="448"/>
      <c r="AP757" s="448"/>
    </row>
    <row r="758" spans="1:42" ht="13">
      <c r="A758" s="462"/>
      <c r="B758" s="462"/>
      <c r="N758" s="448"/>
      <c r="O758" s="464"/>
      <c r="R758" s="448"/>
      <c r="S758" s="464"/>
      <c r="V758" s="448"/>
      <c r="W758" s="464"/>
      <c r="Z758" s="448"/>
      <c r="AA758" s="464"/>
      <c r="AD758" s="448"/>
      <c r="AE758" s="464"/>
      <c r="AH758" s="448"/>
      <c r="AI758" s="464"/>
      <c r="AL758" s="448"/>
      <c r="AP758" s="448"/>
    </row>
    <row r="759" spans="1:42" ht="13">
      <c r="A759" s="462"/>
      <c r="B759" s="462"/>
      <c r="N759" s="448"/>
      <c r="O759" s="464"/>
      <c r="R759" s="448"/>
      <c r="S759" s="464"/>
      <c r="V759" s="448"/>
      <c r="W759" s="464"/>
      <c r="Z759" s="448"/>
      <c r="AA759" s="464"/>
      <c r="AD759" s="448"/>
      <c r="AE759" s="464"/>
      <c r="AH759" s="448"/>
      <c r="AI759" s="464"/>
      <c r="AL759" s="448"/>
      <c r="AP759" s="448"/>
    </row>
    <row r="760" spans="1:42" ht="13">
      <c r="A760" s="462"/>
      <c r="B760" s="462"/>
      <c r="N760" s="448"/>
      <c r="O760" s="464"/>
      <c r="R760" s="448"/>
      <c r="S760" s="464"/>
      <c r="V760" s="448"/>
      <c r="W760" s="464"/>
      <c r="Z760" s="448"/>
      <c r="AA760" s="464"/>
      <c r="AD760" s="448"/>
      <c r="AE760" s="464"/>
      <c r="AH760" s="448"/>
      <c r="AI760" s="464"/>
      <c r="AL760" s="448"/>
      <c r="AP760" s="448"/>
    </row>
    <row r="761" spans="1:42" ht="13">
      <c r="A761" s="462"/>
      <c r="B761" s="462"/>
      <c r="N761" s="448"/>
      <c r="O761" s="464"/>
      <c r="R761" s="448"/>
      <c r="S761" s="464"/>
      <c r="V761" s="448"/>
      <c r="W761" s="464"/>
      <c r="Z761" s="448"/>
      <c r="AA761" s="464"/>
      <c r="AD761" s="448"/>
      <c r="AE761" s="464"/>
      <c r="AH761" s="448"/>
      <c r="AI761" s="464"/>
      <c r="AL761" s="448"/>
      <c r="AP761" s="448"/>
    </row>
    <row r="762" spans="1:42" ht="13">
      <c r="A762" s="462"/>
      <c r="B762" s="462"/>
      <c r="N762" s="448"/>
      <c r="O762" s="464"/>
      <c r="R762" s="448"/>
      <c r="S762" s="464"/>
      <c r="V762" s="448"/>
      <c r="W762" s="464"/>
      <c r="Z762" s="448"/>
      <c r="AA762" s="464"/>
      <c r="AD762" s="448"/>
      <c r="AE762" s="464"/>
      <c r="AH762" s="448"/>
      <c r="AI762" s="464"/>
      <c r="AL762" s="448"/>
      <c r="AP762" s="448"/>
    </row>
    <row r="763" spans="1:42" ht="13">
      <c r="A763" s="462"/>
      <c r="B763" s="462"/>
      <c r="N763" s="448"/>
      <c r="O763" s="464"/>
      <c r="R763" s="448"/>
      <c r="S763" s="464"/>
      <c r="V763" s="448"/>
      <c r="W763" s="464"/>
      <c r="Z763" s="448"/>
      <c r="AA763" s="464"/>
      <c r="AD763" s="448"/>
      <c r="AE763" s="464"/>
      <c r="AH763" s="448"/>
      <c r="AI763" s="464"/>
      <c r="AL763" s="448"/>
      <c r="AP763" s="448"/>
    </row>
    <row r="764" spans="1:42" ht="13">
      <c r="A764" s="462"/>
      <c r="B764" s="462"/>
      <c r="N764" s="448"/>
      <c r="O764" s="464"/>
      <c r="R764" s="448"/>
      <c r="S764" s="464"/>
      <c r="V764" s="448"/>
      <c r="W764" s="464"/>
      <c r="Z764" s="448"/>
      <c r="AA764" s="464"/>
      <c r="AD764" s="448"/>
      <c r="AE764" s="464"/>
      <c r="AH764" s="448"/>
      <c r="AI764" s="464"/>
      <c r="AL764" s="448"/>
      <c r="AP764" s="448"/>
    </row>
    <row r="765" spans="1:42" ht="13">
      <c r="A765" s="462"/>
      <c r="B765" s="462"/>
      <c r="N765" s="448"/>
      <c r="O765" s="464"/>
      <c r="R765" s="448"/>
      <c r="S765" s="464"/>
      <c r="V765" s="448"/>
      <c r="W765" s="464"/>
      <c r="Z765" s="448"/>
      <c r="AA765" s="464"/>
      <c r="AD765" s="448"/>
      <c r="AE765" s="464"/>
      <c r="AH765" s="448"/>
      <c r="AI765" s="464"/>
      <c r="AL765" s="448"/>
      <c r="AP765" s="448"/>
    </row>
    <row r="766" spans="1:42" ht="13">
      <c r="A766" s="462"/>
      <c r="B766" s="462"/>
      <c r="N766" s="448"/>
      <c r="O766" s="464"/>
      <c r="R766" s="448"/>
      <c r="S766" s="464"/>
      <c r="V766" s="448"/>
      <c r="W766" s="464"/>
      <c r="Z766" s="448"/>
      <c r="AA766" s="464"/>
      <c r="AD766" s="448"/>
      <c r="AE766" s="464"/>
      <c r="AH766" s="448"/>
      <c r="AI766" s="464"/>
      <c r="AL766" s="448"/>
      <c r="AP766" s="448"/>
    </row>
    <row r="767" spans="1:42" ht="13">
      <c r="A767" s="462"/>
      <c r="B767" s="462"/>
      <c r="N767" s="448"/>
      <c r="O767" s="464"/>
      <c r="R767" s="448"/>
      <c r="S767" s="464"/>
      <c r="V767" s="448"/>
      <c r="W767" s="464"/>
      <c r="Z767" s="448"/>
      <c r="AA767" s="464"/>
      <c r="AD767" s="448"/>
      <c r="AE767" s="464"/>
      <c r="AH767" s="448"/>
      <c r="AI767" s="464"/>
      <c r="AL767" s="448"/>
      <c r="AP767" s="448"/>
    </row>
    <row r="768" spans="1:42" ht="13">
      <c r="A768" s="462"/>
      <c r="B768" s="462"/>
      <c r="N768" s="448"/>
      <c r="O768" s="464"/>
      <c r="R768" s="448"/>
      <c r="S768" s="464"/>
      <c r="V768" s="448"/>
      <c r="W768" s="464"/>
      <c r="Z768" s="448"/>
      <c r="AA768" s="464"/>
      <c r="AD768" s="448"/>
      <c r="AE768" s="464"/>
      <c r="AH768" s="448"/>
      <c r="AI768" s="464"/>
      <c r="AL768" s="448"/>
      <c r="AP768" s="448"/>
    </row>
    <row r="769" spans="1:42" ht="13">
      <c r="A769" s="462"/>
      <c r="B769" s="462"/>
      <c r="N769" s="448"/>
      <c r="O769" s="464"/>
      <c r="R769" s="448"/>
      <c r="S769" s="464"/>
      <c r="V769" s="448"/>
      <c r="W769" s="464"/>
      <c r="Z769" s="448"/>
      <c r="AA769" s="464"/>
      <c r="AD769" s="448"/>
      <c r="AE769" s="464"/>
      <c r="AH769" s="448"/>
      <c r="AI769" s="464"/>
      <c r="AL769" s="448"/>
      <c r="AP769" s="448"/>
    </row>
    <row r="770" spans="1:42" ht="13">
      <c r="A770" s="462"/>
      <c r="B770" s="462"/>
      <c r="N770" s="448"/>
      <c r="O770" s="464"/>
      <c r="R770" s="448"/>
      <c r="S770" s="464"/>
      <c r="V770" s="448"/>
      <c r="W770" s="464"/>
      <c r="Z770" s="448"/>
      <c r="AA770" s="464"/>
      <c r="AD770" s="448"/>
      <c r="AE770" s="464"/>
      <c r="AH770" s="448"/>
      <c r="AI770" s="464"/>
      <c r="AL770" s="448"/>
      <c r="AP770" s="448"/>
    </row>
    <row r="771" spans="1:42" ht="13">
      <c r="A771" s="462"/>
      <c r="B771" s="462"/>
      <c r="N771" s="448"/>
      <c r="O771" s="464"/>
      <c r="R771" s="448"/>
      <c r="S771" s="464"/>
      <c r="V771" s="448"/>
      <c r="W771" s="464"/>
      <c r="Z771" s="448"/>
      <c r="AA771" s="464"/>
      <c r="AD771" s="448"/>
      <c r="AE771" s="464"/>
      <c r="AH771" s="448"/>
      <c r="AI771" s="464"/>
      <c r="AL771" s="448"/>
      <c r="AP771" s="448"/>
    </row>
    <row r="772" spans="1:42" ht="13">
      <c r="A772" s="462"/>
      <c r="B772" s="462"/>
      <c r="N772" s="448"/>
      <c r="O772" s="464"/>
      <c r="R772" s="448"/>
      <c r="S772" s="464"/>
      <c r="V772" s="448"/>
      <c r="W772" s="464"/>
      <c r="Z772" s="448"/>
      <c r="AA772" s="464"/>
      <c r="AD772" s="448"/>
      <c r="AE772" s="464"/>
      <c r="AH772" s="448"/>
      <c r="AI772" s="464"/>
      <c r="AL772" s="448"/>
      <c r="AP772" s="448"/>
    </row>
    <row r="773" spans="1:42" ht="13">
      <c r="A773" s="462"/>
      <c r="B773" s="462"/>
      <c r="N773" s="448"/>
      <c r="O773" s="464"/>
      <c r="R773" s="448"/>
      <c r="S773" s="464"/>
      <c r="V773" s="448"/>
      <c r="W773" s="464"/>
      <c r="Z773" s="448"/>
      <c r="AA773" s="464"/>
      <c r="AD773" s="448"/>
      <c r="AE773" s="464"/>
      <c r="AH773" s="448"/>
      <c r="AI773" s="464"/>
      <c r="AL773" s="448"/>
      <c r="AP773" s="448"/>
    </row>
    <row r="774" spans="1:42" ht="13">
      <c r="A774" s="462"/>
      <c r="B774" s="462"/>
      <c r="N774" s="448"/>
      <c r="O774" s="464"/>
      <c r="R774" s="448"/>
      <c r="S774" s="464"/>
      <c r="V774" s="448"/>
      <c r="W774" s="464"/>
      <c r="Z774" s="448"/>
      <c r="AA774" s="464"/>
      <c r="AD774" s="448"/>
      <c r="AE774" s="464"/>
      <c r="AH774" s="448"/>
      <c r="AI774" s="464"/>
      <c r="AL774" s="448"/>
      <c r="AP774" s="448"/>
    </row>
    <row r="775" spans="1:42" ht="13">
      <c r="A775" s="462"/>
      <c r="B775" s="462"/>
      <c r="N775" s="448"/>
      <c r="O775" s="464"/>
      <c r="R775" s="448"/>
      <c r="S775" s="464"/>
      <c r="V775" s="448"/>
      <c r="W775" s="464"/>
      <c r="Z775" s="448"/>
      <c r="AA775" s="464"/>
      <c r="AD775" s="448"/>
      <c r="AE775" s="464"/>
      <c r="AH775" s="448"/>
      <c r="AI775" s="464"/>
      <c r="AL775" s="448"/>
      <c r="AP775" s="448"/>
    </row>
    <row r="776" spans="1:42" ht="13">
      <c r="A776" s="462"/>
      <c r="B776" s="462"/>
      <c r="N776" s="448"/>
      <c r="O776" s="464"/>
      <c r="R776" s="448"/>
      <c r="S776" s="464"/>
      <c r="V776" s="448"/>
      <c r="W776" s="464"/>
      <c r="Z776" s="448"/>
      <c r="AA776" s="464"/>
      <c r="AD776" s="448"/>
      <c r="AE776" s="464"/>
      <c r="AH776" s="448"/>
      <c r="AI776" s="464"/>
      <c r="AL776" s="448"/>
      <c r="AP776" s="448"/>
    </row>
    <row r="777" spans="1:42" ht="13">
      <c r="A777" s="462"/>
      <c r="B777" s="462"/>
      <c r="N777" s="448"/>
      <c r="O777" s="464"/>
      <c r="R777" s="448"/>
      <c r="S777" s="464"/>
      <c r="V777" s="448"/>
      <c r="W777" s="464"/>
      <c r="Z777" s="448"/>
      <c r="AA777" s="464"/>
      <c r="AD777" s="448"/>
      <c r="AE777" s="464"/>
      <c r="AH777" s="448"/>
      <c r="AI777" s="464"/>
      <c r="AL777" s="448"/>
      <c r="AP777" s="448"/>
    </row>
    <row r="778" spans="1:42" ht="13">
      <c r="A778" s="462"/>
      <c r="B778" s="462"/>
      <c r="N778" s="448"/>
      <c r="O778" s="464"/>
      <c r="R778" s="448"/>
      <c r="S778" s="464"/>
      <c r="V778" s="448"/>
      <c r="W778" s="464"/>
      <c r="Z778" s="448"/>
      <c r="AA778" s="464"/>
      <c r="AD778" s="448"/>
      <c r="AE778" s="464"/>
      <c r="AH778" s="448"/>
      <c r="AI778" s="464"/>
      <c r="AL778" s="448"/>
      <c r="AP778" s="448"/>
    </row>
    <row r="779" spans="1:42" ht="13">
      <c r="A779" s="462"/>
      <c r="B779" s="462"/>
      <c r="N779" s="448"/>
      <c r="O779" s="464"/>
      <c r="R779" s="448"/>
      <c r="S779" s="464"/>
      <c r="V779" s="448"/>
      <c r="W779" s="464"/>
      <c r="Z779" s="448"/>
      <c r="AA779" s="464"/>
      <c r="AD779" s="448"/>
      <c r="AE779" s="464"/>
      <c r="AH779" s="448"/>
      <c r="AI779" s="464"/>
      <c r="AL779" s="448"/>
      <c r="AP779" s="448"/>
    </row>
    <row r="780" spans="1:42" ht="13">
      <c r="A780" s="462"/>
      <c r="B780" s="462"/>
      <c r="N780" s="448"/>
      <c r="O780" s="464"/>
      <c r="R780" s="448"/>
      <c r="S780" s="464"/>
      <c r="V780" s="448"/>
      <c r="W780" s="464"/>
      <c r="Z780" s="448"/>
      <c r="AA780" s="464"/>
      <c r="AD780" s="448"/>
      <c r="AE780" s="464"/>
      <c r="AH780" s="448"/>
      <c r="AI780" s="464"/>
      <c r="AL780" s="448"/>
      <c r="AP780" s="448"/>
    </row>
    <row r="781" spans="1:42" ht="13">
      <c r="A781" s="462"/>
      <c r="B781" s="462"/>
      <c r="N781" s="448"/>
      <c r="O781" s="464"/>
      <c r="R781" s="448"/>
      <c r="S781" s="464"/>
      <c r="V781" s="448"/>
      <c r="W781" s="464"/>
      <c r="Z781" s="448"/>
      <c r="AA781" s="464"/>
      <c r="AD781" s="448"/>
      <c r="AE781" s="464"/>
      <c r="AH781" s="448"/>
      <c r="AI781" s="464"/>
      <c r="AL781" s="448"/>
      <c r="AP781" s="448"/>
    </row>
    <row r="782" spans="1:42" ht="13">
      <c r="A782" s="462"/>
      <c r="B782" s="462"/>
      <c r="N782" s="448"/>
      <c r="O782" s="464"/>
      <c r="R782" s="448"/>
      <c r="S782" s="464"/>
      <c r="V782" s="448"/>
      <c r="W782" s="464"/>
      <c r="Z782" s="448"/>
      <c r="AA782" s="464"/>
      <c r="AD782" s="448"/>
      <c r="AE782" s="464"/>
      <c r="AH782" s="448"/>
      <c r="AI782" s="464"/>
      <c r="AL782" s="448"/>
      <c r="AP782" s="448"/>
    </row>
    <row r="783" spans="1:42" ht="13">
      <c r="A783" s="462"/>
      <c r="B783" s="462"/>
      <c r="N783" s="448"/>
      <c r="O783" s="464"/>
      <c r="R783" s="448"/>
      <c r="S783" s="464"/>
      <c r="V783" s="448"/>
      <c r="W783" s="464"/>
      <c r="Z783" s="448"/>
      <c r="AA783" s="464"/>
      <c r="AD783" s="448"/>
      <c r="AE783" s="464"/>
      <c r="AH783" s="448"/>
      <c r="AI783" s="464"/>
      <c r="AL783" s="448"/>
      <c r="AP783" s="448"/>
    </row>
    <row r="784" spans="1:42" ht="13">
      <c r="A784" s="462"/>
      <c r="B784" s="462"/>
      <c r="N784" s="448"/>
      <c r="O784" s="464"/>
      <c r="R784" s="448"/>
      <c r="S784" s="464"/>
      <c r="V784" s="448"/>
      <c r="W784" s="464"/>
      <c r="Z784" s="448"/>
      <c r="AA784" s="464"/>
      <c r="AD784" s="448"/>
      <c r="AE784" s="464"/>
      <c r="AH784" s="448"/>
      <c r="AI784" s="464"/>
      <c r="AL784" s="448"/>
      <c r="AP784" s="448"/>
    </row>
    <row r="785" spans="1:42" ht="13">
      <c r="A785" s="462"/>
      <c r="B785" s="462"/>
      <c r="N785" s="448"/>
      <c r="O785" s="464"/>
      <c r="R785" s="448"/>
      <c r="S785" s="464"/>
      <c r="V785" s="448"/>
      <c r="W785" s="464"/>
      <c r="Z785" s="448"/>
      <c r="AA785" s="464"/>
      <c r="AD785" s="448"/>
      <c r="AE785" s="464"/>
      <c r="AH785" s="448"/>
      <c r="AI785" s="464"/>
      <c r="AL785" s="448"/>
      <c r="AP785" s="448"/>
    </row>
    <row r="786" spans="1:42" ht="13">
      <c r="A786" s="462"/>
      <c r="B786" s="462"/>
      <c r="N786" s="448"/>
      <c r="O786" s="464"/>
      <c r="R786" s="448"/>
      <c r="S786" s="464"/>
      <c r="V786" s="448"/>
      <c r="W786" s="464"/>
      <c r="Z786" s="448"/>
      <c r="AA786" s="464"/>
      <c r="AD786" s="448"/>
      <c r="AE786" s="464"/>
      <c r="AH786" s="448"/>
      <c r="AI786" s="464"/>
      <c r="AL786" s="448"/>
      <c r="AP786" s="448"/>
    </row>
    <row r="787" spans="1:42" ht="13">
      <c r="A787" s="462"/>
      <c r="B787" s="462"/>
      <c r="N787" s="448"/>
      <c r="O787" s="464"/>
      <c r="R787" s="448"/>
      <c r="S787" s="464"/>
      <c r="V787" s="448"/>
      <c r="W787" s="464"/>
      <c r="Z787" s="448"/>
      <c r="AA787" s="464"/>
      <c r="AD787" s="448"/>
      <c r="AE787" s="464"/>
      <c r="AH787" s="448"/>
      <c r="AI787" s="464"/>
      <c r="AL787" s="448"/>
      <c r="AP787" s="448"/>
    </row>
    <row r="788" spans="1:42" ht="13">
      <c r="A788" s="462"/>
      <c r="B788" s="462"/>
      <c r="N788" s="448"/>
      <c r="O788" s="464"/>
      <c r="R788" s="448"/>
      <c r="S788" s="464"/>
      <c r="V788" s="448"/>
      <c r="W788" s="464"/>
      <c r="Z788" s="448"/>
      <c r="AA788" s="464"/>
      <c r="AD788" s="448"/>
      <c r="AE788" s="464"/>
      <c r="AH788" s="448"/>
      <c r="AI788" s="464"/>
      <c r="AL788" s="448"/>
      <c r="AP788" s="448"/>
    </row>
    <row r="789" spans="1:42" ht="13">
      <c r="A789" s="462"/>
      <c r="B789" s="462"/>
      <c r="N789" s="448"/>
      <c r="O789" s="464"/>
      <c r="R789" s="448"/>
      <c r="S789" s="464"/>
      <c r="V789" s="448"/>
      <c r="W789" s="464"/>
      <c r="Z789" s="448"/>
      <c r="AA789" s="464"/>
      <c r="AD789" s="448"/>
      <c r="AE789" s="464"/>
      <c r="AH789" s="448"/>
      <c r="AI789" s="464"/>
      <c r="AL789" s="448"/>
      <c r="AP789" s="448"/>
    </row>
    <row r="790" spans="1:42" ht="13">
      <c r="A790" s="462"/>
      <c r="B790" s="462"/>
      <c r="N790" s="448"/>
      <c r="O790" s="464"/>
      <c r="R790" s="448"/>
      <c r="S790" s="464"/>
      <c r="V790" s="448"/>
      <c r="W790" s="464"/>
      <c r="Z790" s="448"/>
      <c r="AA790" s="464"/>
      <c r="AD790" s="448"/>
      <c r="AE790" s="464"/>
      <c r="AH790" s="448"/>
      <c r="AI790" s="464"/>
      <c r="AL790" s="448"/>
      <c r="AP790" s="448"/>
    </row>
    <row r="791" spans="1:42" ht="13">
      <c r="A791" s="462"/>
      <c r="B791" s="462"/>
      <c r="N791" s="448"/>
      <c r="O791" s="464"/>
      <c r="R791" s="448"/>
      <c r="S791" s="464"/>
      <c r="V791" s="448"/>
      <c r="W791" s="464"/>
      <c r="Z791" s="448"/>
      <c r="AA791" s="464"/>
      <c r="AD791" s="448"/>
      <c r="AE791" s="464"/>
      <c r="AH791" s="448"/>
      <c r="AI791" s="464"/>
      <c r="AL791" s="448"/>
      <c r="AP791" s="448"/>
    </row>
    <row r="792" spans="1:42" ht="13">
      <c r="A792" s="462"/>
      <c r="B792" s="462"/>
      <c r="N792" s="448"/>
      <c r="O792" s="464"/>
      <c r="R792" s="448"/>
      <c r="S792" s="464"/>
      <c r="V792" s="448"/>
      <c r="W792" s="464"/>
      <c r="Z792" s="448"/>
      <c r="AA792" s="464"/>
      <c r="AD792" s="448"/>
      <c r="AE792" s="464"/>
      <c r="AH792" s="448"/>
      <c r="AI792" s="464"/>
      <c r="AL792" s="448"/>
      <c r="AP792" s="448"/>
    </row>
    <row r="793" spans="1:42" ht="13">
      <c r="A793" s="462"/>
      <c r="B793" s="462"/>
      <c r="N793" s="448"/>
      <c r="O793" s="464"/>
      <c r="R793" s="448"/>
      <c r="S793" s="464"/>
      <c r="V793" s="448"/>
      <c r="W793" s="464"/>
      <c r="Z793" s="448"/>
      <c r="AA793" s="464"/>
      <c r="AD793" s="448"/>
      <c r="AE793" s="464"/>
      <c r="AH793" s="448"/>
      <c r="AI793" s="464"/>
      <c r="AL793" s="448"/>
      <c r="AP793" s="448"/>
    </row>
    <row r="794" spans="1:42" ht="13">
      <c r="A794" s="462"/>
      <c r="B794" s="462"/>
      <c r="N794" s="448"/>
      <c r="O794" s="464"/>
      <c r="R794" s="448"/>
      <c r="S794" s="464"/>
      <c r="V794" s="448"/>
      <c r="W794" s="464"/>
      <c r="Z794" s="448"/>
      <c r="AA794" s="464"/>
      <c r="AD794" s="448"/>
      <c r="AE794" s="464"/>
      <c r="AH794" s="448"/>
      <c r="AI794" s="464"/>
      <c r="AL794" s="448"/>
      <c r="AP794" s="448"/>
    </row>
    <row r="795" spans="1:42" ht="13">
      <c r="A795" s="462"/>
      <c r="B795" s="462"/>
      <c r="N795" s="448"/>
      <c r="O795" s="464"/>
      <c r="R795" s="448"/>
      <c r="S795" s="464"/>
      <c r="V795" s="448"/>
      <c r="W795" s="464"/>
      <c r="Z795" s="448"/>
      <c r="AA795" s="464"/>
      <c r="AD795" s="448"/>
      <c r="AE795" s="464"/>
      <c r="AH795" s="448"/>
      <c r="AI795" s="464"/>
      <c r="AL795" s="448"/>
      <c r="AP795" s="448"/>
    </row>
    <row r="796" spans="1:42" ht="13">
      <c r="A796" s="462"/>
      <c r="B796" s="462"/>
      <c r="N796" s="448"/>
      <c r="O796" s="464"/>
      <c r="R796" s="448"/>
      <c r="S796" s="464"/>
      <c r="V796" s="448"/>
      <c r="W796" s="464"/>
      <c r="Z796" s="448"/>
      <c r="AA796" s="464"/>
      <c r="AD796" s="448"/>
      <c r="AE796" s="464"/>
      <c r="AH796" s="448"/>
      <c r="AI796" s="464"/>
      <c r="AL796" s="448"/>
      <c r="AP796" s="448"/>
    </row>
    <row r="797" spans="1:42" ht="13">
      <c r="A797" s="462"/>
      <c r="B797" s="462"/>
      <c r="N797" s="448"/>
      <c r="O797" s="464"/>
      <c r="R797" s="448"/>
      <c r="S797" s="464"/>
      <c r="V797" s="448"/>
      <c r="W797" s="464"/>
      <c r="Z797" s="448"/>
      <c r="AA797" s="464"/>
      <c r="AD797" s="448"/>
      <c r="AE797" s="464"/>
      <c r="AH797" s="448"/>
      <c r="AI797" s="464"/>
      <c r="AL797" s="448"/>
      <c r="AP797" s="448"/>
    </row>
    <row r="798" spans="1:42" ht="13">
      <c r="A798" s="462"/>
      <c r="B798" s="462"/>
      <c r="N798" s="448"/>
      <c r="O798" s="464"/>
      <c r="R798" s="448"/>
      <c r="S798" s="464"/>
      <c r="V798" s="448"/>
      <c r="W798" s="464"/>
      <c r="Z798" s="448"/>
      <c r="AA798" s="464"/>
      <c r="AD798" s="448"/>
      <c r="AE798" s="464"/>
      <c r="AH798" s="448"/>
      <c r="AI798" s="464"/>
      <c r="AL798" s="448"/>
      <c r="AP798" s="448"/>
    </row>
    <row r="799" spans="1:42" ht="13">
      <c r="A799" s="462"/>
      <c r="B799" s="462"/>
      <c r="N799" s="448"/>
      <c r="O799" s="464"/>
      <c r="R799" s="448"/>
      <c r="S799" s="464"/>
      <c r="V799" s="448"/>
      <c r="W799" s="464"/>
      <c r="Z799" s="448"/>
      <c r="AA799" s="464"/>
      <c r="AD799" s="448"/>
      <c r="AE799" s="464"/>
      <c r="AH799" s="448"/>
      <c r="AI799" s="464"/>
      <c r="AL799" s="448"/>
      <c r="AP799" s="448"/>
    </row>
    <row r="800" spans="1:42" ht="13">
      <c r="A800" s="462"/>
      <c r="B800" s="462"/>
      <c r="N800" s="448"/>
      <c r="O800" s="464"/>
      <c r="R800" s="448"/>
      <c r="S800" s="464"/>
      <c r="V800" s="448"/>
      <c r="W800" s="464"/>
      <c r="Z800" s="448"/>
      <c r="AA800" s="464"/>
      <c r="AD800" s="448"/>
      <c r="AE800" s="464"/>
      <c r="AH800" s="448"/>
      <c r="AI800" s="464"/>
      <c r="AL800" s="448"/>
      <c r="AP800" s="448"/>
    </row>
    <row r="801" spans="1:42" ht="13">
      <c r="A801" s="462"/>
      <c r="B801" s="462"/>
      <c r="N801" s="448"/>
      <c r="O801" s="464"/>
      <c r="R801" s="448"/>
      <c r="S801" s="464"/>
      <c r="V801" s="448"/>
      <c r="W801" s="464"/>
      <c r="Z801" s="448"/>
      <c r="AA801" s="464"/>
      <c r="AD801" s="448"/>
      <c r="AE801" s="464"/>
      <c r="AH801" s="448"/>
      <c r="AI801" s="464"/>
      <c r="AL801" s="448"/>
      <c r="AP801" s="448"/>
    </row>
    <row r="802" spans="1:42" ht="13">
      <c r="A802" s="462"/>
      <c r="B802" s="462"/>
      <c r="N802" s="448"/>
      <c r="O802" s="464"/>
      <c r="R802" s="448"/>
      <c r="S802" s="464"/>
      <c r="V802" s="448"/>
      <c r="W802" s="464"/>
      <c r="Z802" s="448"/>
      <c r="AA802" s="464"/>
      <c r="AD802" s="448"/>
      <c r="AE802" s="464"/>
      <c r="AH802" s="448"/>
      <c r="AI802" s="464"/>
      <c r="AL802" s="448"/>
      <c r="AP802" s="448"/>
    </row>
    <row r="803" spans="1:42" ht="13">
      <c r="A803" s="462"/>
      <c r="B803" s="462"/>
      <c r="N803" s="448"/>
      <c r="O803" s="464"/>
      <c r="R803" s="448"/>
      <c r="S803" s="464"/>
      <c r="V803" s="448"/>
      <c r="W803" s="464"/>
      <c r="Z803" s="448"/>
      <c r="AA803" s="464"/>
      <c r="AD803" s="448"/>
      <c r="AE803" s="464"/>
      <c r="AH803" s="448"/>
      <c r="AI803" s="464"/>
      <c r="AL803" s="448"/>
      <c r="AP803" s="448"/>
    </row>
    <row r="804" spans="1:42" ht="13">
      <c r="A804" s="462"/>
      <c r="B804" s="462"/>
      <c r="N804" s="448"/>
      <c r="O804" s="464"/>
      <c r="R804" s="448"/>
      <c r="S804" s="464"/>
      <c r="V804" s="448"/>
      <c r="W804" s="464"/>
      <c r="Z804" s="448"/>
      <c r="AA804" s="464"/>
      <c r="AD804" s="448"/>
      <c r="AE804" s="464"/>
      <c r="AH804" s="448"/>
      <c r="AI804" s="464"/>
      <c r="AL804" s="448"/>
      <c r="AP804" s="448"/>
    </row>
    <row r="805" spans="1:42" ht="13">
      <c r="A805" s="462"/>
      <c r="B805" s="462"/>
      <c r="N805" s="448"/>
      <c r="O805" s="464"/>
      <c r="R805" s="448"/>
      <c r="S805" s="464"/>
      <c r="V805" s="448"/>
      <c r="W805" s="464"/>
      <c r="Z805" s="448"/>
      <c r="AA805" s="464"/>
      <c r="AD805" s="448"/>
      <c r="AE805" s="464"/>
      <c r="AH805" s="448"/>
      <c r="AI805" s="464"/>
      <c r="AL805" s="448"/>
      <c r="AP805" s="448"/>
    </row>
    <row r="806" spans="1:42" ht="13">
      <c r="A806" s="462"/>
      <c r="B806" s="462"/>
      <c r="N806" s="448"/>
      <c r="O806" s="464"/>
      <c r="R806" s="448"/>
      <c r="S806" s="464"/>
      <c r="V806" s="448"/>
      <c r="W806" s="464"/>
      <c r="Z806" s="448"/>
      <c r="AA806" s="464"/>
      <c r="AD806" s="448"/>
      <c r="AE806" s="464"/>
      <c r="AH806" s="448"/>
      <c r="AI806" s="464"/>
      <c r="AL806" s="448"/>
      <c r="AP806" s="448"/>
    </row>
    <row r="807" spans="1:42" ht="13">
      <c r="A807" s="462"/>
      <c r="B807" s="462"/>
      <c r="N807" s="448"/>
      <c r="O807" s="464"/>
      <c r="R807" s="448"/>
      <c r="S807" s="464"/>
      <c r="V807" s="448"/>
      <c r="W807" s="464"/>
      <c r="Z807" s="448"/>
      <c r="AA807" s="464"/>
      <c r="AD807" s="448"/>
      <c r="AE807" s="464"/>
      <c r="AH807" s="448"/>
      <c r="AI807" s="464"/>
      <c r="AL807" s="448"/>
      <c r="AP807" s="448"/>
    </row>
    <row r="808" spans="1:42" ht="13">
      <c r="A808" s="462"/>
      <c r="B808" s="462"/>
      <c r="N808" s="448"/>
      <c r="O808" s="464"/>
      <c r="R808" s="448"/>
      <c r="S808" s="464"/>
      <c r="V808" s="448"/>
      <c r="W808" s="464"/>
      <c r="Z808" s="448"/>
      <c r="AA808" s="464"/>
      <c r="AD808" s="448"/>
      <c r="AE808" s="464"/>
      <c r="AH808" s="448"/>
      <c r="AI808" s="464"/>
      <c r="AL808" s="448"/>
      <c r="AP808" s="448"/>
    </row>
    <row r="809" spans="1:42" ht="13">
      <c r="A809" s="462"/>
      <c r="B809" s="462"/>
      <c r="N809" s="448"/>
      <c r="O809" s="464"/>
      <c r="R809" s="448"/>
      <c r="S809" s="464"/>
      <c r="V809" s="448"/>
      <c r="W809" s="464"/>
      <c r="Z809" s="448"/>
      <c r="AA809" s="464"/>
      <c r="AD809" s="448"/>
      <c r="AE809" s="464"/>
      <c r="AH809" s="448"/>
      <c r="AI809" s="464"/>
      <c r="AL809" s="448"/>
      <c r="AP809" s="448"/>
    </row>
    <row r="810" spans="1:42" ht="13">
      <c r="A810" s="462"/>
      <c r="B810" s="462"/>
      <c r="N810" s="448"/>
      <c r="O810" s="464"/>
      <c r="R810" s="448"/>
      <c r="S810" s="464"/>
      <c r="V810" s="448"/>
      <c r="W810" s="464"/>
      <c r="Z810" s="448"/>
      <c r="AA810" s="464"/>
      <c r="AD810" s="448"/>
      <c r="AE810" s="464"/>
      <c r="AH810" s="448"/>
      <c r="AI810" s="464"/>
      <c r="AL810" s="448"/>
      <c r="AP810" s="448"/>
    </row>
    <row r="811" spans="1:42" ht="13">
      <c r="A811" s="462"/>
      <c r="B811" s="462"/>
      <c r="N811" s="448"/>
      <c r="O811" s="464"/>
      <c r="R811" s="448"/>
      <c r="S811" s="464"/>
      <c r="V811" s="448"/>
      <c r="W811" s="464"/>
      <c r="Z811" s="448"/>
      <c r="AA811" s="464"/>
      <c r="AD811" s="448"/>
      <c r="AE811" s="464"/>
      <c r="AH811" s="448"/>
      <c r="AI811" s="464"/>
      <c r="AL811" s="448"/>
      <c r="AP811" s="448"/>
    </row>
    <row r="812" spans="1:42" ht="13">
      <c r="A812" s="462"/>
      <c r="B812" s="462"/>
      <c r="N812" s="448"/>
      <c r="O812" s="464"/>
      <c r="R812" s="448"/>
      <c r="S812" s="464"/>
      <c r="V812" s="448"/>
      <c r="W812" s="464"/>
      <c r="Z812" s="448"/>
      <c r="AA812" s="464"/>
      <c r="AD812" s="448"/>
      <c r="AE812" s="464"/>
      <c r="AH812" s="448"/>
      <c r="AI812" s="464"/>
      <c r="AL812" s="448"/>
      <c r="AP812" s="448"/>
    </row>
    <row r="813" spans="1:42" ht="13">
      <c r="A813" s="462"/>
      <c r="B813" s="462"/>
      <c r="N813" s="448"/>
      <c r="O813" s="464"/>
      <c r="R813" s="448"/>
      <c r="S813" s="464"/>
      <c r="V813" s="448"/>
      <c r="W813" s="464"/>
      <c r="Z813" s="448"/>
      <c r="AA813" s="464"/>
      <c r="AD813" s="448"/>
      <c r="AE813" s="464"/>
      <c r="AH813" s="448"/>
      <c r="AI813" s="464"/>
      <c r="AL813" s="448"/>
      <c r="AP813" s="448"/>
    </row>
    <row r="814" spans="1:42" ht="13">
      <c r="A814" s="462"/>
      <c r="B814" s="462"/>
      <c r="N814" s="448"/>
      <c r="O814" s="464"/>
      <c r="R814" s="448"/>
      <c r="S814" s="464"/>
      <c r="V814" s="448"/>
      <c r="W814" s="464"/>
      <c r="Z814" s="448"/>
      <c r="AA814" s="464"/>
      <c r="AD814" s="448"/>
      <c r="AE814" s="464"/>
      <c r="AH814" s="448"/>
      <c r="AI814" s="464"/>
      <c r="AL814" s="448"/>
      <c r="AP814" s="448"/>
    </row>
    <row r="815" spans="1:42" ht="13">
      <c r="A815" s="462"/>
      <c r="B815" s="462"/>
      <c r="N815" s="448"/>
      <c r="O815" s="464"/>
      <c r="R815" s="448"/>
      <c r="S815" s="464"/>
      <c r="V815" s="448"/>
      <c r="W815" s="464"/>
      <c r="Z815" s="448"/>
      <c r="AA815" s="464"/>
      <c r="AD815" s="448"/>
      <c r="AE815" s="464"/>
      <c r="AH815" s="448"/>
      <c r="AI815" s="464"/>
      <c r="AL815" s="448"/>
      <c r="AP815" s="448"/>
    </row>
    <row r="816" spans="1:42" ht="13">
      <c r="A816" s="462"/>
      <c r="B816" s="462"/>
      <c r="N816" s="448"/>
      <c r="O816" s="464"/>
      <c r="R816" s="448"/>
      <c r="S816" s="464"/>
      <c r="V816" s="448"/>
      <c r="W816" s="464"/>
      <c r="Z816" s="448"/>
      <c r="AA816" s="464"/>
      <c r="AD816" s="448"/>
      <c r="AE816" s="464"/>
      <c r="AH816" s="448"/>
      <c r="AI816" s="464"/>
      <c r="AL816" s="448"/>
      <c r="AP816" s="448"/>
    </row>
    <row r="817" spans="1:42" ht="13">
      <c r="A817" s="462"/>
      <c r="B817" s="462"/>
      <c r="N817" s="448"/>
      <c r="O817" s="464"/>
      <c r="R817" s="448"/>
      <c r="S817" s="464"/>
      <c r="V817" s="448"/>
      <c r="W817" s="464"/>
      <c r="Z817" s="448"/>
      <c r="AA817" s="464"/>
      <c r="AD817" s="448"/>
      <c r="AE817" s="464"/>
      <c r="AH817" s="448"/>
      <c r="AI817" s="464"/>
      <c r="AL817" s="448"/>
      <c r="AP817" s="448"/>
    </row>
    <row r="818" spans="1:42" ht="13">
      <c r="A818" s="462"/>
      <c r="B818" s="462"/>
      <c r="N818" s="448"/>
      <c r="O818" s="464"/>
      <c r="R818" s="448"/>
      <c r="S818" s="464"/>
      <c r="V818" s="448"/>
      <c r="W818" s="464"/>
      <c r="Z818" s="448"/>
      <c r="AA818" s="464"/>
      <c r="AD818" s="448"/>
      <c r="AE818" s="464"/>
      <c r="AH818" s="448"/>
      <c r="AI818" s="464"/>
      <c r="AL818" s="448"/>
      <c r="AP818" s="448"/>
    </row>
    <row r="819" spans="1:42" ht="13">
      <c r="A819" s="462"/>
      <c r="B819" s="462"/>
      <c r="N819" s="448"/>
      <c r="O819" s="464"/>
      <c r="R819" s="448"/>
      <c r="S819" s="464"/>
      <c r="V819" s="448"/>
      <c r="W819" s="464"/>
      <c r="Z819" s="448"/>
      <c r="AA819" s="464"/>
      <c r="AD819" s="448"/>
      <c r="AE819" s="464"/>
      <c r="AH819" s="448"/>
      <c r="AI819" s="464"/>
      <c r="AL819" s="448"/>
      <c r="AP819" s="448"/>
    </row>
    <row r="820" spans="1:42" ht="13">
      <c r="A820" s="462"/>
      <c r="B820" s="462"/>
      <c r="N820" s="448"/>
      <c r="O820" s="464"/>
      <c r="R820" s="448"/>
      <c r="S820" s="464"/>
      <c r="V820" s="448"/>
      <c r="W820" s="464"/>
      <c r="Z820" s="448"/>
      <c r="AA820" s="464"/>
      <c r="AD820" s="448"/>
      <c r="AE820" s="464"/>
      <c r="AH820" s="448"/>
      <c r="AI820" s="464"/>
      <c r="AL820" s="448"/>
      <c r="AP820" s="448"/>
    </row>
    <row r="821" spans="1:42" ht="13">
      <c r="A821" s="462"/>
      <c r="B821" s="462"/>
      <c r="N821" s="448"/>
      <c r="O821" s="464"/>
      <c r="R821" s="448"/>
      <c r="S821" s="464"/>
      <c r="V821" s="448"/>
      <c r="W821" s="464"/>
      <c r="Z821" s="448"/>
      <c r="AA821" s="464"/>
      <c r="AD821" s="448"/>
      <c r="AE821" s="464"/>
      <c r="AH821" s="448"/>
      <c r="AI821" s="464"/>
      <c r="AL821" s="448"/>
      <c r="AP821" s="448"/>
    </row>
    <row r="822" spans="1:42" ht="13">
      <c r="A822" s="462"/>
      <c r="B822" s="462"/>
      <c r="N822" s="448"/>
      <c r="O822" s="464"/>
      <c r="R822" s="448"/>
      <c r="S822" s="464"/>
      <c r="V822" s="448"/>
      <c r="W822" s="464"/>
      <c r="Z822" s="448"/>
      <c r="AA822" s="464"/>
      <c r="AD822" s="448"/>
      <c r="AE822" s="464"/>
      <c r="AH822" s="448"/>
      <c r="AI822" s="464"/>
      <c r="AL822" s="448"/>
      <c r="AP822" s="448"/>
    </row>
    <row r="823" spans="1:42" ht="13">
      <c r="A823" s="462"/>
      <c r="B823" s="462"/>
      <c r="N823" s="448"/>
      <c r="O823" s="464"/>
      <c r="R823" s="448"/>
      <c r="S823" s="464"/>
      <c r="V823" s="448"/>
      <c r="W823" s="464"/>
      <c r="Z823" s="448"/>
      <c r="AA823" s="464"/>
      <c r="AD823" s="448"/>
      <c r="AE823" s="464"/>
      <c r="AH823" s="448"/>
      <c r="AI823" s="464"/>
      <c r="AL823" s="448"/>
      <c r="AP823" s="448"/>
    </row>
    <row r="824" spans="1:42" ht="13">
      <c r="A824" s="462"/>
      <c r="B824" s="462"/>
      <c r="N824" s="448"/>
      <c r="O824" s="464"/>
      <c r="R824" s="448"/>
      <c r="S824" s="464"/>
      <c r="V824" s="448"/>
      <c r="W824" s="464"/>
      <c r="Z824" s="448"/>
      <c r="AA824" s="464"/>
      <c r="AD824" s="448"/>
      <c r="AE824" s="464"/>
      <c r="AH824" s="448"/>
      <c r="AI824" s="464"/>
      <c r="AL824" s="448"/>
      <c r="AP824" s="448"/>
    </row>
    <row r="825" spans="1:42" ht="13">
      <c r="A825" s="462"/>
      <c r="B825" s="462"/>
      <c r="N825" s="448"/>
      <c r="O825" s="464"/>
      <c r="R825" s="448"/>
      <c r="S825" s="464"/>
      <c r="V825" s="448"/>
      <c r="W825" s="464"/>
      <c r="Z825" s="448"/>
      <c r="AA825" s="464"/>
      <c r="AD825" s="448"/>
      <c r="AE825" s="464"/>
      <c r="AH825" s="448"/>
      <c r="AI825" s="464"/>
      <c r="AL825" s="448"/>
      <c r="AP825" s="448"/>
    </row>
    <row r="826" spans="1:42" ht="13">
      <c r="A826" s="462"/>
      <c r="B826" s="462"/>
      <c r="N826" s="448"/>
      <c r="O826" s="464"/>
      <c r="R826" s="448"/>
      <c r="S826" s="464"/>
      <c r="V826" s="448"/>
      <c r="W826" s="464"/>
      <c r="Z826" s="448"/>
      <c r="AA826" s="464"/>
      <c r="AD826" s="448"/>
      <c r="AE826" s="464"/>
      <c r="AH826" s="448"/>
      <c r="AI826" s="464"/>
      <c r="AL826" s="448"/>
      <c r="AP826" s="448"/>
    </row>
    <row r="827" spans="1:42" ht="13">
      <c r="A827" s="462"/>
      <c r="B827" s="462"/>
      <c r="N827" s="448"/>
      <c r="O827" s="464"/>
      <c r="R827" s="448"/>
      <c r="S827" s="464"/>
      <c r="V827" s="448"/>
      <c r="W827" s="464"/>
      <c r="Z827" s="448"/>
      <c r="AA827" s="464"/>
      <c r="AD827" s="448"/>
      <c r="AE827" s="464"/>
      <c r="AH827" s="448"/>
      <c r="AI827" s="464"/>
      <c r="AL827" s="448"/>
      <c r="AP827" s="448"/>
    </row>
    <row r="828" spans="1:42" ht="13">
      <c r="A828" s="462"/>
      <c r="B828" s="462"/>
      <c r="N828" s="448"/>
      <c r="O828" s="464"/>
      <c r="R828" s="448"/>
      <c r="S828" s="464"/>
      <c r="V828" s="448"/>
      <c r="W828" s="464"/>
      <c r="Z828" s="448"/>
      <c r="AA828" s="464"/>
      <c r="AD828" s="448"/>
      <c r="AE828" s="464"/>
      <c r="AH828" s="448"/>
      <c r="AI828" s="464"/>
      <c r="AL828" s="448"/>
      <c r="AP828" s="448"/>
    </row>
    <row r="829" spans="1:42" ht="13">
      <c r="A829" s="462"/>
      <c r="B829" s="462"/>
      <c r="N829" s="448"/>
      <c r="O829" s="464"/>
      <c r="R829" s="448"/>
      <c r="S829" s="464"/>
      <c r="V829" s="448"/>
      <c r="W829" s="464"/>
      <c r="Z829" s="448"/>
      <c r="AA829" s="464"/>
      <c r="AD829" s="448"/>
      <c r="AE829" s="464"/>
      <c r="AH829" s="448"/>
      <c r="AI829" s="464"/>
      <c r="AL829" s="448"/>
      <c r="AP829" s="448"/>
    </row>
    <row r="830" spans="1:42" ht="13">
      <c r="A830" s="462"/>
      <c r="B830" s="462"/>
      <c r="N830" s="448"/>
      <c r="O830" s="464"/>
      <c r="R830" s="448"/>
      <c r="S830" s="464"/>
      <c r="V830" s="448"/>
      <c r="W830" s="464"/>
      <c r="Z830" s="448"/>
      <c r="AA830" s="464"/>
      <c r="AD830" s="448"/>
      <c r="AE830" s="464"/>
      <c r="AH830" s="448"/>
      <c r="AI830" s="464"/>
      <c r="AL830" s="448"/>
      <c r="AP830" s="448"/>
    </row>
    <row r="831" spans="1:42" ht="13">
      <c r="A831" s="462"/>
      <c r="B831" s="462"/>
      <c r="N831" s="448"/>
      <c r="O831" s="464"/>
      <c r="R831" s="448"/>
      <c r="S831" s="464"/>
      <c r="V831" s="448"/>
      <c r="W831" s="464"/>
      <c r="Z831" s="448"/>
      <c r="AA831" s="464"/>
      <c r="AD831" s="448"/>
      <c r="AE831" s="464"/>
      <c r="AH831" s="448"/>
      <c r="AI831" s="464"/>
      <c r="AL831" s="448"/>
      <c r="AP831" s="448"/>
    </row>
    <row r="832" spans="1:42" ht="13">
      <c r="A832" s="462"/>
      <c r="B832" s="462"/>
      <c r="N832" s="448"/>
      <c r="O832" s="464"/>
      <c r="R832" s="448"/>
      <c r="S832" s="464"/>
      <c r="V832" s="448"/>
      <c r="W832" s="464"/>
      <c r="Z832" s="448"/>
      <c r="AA832" s="464"/>
      <c r="AD832" s="448"/>
      <c r="AE832" s="464"/>
      <c r="AH832" s="448"/>
      <c r="AI832" s="464"/>
      <c r="AL832" s="448"/>
      <c r="AP832" s="448"/>
    </row>
    <row r="833" spans="1:42" ht="13">
      <c r="A833" s="462"/>
      <c r="B833" s="462"/>
      <c r="N833" s="448"/>
      <c r="O833" s="464"/>
      <c r="R833" s="448"/>
      <c r="S833" s="464"/>
      <c r="V833" s="448"/>
      <c r="W833" s="464"/>
      <c r="Z833" s="448"/>
      <c r="AA833" s="464"/>
      <c r="AD833" s="448"/>
      <c r="AE833" s="464"/>
      <c r="AH833" s="448"/>
      <c r="AI833" s="464"/>
      <c r="AL833" s="448"/>
      <c r="AP833" s="448"/>
    </row>
    <row r="834" spans="1:42" ht="13">
      <c r="A834" s="462"/>
      <c r="B834" s="462"/>
      <c r="N834" s="448"/>
      <c r="O834" s="464"/>
      <c r="R834" s="448"/>
      <c r="S834" s="464"/>
      <c r="V834" s="448"/>
      <c r="W834" s="464"/>
      <c r="Z834" s="448"/>
      <c r="AA834" s="464"/>
      <c r="AD834" s="448"/>
      <c r="AE834" s="464"/>
      <c r="AH834" s="448"/>
      <c r="AI834" s="464"/>
      <c r="AL834" s="448"/>
      <c r="AP834" s="448"/>
    </row>
    <row r="835" spans="1:42" ht="13">
      <c r="A835" s="462"/>
      <c r="B835" s="462"/>
      <c r="N835" s="448"/>
      <c r="O835" s="464"/>
      <c r="R835" s="448"/>
      <c r="S835" s="464"/>
      <c r="V835" s="448"/>
      <c r="W835" s="464"/>
      <c r="Z835" s="448"/>
      <c r="AA835" s="464"/>
      <c r="AD835" s="448"/>
      <c r="AE835" s="464"/>
      <c r="AH835" s="448"/>
      <c r="AI835" s="464"/>
      <c r="AL835" s="448"/>
      <c r="AP835" s="448"/>
    </row>
    <row r="836" spans="1:42" ht="13">
      <c r="A836" s="462"/>
      <c r="B836" s="462"/>
      <c r="N836" s="448"/>
      <c r="O836" s="464"/>
      <c r="R836" s="448"/>
      <c r="S836" s="464"/>
      <c r="V836" s="448"/>
      <c r="W836" s="464"/>
      <c r="Z836" s="448"/>
      <c r="AA836" s="464"/>
      <c r="AD836" s="448"/>
      <c r="AE836" s="464"/>
      <c r="AH836" s="448"/>
      <c r="AI836" s="464"/>
      <c r="AL836" s="448"/>
      <c r="AP836" s="448"/>
    </row>
    <row r="837" spans="1:42" ht="13">
      <c r="A837" s="462"/>
      <c r="B837" s="462"/>
      <c r="N837" s="448"/>
      <c r="O837" s="464"/>
      <c r="R837" s="448"/>
      <c r="S837" s="464"/>
      <c r="V837" s="448"/>
      <c r="W837" s="464"/>
      <c r="Z837" s="448"/>
      <c r="AA837" s="464"/>
      <c r="AD837" s="448"/>
      <c r="AE837" s="464"/>
      <c r="AH837" s="448"/>
      <c r="AI837" s="464"/>
      <c r="AL837" s="448"/>
      <c r="AP837" s="448"/>
    </row>
    <row r="838" spans="1:42" ht="13">
      <c r="A838" s="462"/>
      <c r="B838" s="462"/>
      <c r="N838" s="448"/>
      <c r="O838" s="464"/>
      <c r="R838" s="448"/>
      <c r="S838" s="464"/>
      <c r="V838" s="448"/>
      <c r="W838" s="464"/>
      <c r="Z838" s="448"/>
      <c r="AA838" s="464"/>
      <c r="AD838" s="448"/>
      <c r="AE838" s="464"/>
      <c r="AH838" s="448"/>
      <c r="AI838" s="464"/>
      <c r="AL838" s="448"/>
      <c r="AP838" s="448"/>
    </row>
    <row r="839" spans="1:42" ht="13">
      <c r="A839" s="462"/>
      <c r="B839" s="462"/>
      <c r="N839" s="448"/>
      <c r="O839" s="464"/>
      <c r="R839" s="448"/>
      <c r="S839" s="464"/>
      <c r="V839" s="448"/>
      <c r="W839" s="464"/>
      <c r="Z839" s="448"/>
      <c r="AA839" s="464"/>
      <c r="AD839" s="448"/>
      <c r="AE839" s="464"/>
      <c r="AH839" s="448"/>
      <c r="AI839" s="464"/>
      <c r="AL839" s="448"/>
      <c r="AP839" s="448"/>
    </row>
    <row r="840" spans="1:42" ht="13">
      <c r="A840" s="462"/>
      <c r="B840" s="462"/>
      <c r="N840" s="448"/>
      <c r="O840" s="464"/>
      <c r="R840" s="448"/>
      <c r="S840" s="464"/>
      <c r="V840" s="448"/>
      <c r="W840" s="464"/>
      <c r="Z840" s="448"/>
      <c r="AA840" s="464"/>
      <c r="AD840" s="448"/>
      <c r="AE840" s="464"/>
      <c r="AH840" s="448"/>
      <c r="AI840" s="464"/>
      <c r="AL840" s="448"/>
      <c r="AP840" s="448"/>
    </row>
    <row r="841" spans="1:42" ht="13">
      <c r="A841" s="462"/>
      <c r="B841" s="462"/>
      <c r="N841" s="448"/>
      <c r="O841" s="464"/>
      <c r="R841" s="448"/>
      <c r="S841" s="464"/>
      <c r="V841" s="448"/>
      <c r="W841" s="464"/>
      <c r="Z841" s="448"/>
      <c r="AA841" s="464"/>
      <c r="AD841" s="448"/>
      <c r="AE841" s="464"/>
      <c r="AH841" s="448"/>
      <c r="AI841" s="464"/>
      <c r="AL841" s="448"/>
      <c r="AP841" s="448"/>
    </row>
    <row r="842" spans="1:42" ht="13">
      <c r="A842" s="462"/>
      <c r="B842" s="462"/>
      <c r="N842" s="448"/>
      <c r="O842" s="464"/>
      <c r="R842" s="448"/>
      <c r="S842" s="464"/>
      <c r="V842" s="448"/>
      <c r="W842" s="464"/>
      <c r="Z842" s="448"/>
      <c r="AA842" s="464"/>
      <c r="AD842" s="448"/>
      <c r="AE842" s="464"/>
      <c r="AH842" s="448"/>
      <c r="AI842" s="464"/>
      <c r="AL842" s="448"/>
      <c r="AP842" s="448"/>
    </row>
    <row r="843" spans="1:42" ht="13">
      <c r="A843" s="462"/>
      <c r="B843" s="462"/>
      <c r="N843" s="448"/>
      <c r="O843" s="464"/>
      <c r="R843" s="448"/>
      <c r="S843" s="464"/>
      <c r="V843" s="448"/>
      <c r="W843" s="464"/>
      <c r="Z843" s="448"/>
      <c r="AA843" s="464"/>
      <c r="AD843" s="448"/>
      <c r="AE843" s="464"/>
      <c r="AH843" s="448"/>
      <c r="AI843" s="464"/>
      <c r="AL843" s="448"/>
      <c r="AP843" s="448"/>
    </row>
    <row r="844" spans="1:42" ht="13">
      <c r="A844" s="462"/>
      <c r="B844" s="462"/>
      <c r="N844" s="448"/>
      <c r="O844" s="464"/>
      <c r="R844" s="448"/>
      <c r="S844" s="464"/>
      <c r="V844" s="448"/>
      <c r="W844" s="464"/>
      <c r="Z844" s="448"/>
      <c r="AA844" s="464"/>
      <c r="AD844" s="448"/>
      <c r="AE844" s="464"/>
      <c r="AH844" s="448"/>
      <c r="AI844" s="464"/>
      <c r="AL844" s="448"/>
      <c r="AP844" s="448"/>
    </row>
    <row r="845" spans="1:42" ht="13">
      <c r="A845" s="462"/>
      <c r="B845" s="462"/>
      <c r="N845" s="448"/>
      <c r="O845" s="464"/>
      <c r="R845" s="448"/>
      <c r="S845" s="464"/>
      <c r="V845" s="448"/>
      <c r="W845" s="464"/>
      <c r="Z845" s="448"/>
      <c r="AA845" s="464"/>
      <c r="AD845" s="448"/>
      <c r="AE845" s="464"/>
      <c r="AH845" s="448"/>
      <c r="AI845" s="464"/>
      <c r="AL845" s="448"/>
      <c r="AP845" s="448"/>
    </row>
    <row r="846" spans="1:42" ht="13">
      <c r="A846" s="462"/>
      <c r="B846" s="462"/>
      <c r="N846" s="448"/>
      <c r="O846" s="464"/>
      <c r="R846" s="448"/>
      <c r="S846" s="464"/>
      <c r="V846" s="448"/>
      <c r="W846" s="464"/>
      <c r="Z846" s="448"/>
      <c r="AA846" s="464"/>
      <c r="AD846" s="448"/>
      <c r="AE846" s="464"/>
      <c r="AH846" s="448"/>
      <c r="AI846" s="464"/>
      <c r="AL846" s="448"/>
      <c r="AP846" s="448"/>
    </row>
    <row r="847" spans="1:42" ht="13">
      <c r="A847" s="462"/>
      <c r="B847" s="462"/>
      <c r="N847" s="448"/>
      <c r="O847" s="464"/>
      <c r="R847" s="448"/>
      <c r="S847" s="464"/>
      <c r="V847" s="448"/>
      <c r="W847" s="464"/>
      <c r="Z847" s="448"/>
      <c r="AA847" s="464"/>
      <c r="AD847" s="448"/>
      <c r="AE847" s="464"/>
      <c r="AH847" s="448"/>
      <c r="AI847" s="464"/>
      <c r="AL847" s="448"/>
      <c r="AP847" s="448"/>
    </row>
    <row r="848" spans="1:42" ht="13">
      <c r="A848" s="462"/>
      <c r="B848" s="462"/>
      <c r="N848" s="448"/>
      <c r="O848" s="464"/>
      <c r="R848" s="448"/>
      <c r="S848" s="464"/>
      <c r="V848" s="448"/>
      <c r="W848" s="464"/>
      <c r="Z848" s="448"/>
      <c r="AA848" s="464"/>
      <c r="AD848" s="448"/>
      <c r="AE848" s="464"/>
      <c r="AH848" s="448"/>
      <c r="AI848" s="464"/>
      <c r="AL848" s="448"/>
      <c r="AP848" s="448"/>
    </row>
    <row r="849" spans="1:42" ht="13">
      <c r="A849" s="462"/>
      <c r="B849" s="462"/>
      <c r="N849" s="448"/>
      <c r="O849" s="464"/>
      <c r="R849" s="448"/>
      <c r="S849" s="464"/>
      <c r="V849" s="448"/>
      <c r="W849" s="464"/>
      <c r="Z849" s="448"/>
      <c r="AA849" s="464"/>
      <c r="AD849" s="448"/>
      <c r="AE849" s="464"/>
      <c r="AH849" s="448"/>
      <c r="AI849" s="464"/>
      <c r="AL849" s="448"/>
      <c r="AP849" s="448"/>
    </row>
    <row r="850" spans="1:42" ht="13">
      <c r="A850" s="462"/>
      <c r="B850" s="462"/>
      <c r="N850" s="448"/>
      <c r="O850" s="464"/>
      <c r="R850" s="448"/>
      <c r="S850" s="464"/>
      <c r="V850" s="448"/>
      <c r="W850" s="464"/>
      <c r="Z850" s="448"/>
      <c r="AA850" s="464"/>
      <c r="AD850" s="448"/>
      <c r="AE850" s="464"/>
      <c r="AH850" s="448"/>
      <c r="AI850" s="464"/>
      <c r="AL850" s="448"/>
      <c r="AP850" s="448"/>
    </row>
    <row r="851" spans="1:42" ht="13">
      <c r="A851" s="462"/>
      <c r="B851" s="462"/>
      <c r="N851" s="448"/>
      <c r="O851" s="464"/>
      <c r="R851" s="448"/>
      <c r="S851" s="464"/>
      <c r="V851" s="448"/>
      <c r="W851" s="464"/>
      <c r="Z851" s="448"/>
      <c r="AA851" s="464"/>
      <c r="AD851" s="448"/>
      <c r="AE851" s="464"/>
      <c r="AH851" s="448"/>
      <c r="AI851" s="464"/>
      <c r="AL851" s="448"/>
      <c r="AP851" s="448"/>
    </row>
    <row r="852" spans="1:42" ht="13">
      <c r="A852" s="462"/>
      <c r="B852" s="462"/>
      <c r="N852" s="448"/>
      <c r="O852" s="464"/>
      <c r="R852" s="448"/>
      <c r="S852" s="464"/>
      <c r="V852" s="448"/>
      <c r="W852" s="464"/>
      <c r="Z852" s="448"/>
      <c r="AA852" s="464"/>
      <c r="AD852" s="448"/>
      <c r="AE852" s="464"/>
      <c r="AH852" s="448"/>
      <c r="AI852" s="464"/>
      <c r="AL852" s="448"/>
      <c r="AP852" s="448"/>
    </row>
    <row r="853" spans="1:42" ht="13">
      <c r="A853" s="462"/>
      <c r="B853" s="462"/>
      <c r="N853" s="448"/>
      <c r="O853" s="464"/>
      <c r="R853" s="448"/>
      <c r="S853" s="464"/>
      <c r="V853" s="448"/>
      <c r="W853" s="464"/>
      <c r="Z853" s="448"/>
      <c r="AA853" s="464"/>
      <c r="AD853" s="448"/>
      <c r="AE853" s="464"/>
      <c r="AH853" s="448"/>
      <c r="AI853" s="464"/>
      <c r="AL853" s="448"/>
      <c r="AP853" s="448"/>
    </row>
    <row r="854" spans="1:42" ht="13">
      <c r="A854" s="462"/>
      <c r="B854" s="462"/>
      <c r="N854" s="448"/>
      <c r="O854" s="464"/>
      <c r="R854" s="448"/>
      <c r="S854" s="464"/>
      <c r="V854" s="448"/>
      <c r="W854" s="464"/>
      <c r="Z854" s="448"/>
      <c r="AA854" s="464"/>
      <c r="AD854" s="448"/>
      <c r="AE854" s="464"/>
      <c r="AH854" s="448"/>
      <c r="AI854" s="464"/>
      <c r="AL854" s="448"/>
      <c r="AP854" s="448"/>
    </row>
    <row r="855" spans="1:42" ht="13">
      <c r="A855" s="462"/>
      <c r="B855" s="462"/>
      <c r="N855" s="448"/>
      <c r="O855" s="464"/>
      <c r="R855" s="448"/>
      <c r="S855" s="464"/>
      <c r="V855" s="448"/>
      <c r="W855" s="464"/>
      <c r="Z855" s="448"/>
      <c r="AA855" s="464"/>
      <c r="AD855" s="448"/>
      <c r="AE855" s="464"/>
      <c r="AH855" s="448"/>
      <c r="AI855" s="464"/>
      <c r="AL855" s="448"/>
      <c r="AP855" s="448"/>
    </row>
    <row r="856" spans="1:42" ht="13">
      <c r="A856" s="462"/>
      <c r="B856" s="462"/>
      <c r="N856" s="448"/>
      <c r="O856" s="464"/>
      <c r="R856" s="448"/>
      <c r="S856" s="464"/>
      <c r="V856" s="448"/>
      <c r="W856" s="464"/>
      <c r="Z856" s="448"/>
      <c r="AA856" s="464"/>
      <c r="AD856" s="448"/>
      <c r="AE856" s="464"/>
      <c r="AH856" s="448"/>
      <c r="AI856" s="464"/>
      <c r="AL856" s="448"/>
      <c r="AP856" s="448"/>
    </row>
    <row r="857" spans="1:42" ht="13">
      <c r="A857" s="462"/>
      <c r="B857" s="462"/>
      <c r="N857" s="448"/>
      <c r="O857" s="464"/>
      <c r="R857" s="448"/>
      <c r="S857" s="464"/>
      <c r="V857" s="448"/>
      <c r="W857" s="464"/>
      <c r="Z857" s="448"/>
      <c r="AA857" s="464"/>
      <c r="AD857" s="448"/>
      <c r="AE857" s="464"/>
      <c r="AH857" s="448"/>
      <c r="AI857" s="464"/>
      <c r="AL857" s="448"/>
      <c r="AP857" s="448"/>
    </row>
    <row r="858" spans="1:42" ht="13">
      <c r="A858" s="462"/>
      <c r="B858" s="462"/>
      <c r="N858" s="448"/>
      <c r="O858" s="464"/>
      <c r="R858" s="448"/>
      <c r="S858" s="464"/>
      <c r="V858" s="448"/>
      <c r="W858" s="464"/>
      <c r="Z858" s="448"/>
      <c r="AA858" s="464"/>
      <c r="AD858" s="448"/>
      <c r="AE858" s="464"/>
      <c r="AH858" s="448"/>
      <c r="AI858" s="464"/>
      <c r="AL858" s="448"/>
      <c r="AP858" s="448"/>
    </row>
    <row r="859" spans="1:42" ht="13">
      <c r="A859" s="462"/>
      <c r="B859" s="462"/>
      <c r="N859" s="448"/>
      <c r="O859" s="464"/>
      <c r="R859" s="448"/>
      <c r="S859" s="464"/>
      <c r="V859" s="448"/>
      <c r="W859" s="464"/>
      <c r="Z859" s="448"/>
      <c r="AA859" s="464"/>
      <c r="AD859" s="448"/>
      <c r="AE859" s="464"/>
      <c r="AH859" s="448"/>
      <c r="AI859" s="464"/>
      <c r="AL859" s="448"/>
      <c r="AP859" s="448"/>
    </row>
    <row r="860" spans="1:42" ht="13">
      <c r="A860" s="462"/>
      <c r="B860" s="462"/>
      <c r="N860" s="448"/>
      <c r="O860" s="464"/>
      <c r="R860" s="448"/>
      <c r="S860" s="464"/>
      <c r="V860" s="448"/>
      <c r="W860" s="464"/>
      <c r="Z860" s="448"/>
      <c r="AA860" s="464"/>
      <c r="AD860" s="448"/>
      <c r="AE860" s="464"/>
      <c r="AH860" s="448"/>
      <c r="AI860" s="464"/>
      <c r="AL860" s="448"/>
      <c r="AP860" s="448"/>
    </row>
    <row r="861" spans="1:42" ht="13">
      <c r="A861" s="462"/>
      <c r="B861" s="462"/>
      <c r="N861" s="448"/>
      <c r="O861" s="464"/>
      <c r="R861" s="448"/>
      <c r="S861" s="464"/>
      <c r="V861" s="448"/>
      <c r="W861" s="464"/>
      <c r="Z861" s="448"/>
      <c r="AA861" s="464"/>
      <c r="AD861" s="448"/>
      <c r="AE861" s="464"/>
      <c r="AH861" s="448"/>
      <c r="AI861" s="464"/>
      <c r="AL861" s="448"/>
      <c r="AP861" s="448"/>
    </row>
    <row r="862" spans="1:42" ht="13">
      <c r="A862" s="462"/>
      <c r="B862" s="462"/>
      <c r="N862" s="448"/>
      <c r="O862" s="464"/>
      <c r="R862" s="448"/>
      <c r="S862" s="464"/>
      <c r="V862" s="448"/>
      <c r="W862" s="464"/>
      <c r="Z862" s="448"/>
      <c r="AA862" s="464"/>
      <c r="AD862" s="448"/>
      <c r="AE862" s="464"/>
      <c r="AH862" s="448"/>
      <c r="AI862" s="464"/>
      <c r="AL862" s="448"/>
      <c r="AP862" s="448"/>
    </row>
    <row r="863" spans="1:42" ht="13">
      <c r="A863" s="462"/>
      <c r="B863" s="462"/>
      <c r="N863" s="448"/>
      <c r="O863" s="464"/>
      <c r="R863" s="448"/>
      <c r="S863" s="464"/>
      <c r="V863" s="448"/>
      <c r="W863" s="464"/>
      <c r="Z863" s="448"/>
      <c r="AA863" s="464"/>
      <c r="AD863" s="448"/>
      <c r="AE863" s="464"/>
      <c r="AH863" s="448"/>
      <c r="AI863" s="464"/>
      <c r="AL863" s="448"/>
      <c r="AP863" s="448"/>
    </row>
    <row r="864" spans="1:42" ht="13">
      <c r="A864" s="462"/>
      <c r="B864" s="462"/>
      <c r="N864" s="448"/>
      <c r="O864" s="464"/>
      <c r="R864" s="448"/>
      <c r="S864" s="464"/>
      <c r="V864" s="448"/>
      <c r="W864" s="464"/>
      <c r="Z864" s="448"/>
      <c r="AA864" s="464"/>
      <c r="AD864" s="448"/>
      <c r="AE864" s="464"/>
      <c r="AH864" s="448"/>
      <c r="AI864" s="464"/>
      <c r="AL864" s="448"/>
      <c r="AP864" s="448"/>
    </row>
    <row r="865" spans="1:42" ht="13">
      <c r="A865" s="462"/>
      <c r="B865" s="462"/>
      <c r="N865" s="448"/>
      <c r="O865" s="464"/>
      <c r="R865" s="448"/>
      <c r="S865" s="464"/>
      <c r="V865" s="448"/>
      <c r="W865" s="464"/>
      <c r="Z865" s="448"/>
      <c r="AA865" s="464"/>
      <c r="AD865" s="448"/>
      <c r="AE865" s="464"/>
      <c r="AH865" s="448"/>
      <c r="AI865" s="464"/>
      <c r="AL865" s="448"/>
      <c r="AP865" s="448"/>
    </row>
    <row r="866" spans="1:42" ht="13">
      <c r="A866" s="462"/>
      <c r="B866" s="462"/>
      <c r="N866" s="448"/>
      <c r="O866" s="464"/>
      <c r="R866" s="448"/>
      <c r="S866" s="464"/>
      <c r="V866" s="448"/>
      <c r="W866" s="464"/>
      <c r="Z866" s="448"/>
      <c r="AA866" s="464"/>
      <c r="AD866" s="448"/>
      <c r="AE866" s="464"/>
      <c r="AH866" s="448"/>
      <c r="AI866" s="464"/>
      <c r="AL866" s="448"/>
      <c r="AP866" s="448"/>
    </row>
    <row r="867" spans="1:42" ht="13">
      <c r="A867" s="462"/>
      <c r="B867" s="462"/>
      <c r="N867" s="448"/>
      <c r="O867" s="464"/>
      <c r="R867" s="448"/>
      <c r="S867" s="464"/>
      <c r="V867" s="448"/>
      <c r="W867" s="464"/>
      <c r="Z867" s="448"/>
      <c r="AA867" s="464"/>
      <c r="AD867" s="448"/>
      <c r="AE867" s="464"/>
      <c r="AH867" s="448"/>
      <c r="AI867" s="464"/>
      <c r="AL867" s="448"/>
      <c r="AP867" s="448"/>
    </row>
    <row r="868" spans="1:42" ht="13">
      <c r="A868" s="462"/>
      <c r="B868" s="462"/>
      <c r="N868" s="448"/>
      <c r="O868" s="464"/>
      <c r="R868" s="448"/>
      <c r="S868" s="464"/>
      <c r="V868" s="448"/>
      <c r="W868" s="464"/>
      <c r="Z868" s="448"/>
      <c r="AA868" s="464"/>
      <c r="AD868" s="448"/>
      <c r="AE868" s="464"/>
      <c r="AH868" s="448"/>
      <c r="AI868" s="464"/>
      <c r="AL868" s="448"/>
      <c r="AP868" s="448"/>
    </row>
    <row r="869" spans="1:42" ht="13">
      <c r="A869" s="462"/>
      <c r="B869" s="462"/>
      <c r="N869" s="448"/>
      <c r="O869" s="464"/>
      <c r="R869" s="448"/>
      <c r="S869" s="464"/>
      <c r="V869" s="448"/>
      <c r="W869" s="464"/>
      <c r="Z869" s="448"/>
      <c r="AA869" s="464"/>
      <c r="AD869" s="448"/>
      <c r="AE869" s="464"/>
      <c r="AH869" s="448"/>
      <c r="AI869" s="464"/>
      <c r="AL869" s="448"/>
      <c r="AP869" s="448"/>
    </row>
    <row r="870" spans="1:42" ht="13">
      <c r="A870" s="462"/>
      <c r="B870" s="462"/>
      <c r="N870" s="448"/>
      <c r="O870" s="464"/>
      <c r="R870" s="448"/>
      <c r="S870" s="464"/>
      <c r="V870" s="448"/>
      <c r="W870" s="464"/>
      <c r="Z870" s="448"/>
      <c r="AA870" s="464"/>
      <c r="AD870" s="448"/>
      <c r="AE870" s="464"/>
      <c r="AH870" s="448"/>
      <c r="AI870" s="464"/>
      <c r="AL870" s="448"/>
      <c r="AP870" s="448"/>
    </row>
    <row r="871" spans="1:42" ht="13">
      <c r="A871" s="462"/>
      <c r="B871" s="462"/>
      <c r="N871" s="448"/>
      <c r="O871" s="464"/>
      <c r="R871" s="448"/>
      <c r="S871" s="464"/>
      <c r="V871" s="448"/>
      <c r="W871" s="464"/>
      <c r="Z871" s="448"/>
      <c r="AA871" s="464"/>
      <c r="AD871" s="448"/>
      <c r="AE871" s="464"/>
      <c r="AH871" s="448"/>
      <c r="AI871" s="464"/>
      <c r="AL871" s="448"/>
      <c r="AP871" s="448"/>
    </row>
    <row r="872" spans="1:42" ht="13">
      <c r="A872" s="462"/>
      <c r="B872" s="462"/>
      <c r="N872" s="448"/>
      <c r="O872" s="464"/>
      <c r="R872" s="448"/>
      <c r="S872" s="464"/>
      <c r="V872" s="448"/>
      <c r="W872" s="464"/>
      <c r="Z872" s="448"/>
      <c r="AA872" s="464"/>
      <c r="AD872" s="448"/>
      <c r="AE872" s="464"/>
      <c r="AH872" s="448"/>
      <c r="AI872" s="464"/>
      <c r="AL872" s="448"/>
      <c r="AP872" s="448"/>
    </row>
    <row r="873" spans="1:42" ht="13">
      <c r="A873" s="462"/>
      <c r="B873" s="462"/>
      <c r="N873" s="448"/>
      <c r="O873" s="464"/>
      <c r="R873" s="448"/>
      <c r="S873" s="464"/>
      <c r="V873" s="448"/>
      <c r="W873" s="464"/>
      <c r="Z873" s="448"/>
      <c r="AA873" s="464"/>
      <c r="AD873" s="448"/>
      <c r="AE873" s="464"/>
      <c r="AH873" s="448"/>
      <c r="AI873" s="464"/>
      <c r="AL873" s="448"/>
      <c r="AP873" s="448"/>
    </row>
    <row r="874" spans="1:42" ht="13">
      <c r="A874" s="462"/>
      <c r="B874" s="462"/>
      <c r="N874" s="448"/>
      <c r="O874" s="464"/>
      <c r="R874" s="448"/>
      <c r="S874" s="464"/>
      <c r="V874" s="448"/>
      <c r="W874" s="464"/>
      <c r="Z874" s="448"/>
      <c r="AA874" s="464"/>
      <c r="AD874" s="448"/>
      <c r="AE874" s="464"/>
      <c r="AH874" s="448"/>
      <c r="AI874" s="464"/>
      <c r="AL874" s="448"/>
      <c r="AP874" s="448"/>
    </row>
    <row r="875" spans="1:42" ht="13">
      <c r="A875" s="462"/>
      <c r="B875" s="462"/>
      <c r="N875" s="448"/>
      <c r="O875" s="464"/>
      <c r="R875" s="448"/>
      <c r="S875" s="464"/>
      <c r="V875" s="448"/>
      <c r="W875" s="464"/>
      <c r="Z875" s="448"/>
      <c r="AA875" s="464"/>
      <c r="AD875" s="448"/>
      <c r="AE875" s="464"/>
      <c r="AH875" s="448"/>
      <c r="AI875" s="464"/>
      <c r="AL875" s="448"/>
      <c r="AP875" s="448"/>
    </row>
    <row r="876" spans="1:42" ht="13">
      <c r="A876" s="462"/>
      <c r="B876" s="462"/>
      <c r="N876" s="448"/>
      <c r="O876" s="464"/>
      <c r="R876" s="448"/>
      <c r="S876" s="464"/>
      <c r="V876" s="448"/>
      <c r="W876" s="464"/>
      <c r="Z876" s="448"/>
      <c r="AA876" s="464"/>
      <c r="AD876" s="448"/>
      <c r="AE876" s="464"/>
      <c r="AH876" s="448"/>
      <c r="AI876" s="464"/>
      <c r="AL876" s="448"/>
      <c r="AP876" s="448"/>
    </row>
    <row r="877" spans="1:42" ht="13">
      <c r="A877" s="462"/>
      <c r="B877" s="462"/>
      <c r="N877" s="448"/>
      <c r="O877" s="464"/>
      <c r="R877" s="448"/>
      <c r="S877" s="464"/>
      <c r="V877" s="448"/>
      <c r="W877" s="464"/>
      <c r="Z877" s="448"/>
      <c r="AA877" s="464"/>
      <c r="AD877" s="448"/>
      <c r="AE877" s="464"/>
      <c r="AH877" s="448"/>
      <c r="AI877" s="464"/>
      <c r="AL877" s="448"/>
      <c r="AP877" s="448"/>
    </row>
    <row r="878" spans="1:42" ht="13">
      <c r="A878" s="462"/>
      <c r="B878" s="462"/>
      <c r="N878" s="448"/>
      <c r="O878" s="464"/>
      <c r="R878" s="448"/>
      <c r="S878" s="464"/>
      <c r="V878" s="448"/>
      <c r="W878" s="464"/>
      <c r="Z878" s="448"/>
      <c r="AA878" s="464"/>
      <c r="AD878" s="448"/>
      <c r="AE878" s="464"/>
      <c r="AH878" s="448"/>
      <c r="AI878" s="464"/>
      <c r="AL878" s="448"/>
      <c r="AP878" s="448"/>
    </row>
    <row r="879" spans="1:42" ht="13">
      <c r="A879" s="462"/>
      <c r="B879" s="462"/>
      <c r="N879" s="448"/>
      <c r="O879" s="464"/>
      <c r="R879" s="448"/>
      <c r="S879" s="464"/>
      <c r="V879" s="448"/>
      <c r="W879" s="464"/>
      <c r="Z879" s="448"/>
      <c r="AA879" s="464"/>
      <c r="AD879" s="448"/>
      <c r="AE879" s="464"/>
      <c r="AH879" s="448"/>
      <c r="AI879" s="464"/>
      <c r="AL879" s="448"/>
      <c r="AP879" s="448"/>
    </row>
    <row r="880" spans="1:42" ht="13">
      <c r="A880" s="462"/>
      <c r="B880" s="462"/>
      <c r="N880" s="448"/>
      <c r="O880" s="464"/>
      <c r="R880" s="448"/>
      <c r="S880" s="464"/>
      <c r="V880" s="448"/>
      <c r="W880" s="464"/>
      <c r="Z880" s="448"/>
      <c r="AA880" s="464"/>
      <c r="AD880" s="448"/>
      <c r="AE880" s="464"/>
      <c r="AH880" s="448"/>
      <c r="AI880" s="464"/>
      <c r="AL880" s="448"/>
      <c r="AP880" s="448"/>
    </row>
    <row r="881" spans="1:42" ht="13">
      <c r="A881" s="462"/>
      <c r="B881" s="462"/>
      <c r="N881" s="448"/>
      <c r="O881" s="464"/>
      <c r="R881" s="448"/>
      <c r="S881" s="464"/>
      <c r="V881" s="448"/>
      <c r="W881" s="464"/>
      <c r="Z881" s="448"/>
      <c r="AA881" s="464"/>
      <c r="AD881" s="448"/>
      <c r="AE881" s="464"/>
      <c r="AH881" s="448"/>
      <c r="AI881" s="464"/>
      <c r="AL881" s="448"/>
      <c r="AP881" s="448"/>
    </row>
    <row r="882" spans="1:42" ht="13">
      <c r="A882" s="462"/>
      <c r="B882" s="462"/>
      <c r="N882" s="448"/>
      <c r="O882" s="464"/>
      <c r="R882" s="448"/>
      <c r="S882" s="464"/>
      <c r="V882" s="448"/>
      <c r="W882" s="464"/>
      <c r="Z882" s="448"/>
      <c r="AA882" s="464"/>
      <c r="AD882" s="448"/>
      <c r="AE882" s="464"/>
      <c r="AH882" s="448"/>
      <c r="AI882" s="464"/>
      <c r="AL882" s="448"/>
      <c r="AP882" s="448"/>
    </row>
    <row r="883" spans="1:42" ht="13">
      <c r="A883" s="462"/>
      <c r="B883" s="462"/>
      <c r="N883" s="448"/>
      <c r="O883" s="464"/>
      <c r="R883" s="448"/>
      <c r="S883" s="464"/>
      <c r="V883" s="448"/>
      <c r="W883" s="464"/>
      <c r="Z883" s="448"/>
      <c r="AA883" s="464"/>
      <c r="AD883" s="448"/>
      <c r="AE883" s="464"/>
      <c r="AH883" s="448"/>
      <c r="AI883" s="464"/>
      <c r="AL883" s="448"/>
      <c r="AP883" s="448"/>
    </row>
    <row r="884" spans="1:42" ht="13">
      <c r="A884" s="462"/>
      <c r="B884" s="462"/>
      <c r="N884" s="448"/>
      <c r="O884" s="464"/>
      <c r="R884" s="448"/>
      <c r="S884" s="464"/>
      <c r="V884" s="448"/>
      <c r="W884" s="464"/>
      <c r="Z884" s="448"/>
      <c r="AA884" s="464"/>
      <c r="AD884" s="448"/>
      <c r="AE884" s="464"/>
      <c r="AH884" s="448"/>
      <c r="AI884" s="464"/>
      <c r="AL884" s="448"/>
      <c r="AP884" s="448"/>
    </row>
    <row r="885" spans="1:42" ht="13">
      <c r="A885" s="462"/>
      <c r="B885" s="462"/>
      <c r="N885" s="448"/>
      <c r="O885" s="464"/>
      <c r="R885" s="448"/>
      <c r="S885" s="464"/>
      <c r="V885" s="448"/>
      <c r="W885" s="464"/>
      <c r="Z885" s="448"/>
      <c r="AA885" s="464"/>
      <c r="AD885" s="448"/>
      <c r="AE885" s="464"/>
      <c r="AH885" s="448"/>
      <c r="AI885" s="464"/>
      <c r="AL885" s="448"/>
      <c r="AP885" s="448"/>
    </row>
    <row r="886" spans="1:42" ht="13">
      <c r="A886" s="462"/>
      <c r="B886" s="462"/>
      <c r="N886" s="448"/>
      <c r="O886" s="464"/>
      <c r="R886" s="448"/>
      <c r="S886" s="464"/>
      <c r="V886" s="448"/>
      <c r="W886" s="464"/>
      <c r="Z886" s="448"/>
      <c r="AA886" s="464"/>
      <c r="AD886" s="448"/>
      <c r="AE886" s="464"/>
      <c r="AH886" s="448"/>
      <c r="AI886" s="464"/>
      <c r="AL886" s="448"/>
      <c r="AP886" s="448"/>
    </row>
    <row r="887" spans="1:42" ht="13">
      <c r="A887" s="462"/>
      <c r="B887" s="462"/>
      <c r="N887" s="448"/>
      <c r="O887" s="464"/>
      <c r="R887" s="448"/>
      <c r="S887" s="464"/>
      <c r="V887" s="448"/>
      <c r="W887" s="464"/>
      <c r="Z887" s="448"/>
      <c r="AA887" s="464"/>
      <c r="AD887" s="448"/>
      <c r="AE887" s="464"/>
      <c r="AH887" s="448"/>
      <c r="AI887" s="464"/>
      <c r="AL887" s="448"/>
      <c r="AP887" s="448"/>
    </row>
    <row r="888" spans="1:42" ht="13">
      <c r="A888" s="462"/>
      <c r="B888" s="462"/>
      <c r="N888" s="448"/>
      <c r="O888" s="464"/>
      <c r="R888" s="448"/>
      <c r="S888" s="464"/>
      <c r="V888" s="448"/>
      <c r="W888" s="464"/>
      <c r="Z888" s="448"/>
      <c r="AA888" s="464"/>
      <c r="AD888" s="448"/>
      <c r="AE888" s="464"/>
      <c r="AH888" s="448"/>
      <c r="AI888" s="464"/>
      <c r="AL888" s="448"/>
      <c r="AP888" s="448"/>
    </row>
    <row r="889" spans="1:42" ht="13">
      <c r="A889" s="462"/>
      <c r="B889" s="462"/>
      <c r="N889" s="448"/>
      <c r="O889" s="464"/>
      <c r="R889" s="448"/>
      <c r="S889" s="464"/>
      <c r="V889" s="448"/>
      <c r="W889" s="464"/>
      <c r="Z889" s="448"/>
      <c r="AA889" s="464"/>
      <c r="AD889" s="448"/>
      <c r="AE889" s="464"/>
      <c r="AH889" s="448"/>
      <c r="AI889" s="464"/>
      <c r="AL889" s="448"/>
      <c r="AP889" s="448"/>
    </row>
    <row r="890" spans="1:42" ht="13">
      <c r="A890" s="462"/>
      <c r="B890" s="462"/>
      <c r="N890" s="448"/>
      <c r="O890" s="464"/>
      <c r="R890" s="448"/>
      <c r="S890" s="464"/>
      <c r="V890" s="448"/>
      <c r="W890" s="464"/>
      <c r="Z890" s="448"/>
      <c r="AA890" s="464"/>
      <c r="AD890" s="448"/>
      <c r="AE890" s="464"/>
      <c r="AH890" s="448"/>
      <c r="AI890" s="464"/>
      <c r="AL890" s="448"/>
      <c r="AP890" s="448"/>
    </row>
    <row r="891" spans="1:42" ht="13">
      <c r="A891" s="462"/>
      <c r="B891" s="462"/>
      <c r="N891" s="448"/>
      <c r="O891" s="464"/>
      <c r="R891" s="448"/>
      <c r="S891" s="464"/>
      <c r="V891" s="448"/>
      <c r="W891" s="464"/>
      <c r="Z891" s="448"/>
      <c r="AA891" s="464"/>
      <c r="AD891" s="448"/>
      <c r="AE891" s="464"/>
      <c r="AH891" s="448"/>
      <c r="AI891" s="464"/>
      <c r="AL891" s="448"/>
      <c r="AP891" s="448"/>
    </row>
    <row r="892" spans="1:42" ht="13">
      <c r="A892" s="462"/>
      <c r="B892" s="462"/>
      <c r="N892" s="448"/>
      <c r="O892" s="464"/>
      <c r="R892" s="448"/>
      <c r="S892" s="464"/>
      <c r="V892" s="448"/>
      <c r="W892" s="464"/>
      <c r="Z892" s="448"/>
      <c r="AA892" s="464"/>
      <c r="AD892" s="448"/>
      <c r="AE892" s="464"/>
      <c r="AH892" s="448"/>
      <c r="AI892" s="464"/>
      <c r="AL892" s="448"/>
      <c r="AP892" s="448"/>
    </row>
    <row r="893" spans="1:42" ht="13">
      <c r="A893" s="462"/>
      <c r="B893" s="462"/>
      <c r="N893" s="448"/>
      <c r="O893" s="464"/>
      <c r="R893" s="448"/>
      <c r="S893" s="464"/>
      <c r="V893" s="448"/>
      <c r="W893" s="464"/>
      <c r="Z893" s="448"/>
      <c r="AA893" s="464"/>
      <c r="AD893" s="448"/>
      <c r="AE893" s="464"/>
      <c r="AH893" s="448"/>
      <c r="AI893" s="464"/>
      <c r="AL893" s="448"/>
      <c r="AP893" s="448"/>
    </row>
    <row r="894" spans="1:42" ht="13">
      <c r="A894" s="462"/>
      <c r="B894" s="462"/>
      <c r="N894" s="448"/>
      <c r="O894" s="464"/>
      <c r="R894" s="448"/>
      <c r="S894" s="464"/>
      <c r="V894" s="448"/>
      <c r="W894" s="464"/>
      <c r="Z894" s="448"/>
      <c r="AA894" s="464"/>
      <c r="AD894" s="448"/>
      <c r="AE894" s="464"/>
      <c r="AH894" s="448"/>
      <c r="AI894" s="464"/>
      <c r="AL894" s="448"/>
      <c r="AP894" s="448"/>
    </row>
    <row r="895" spans="1:42" ht="13">
      <c r="A895" s="462"/>
      <c r="B895" s="462"/>
      <c r="N895" s="448"/>
      <c r="O895" s="464"/>
      <c r="R895" s="448"/>
      <c r="S895" s="464"/>
      <c r="V895" s="448"/>
      <c r="W895" s="464"/>
      <c r="Z895" s="448"/>
      <c r="AA895" s="464"/>
      <c r="AD895" s="448"/>
      <c r="AE895" s="464"/>
      <c r="AH895" s="448"/>
      <c r="AI895" s="464"/>
      <c r="AL895" s="448"/>
      <c r="AP895" s="448"/>
    </row>
    <row r="896" spans="1:42" ht="13">
      <c r="A896" s="462"/>
      <c r="B896" s="462"/>
      <c r="N896" s="448"/>
      <c r="O896" s="464"/>
      <c r="R896" s="448"/>
      <c r="S896" s="464"/>
      <c r="V896" s="448"/>
      <c r="W896" s="464"/>
      <c r="Z896" s="448"/>
      <c r="AA896" s="464"/>
      <c r="AD896" s="448"/>
      <c r="AE896" s="464"/>
      <c r="AH896" s="448"/>
      <c r="AI896" s="464"/>
      <c r="AL896" s="448"/>
      <c r="AP896" s="448"/>
    </row>
    <row r="897" spans="1:42" ht="13">
      <c r="A897" s="462"/>
      <c r="B897" s="462"/>
      <c r="N897" s="448"/>
      <c r="O897" s="464"/>
      <c r="R897" s="448"/>
      <c r="S897" s="464"/>
      <c r="V897" s="448"/>
      <c r="W897" s="464"/>
      <c r="Z897" s="448"/>
      <c r="AA897" s="464"/>
      <c r="AD897" s="448"/>
      <c r="AE897" s="464"/>
      <c r="AH897" s="448"/>
      <c r="AI897" s="464"/>
      <c r="AL897" s="448"/>
      <c r="AP897" s="448"/>
    </row>
    <row r="898" spans="1:42" ht="13">
      <c r="A898" s="462"/>
      <c r="B898" s="462"/>
      <c r="N898" s="448"/>
      <c r="O898" s="464"/>
      <c r="R898" s="448"/>
      <c r="S898" s="464"/>
      <c r="V898" s="448"/>
      <c r="W898" s="464"/>
      <c r="Z898" s="448"/>
      <c r="AA898" s="464"/>
      <c r="AD898" s="448"/>
      <c r="AE898" s="464"/>
      <c r="AH898" s="448"/>
      <c r="AI898" s="464"/>
      <c r="AL898" s="448"/>
      <c r="AP898" s="448"/>
    </row>
    <row r="899" spans="1:42" ht="13">
      <c r="A899" s="462"/>
      <c r="B899" s="462"/>
      <c r="N899" s="448"/>
      <c r="O899" s="464"/>
      <c r="R899" s="448"/>
      <c r="S899" s="464"/>
      <c r="V899" s="448"/>
      <c r="W899" s="464"/>
      <c r="Z899" s="448"/>
      <c r="AA899" s="464"/>
      <c r="AD899" s="448"/>
      <c r="AE899" s="464"/>
      <c r="AH899" s="448"/>
      <c r="AI899" s="464"/>
      <c r="AL899" s="448"/>
      <c r="AP899" s="448"/>
    </row>
    <row r="900" spans="1:42" ht="13">
      <c r="A900" s="462"/>
      <c r="B900" s="462"/>
      <c r="N900" s="448"/>
      <c r="O900" s="464"/>
      <c r="R900" s="448"/>
      <c r="S900" s="464"/>
      <c r="V900" s="448"/>
      <c r="W900" s="464"/>
      <c r="Z900" s="448"/>
      <c r="AA900" s="464"/>
      <c r="AD900" s="448"/>
      <c r="AE900" s="464"/>
      <c r="AH900" s="448"/>
      <c r="AI900" s="464"/>
      <c r="AL900" s="448"/>
      <c r="AP900" s="448"/>
    </row>
    <row r="901" spans="1:42" ht="13">
      <c r="A901" s="462"/>
      <c r="B901" s="462"/>
      <c r="N901" s="448"/>
      <c r="O901" s="464"/>
      <c r="R901" s="448"/>
      <c r="S901" s="464"/>
      <c r="V901" s="448"/>
      <c r="W901" s="464"/>
      <c r="Z901" s="448"/>
      <c r="AA901" s="464"/>
      <c r="AD901" s="448"/>
      <c r="AE901" s="464"/>
      <c r="AH901" s="448"/>
      <c r="AI901" s="464"/>
      <c r="AL901" s="448"/>
      <c r="AP901" s="448"/>
    </row>
    <row r="902" spans="1:42" ht="13">
      <c r="A902" s="462"/>
      <c r="B902" s="462"/>
      <c r="N902" s="448"/>
      <c r="O902" s="464"/>
      <c r="R902" s="448"/>
      <c r="S902" s="464"/>
      <c r="V902" s="448"/>
      <c r="W902" s="464"/>
      <c r="Z902" s="448"/>
      <c r="AA902" s="464"/>
      <c r="AD902" s="448"/>
      <c r="AE902" s="464"/>
      <c r="AH902" s="448"/>
      <c r="AI902" s="464"/>
      <c r="AL902" s="448"/>
      <c r="AP902" s="448"/>
    </row>
    <row r="903" spans="1:42" ht="13">
      <c r="A903" s="462"/>
      <c r="B903" s="462"/>
      <c r="N903" s="448"/>
      <c r="O903" s="464"/>
      <c r="R903" s="448"/>
      <c r="S903" s="464"/>
      <c r="V903" s="448"/>
      <c r="W903" s="464"/>
      <c r="Z903" s="448"/>
      <c r="AA903" s="464"/>
      <c r="AD903" s="448"/>
      <c r="AE903" s="464"/>
      <c r="AH903" s="448"/>
      <c r="AI903" s="464"/>
      <c r="AL903" s="448"/>
      <c r="AP903" s="448"/>
    </row>
    <row r="904" spans="1:42" ht="13">
      <c r="A904" s="462"/>
      <c r="B904" s="462"/>
      <c r="N904" s="448"/>
      <c r="O904" s="464"/>
      <c r="R904" s="448"/>
      <c r="S904" s="464"/>
      <c r="V904" s="448"/>
      <c r="W904" s="464"/>
      <c r="Z904" s="448"/>
      <c r="AA904" s="464"/>
      <c r="AD904" s="448"/>
      <c r="AE904" s="464"/>
      <c r="AH904" s="448"/>
      <c r="AI904" s="464"/>
      <c r="AL904" s="448"/>
      <c r="AP904" s="448"/>
    </row>
    <row r="905" spans="1:42" ht="13">
      <c r="A905" s="462"/>
      <c r="B905" s="462"/>
      <c r="N905" s="448"/>
      <c r="O905" s="464"/>
      <c r="R905" s="448"/>
      <c r="S905" s="464"/>
      <c r="V905" s="448"/>
      <c r="W905" s="464"/>
      <c r="Z905" s="448"/>
      <c r="AA905" s="464"/>
      <c r="AD905" s="448"/>
      <c r="AE905" s="464"/>
      <c r="AH905" s="448"/>
      <c r="AI905" s="464"/>
      <c r="AL905" s="448"/>
      <c r="AP905" s="448"/>
    </row>
    <row r="906" spans="1:42" ht="13">
      <c r="A906" s="462"/>
      <c r="B906" s="462"/>
      <c r="N906" s="448"/>
      <c r="O906" s="464"/>
      <c r="R906" s="448"/>
      <c r="S906" s="464"/>
      <c r="V906" s="448"/>
      <c r="W906" s="464"/>
      <c r="Z906" s="448"/>
      <c r="AA906" s="464"/>
      <c r="AD906" s="448"/>
      <c r="AE906" s="464"/>
      <c r="AH906" s="448"/>
      <c r="AI906" s="464"/>
      <c r="AL906" s="448"/>
      <c r="AP906" s="448"/>
    </row>
    <row r="907" spans="1:42" ht="13">
      <c r="A907" s="462"/>
      <c r="B907" s="462"/>
      <c r="N907" s="448"/>
      <c r="O907" s="464"/>
      <c r="R907" s="448"/>
      <c r="S907" s="464"/>
      <c r="V907" s="448"/>
      <c r="W907" s="464"/>
      <c r="Z907" s="448"/>
      <c r="AA907" s="464"/>
      <c r="AD907" s="448"/>
      <c r="AE907" s="464"/>
      <c r="AH907" s="448"/>
      <c r="AI907" s="464"/>
      <c r="AL907" s="448"/>
      <c r="AP907" s="448"/>
    </row>
    <row r="908" spans="1:42" ht="13">
      <c r="A908" s="462"/>
      <c r="B908" s="462"/>
      <c r="N908" s="448"/>
      <c r="O908" s="464"/>
      <c r="R908" s="448"/>
      <c r="S908" s="464"/>
      <c r="V908" s="448"/>
      <c r="W908" s="464"/>
      <c r="Z908" s="448"/>
      <c r="AA908" s="464"/>
      <c r="AD908" s="448"/>
      <c r="AE908" s="464"/>
      <c r="AH908" s="448"/>
      <c r="AI908" s="464"/>
      <c r="AL908" s="448"/>
      <c r="AP908" s="448"/>
    </row>
    <row r="909" spans="1:42" ht="13">
      <c r="A909" s="462"/>
      <c r="B909" s="462"/>
      <c r="N909" s="448"/>
      <c r="O909" s="464"/>
      <c r="R909" s="448"/>
      <c r="S909" s="464"/>
      <c r="V909" s="448"/>
      <c r="W909" s="464"/>
      <c r="Z909" s="448"/>
      <c r="AA909" s="464"/>
      <c r="AD909" s="448"/>
      <c r="AE909" s="464"/>
      <c r="AH909" s="448"/>
      <c r="AI909" s="464"/>
      <c r="AL909" s="448"/>
      <c r="AP909" s="448"/>
    </row>
    <row r="910" spans="1:42" ht="13">
      <c r="A910" s="462"/>
      <c r="B910" s="462"/>
      <c r="N910" s="448"/>
      <c r="O910" s="464"/>
      <c r="R910" s="448"/>
      <c r="S910" s="464"/>
      <c r="V910" s="448"/>
      <c r="W910" s="464"/>
      <c r="Z910" s="448"/>
      <c r="AA910" s="464"/>
      <c r="AD910" s="448"/>
      <c r="AE910" s="464"/>
      <c r="AH910" s="448"/>
      <c r="AI910" s="464"/>
      <c r="AL910" s="448"/>
      <c r="AP910" s="448"/>
    </row>
    <row r="911" spans="1:42" ht="13">
      <c r="A911" s="462"/>
      <c r="B911" s="462"/>
      <c r="N911" s="448"/>
      <c r="O911" s="464"/>
      <c r="R911" s="448"/>
      <c r="S911" s="464"/>
      <c r="V911" s="448"/>
      <c r="W911" s="464"/>
      <c r="Z911" s="448"/>
      <c r="AA911" s="464"/>
      <c r="AD911" s="448"/>
      <c r="AE911" s="464"/>
      <c r="AH911" s="448"/>
      <c r="AI911" s="464"/>
      <c r="AL911" s="448"/>
      <c r="AP911" s="448"/>
    </row>
    <row r="912" spans="1:42" ht="13">
      <c r="A912" s="462"/>
      <c r="B912" s="462"/>
      <c r="N912" s="448"/>
      <c r="O912" s="464"/>
      <c r="R912" s="448"/>
      <c r="S912" s="464"/>
      <c r="V912" s="448"/>
      <c r="W912" s="464"/>
      <c r="Z912" s="448"/>
      <c r="AA912" s="464"/>
      <c r="AD912" s="448"/>
      <c r="AE912" s="464"/>
      <c r="AH912" s="448"/>
      <c r="AI912" s="464"/>
      <c r="AL912" s="448"/>
      <c r="AP912" s="448"/>
    </row>
    <row r="913" spans="1:42" ht="13">
      <c r="A913" s="462"/>
      <c r="B913" s="462"/>
      <c r="N913" s="448"/>
      <c r="O913" s="464"/>
      <c r="R913" s="448"/>
      <c r="S913" s="464"/>
      <c r="V913" s="448"/>
      <c r="W913" s="464"/>
      <c r="Z913" s="448"/>
      <c r="AA913" s="464"/>
      <c r="AD913" s="448"/>
      <c r="AE913" s="464"/>
      <c r="AH913" s="448"/>
      <c r="AI913" s="464"/>
      <c r="AL913" s="448"/>
      <c r="AP913" s="448"/>
    </row>
    <row r="914" spans="1:42" ht="13">
      <c r="A914" s="462"/>
      <c r="B914" s="462"/>
      <c r="N914" s="448"/>
      <c r="O914" s="464"/>
      <c r="R914" s="448"/>
      <c r="S914" s="464"/>
      <c r="V914" s="448"/>
      <c r="W914" s="464"/>
      <c r="Z914" s="448"/>
      <c r="AA914" s="464"/>
      <c r="AD914" s="448"/>
      <c r="AE914" s="464"/>
      <c r="AH914" s="448"/>
      <c r="AI914" s="464"/>
      <c r="AL914" s="448"/>
      <c r="AP914" s="448"/>
    </row>
    <row r="915" spans="1:42" ht="13">
      <c r="A915" s="462"/>
      <c r="B915" s="462"/>
      <c r="N915" s="448"/>
      <c r="O915" s="464"/>
      <c r="R915" s="448"/>
      <c r="S915" s="464"/>
      <c r="V915" s="448"/>
      <c r="W915" s="464"/>
      <c r="Z915" s="448"/>
      <c r="AA915" s="464"/>
      <c r="AD915" s="448"/>
      <c r="AE915" s="464"/>
      <c r="AH915" s="448"/>
      <c r="AI915" s="464"/>
      <c r="AL915" s="448"/>
      <c r="AP915" s="448"/>
    </row>
    <row r="916" spans="1:42" ht="13">
      <c r="A916" s="462"/>
      <c r="B916" s="462"/>
      <c r="N916" s="448"/>
      <c r="O916" s="464"/>
      <c r="R916" s="448"/>
      <c r="S916" s="464"/>
      <c r="V916" s="448"/>
      <c r="W916" s="464"/>
      <c r="Z916" s="448"/>
      <c r="AA916" s="464"/>
      <c r="AD916" s="448"/>
      <c r="AE916" s="464"/>
      <c r="AH916" s="448"/>
      <c r="AI916" s="464"/>
      <c r="AL916" s="448"/>
      <c r="AP916" s="448"/>
    </row>
    <row r="917" spans="1:42" ht="13">
      <c r="A917" s="462"/>
      <c r="B917" s="462"/>
      <c r="N917" s="448"/>
      <c r="O917" s="464"/>
      <c r="R917" s="448"/>
      <c r="S917" s="464"/>
      <c r="V917" s="448"/>
      <c r="W917" s="464"/>
      <c r="Z917" s="448"/>
      <c r="AA917" s="464"/>
      <c r="AD917" s="448"/>
      <c r="AE917" s="464"/>
      <c r="AH917" s="448"/>
      <c r="AI917" s="464"/>
      <c r="AL917" s="448"/>
      <c r="AP917" s="448"/>
    </row>
    <row r="918" spans="1:42" ht="13">
      <c r="A918" s="462"/>
      <c r="B918" s="462"/>
      <c r="N918" s="448"/>
      <c r="O918" s="464"/>
      <c r="R918" s="448"/>
      <c r="S918" s="464"/>
      <c r="V918" s="448"/>
      <c r="W918" s="464"/>
      <c r="Z918" s="448"/>
      <c r="AA918" s="464"/>
      <c r="AD918" s="448"/>
      <c r="AE918" s="464"/>
      <c r="AH918" s="448"/>
      <c r="AI918" s="464"/>
      <c r="AL918" s="448"/>
      <c r="AP918" s="448"/>
    </row>
    <row r="919" spans="1:42" ht="13">
      <c r="A919" s="462"/>
      <c r="B919" s="462"/>
      <c r="N919" s="448"/>
      <c r="O919" s="464"/>
      <c r="R919" s="448"/>
      <c r="S919" s="464"/>
      <c r="V919" s="448"/>
      <c r="W919" s="464"/>
      <c r="Z919" s="448"/>
      <c r="AA919" s="464"/>
      <c r="AD919" s="448"/>
      <c r="AE919" s="464"/>
      <c r="AH919" s="448"/>
      <c r="AI919" s="464"/>
      <c r="AL919" s="448"/>
      <c r="AP919" s="448"/>
    </row>
    <row r="920" spans="1:42" ht="13">
      <c r="A920" s="462"/>
      <c r="B920" s="462"/>
      <c r="N920" s="448"/>
      <c r="O920" s="464"/>
      <c r="R920" s="448"/>
      <c r="S920" s="464"/>
      <c r="V920" s="448"/>
      <c r="W920" s="464"/>
      <c r="Z920" s="448"/>
      <c r="AA920" s="464"/>
      <c r="AD920" s="448"/>
      <c r="AE920" s="464"/>
      <c r="AH920" s="448"/>
      <c r="AI920" s="464"/>
      <c r="AL920" s="448"/>
      <c r="AP920" s="448"/>
    </row>
    <row r="921" spans="1:42" ht="13">
      <c r="A921" s="462"/>
      <c r="B921" s="462"/>
      <c r="N921" s="448"/>
      <c r="O921" s="464"/>
      <c r="R921" s="448"/>
      <c r="S921" s="464"/>
      <c r="V921" s="448"/>
      <c r="W921" s="464"/>
      <c r="Z921" s="448"/>
      <c r="AA921" s="464"/>
      <c r="AD921" s="448"/>
      <c r="AE921" s="464"/>
      <c r="AH921" s="448"/>
      <c r="AI921" s="464"/>
      <c r="AL921" s="448"/>
      <c r="AP921" s="448"/>
    </row>
    <row r="922" spans="1:42" ht="13">
      <c r="A922" s="462"/>
      <c r="B922" s="462"/>
      <c r="N922" s="448"/>
      <c r="O922" s="464"/>
      <c r="R922" s="448"/>
      <c r="S922" s="464"/>
      <c r="V922" s="448"/>
      <c r="W922" s="464"/>
      <c r="Z922" s="448"/>
      <c r="AA922" s="464"/>
      <c r="AD922" s="448"/>
      <c r="AE922" s="464"/>
      <c r="AH922" s="448"/>
      <c r="AI922" s="464"/>
      <c r="AL922" s="448"/>
      <c r="AP922" s="448"/>
    </row>
    <row r="923" spans="1:42" ht="13">
      <c r="A923" s="462"/>
      <c r="B923" s="462"/>
      <c r="N923" s="448"/>
      <c r="O923" s="464"/>
      <c r="R923" s="448"/>
      <c r="S923" s="464"/>
      <c r="V923" s="448"/>
      <c r="W923" s="464"/>
      <c r="Z923" s="448"/>
      <c r="AA923" s="464"/>
      <c r="AD923" s="448"/>
      <c r="AE923" s="464"/>
      <c r="AH923" s="448"/>
      <c r="AI923" s="464"/>
      <c r="AL923" s="448"/>
      <c r="AP923" s="448"/>
    </row>
    <row r="924" spans="1:42" ht="13">
      <c r="A924" s="462"/>
      <c r="B924" s="462"/>
      <c r="N924" s="448"/>
      <c r="O924" s="464"/>
      <c r="R924" s="448"/>
      <c r="S924" s="464"/>
      <c r="V924" s="448"/>
      <c r="W924" s="464"/>
      <c r="Z924" s="448"/>
      <c r="AA924" s="464"/>
      <c r="AD924" s="448"/>
      <c r="AE924" s="464"/>
      <c r="AH924" s="448"/>
      <c r="AI924" s="464"/>
      <c r="AL924" s="448"/>
      <c r="AP924" s="448"/>
    </row>
    <row r="925" spans="1:42" ht="13">
      <c r="A925" s="462"/>
      <c r="B925" s="462"/>
      <c r="N925" s="448"/>
      <c r="O925" s="464"/>
      <c r="R925" s="448"/>
      <c r="S925" s="464"/>
      <c r="V925" s="448"/>
      <c r="W925" s="464"/>
      <c r="Z925" s="448"/>
      <c r="AA925" s="464"/>
      <c r="AD925" s="448"/>
      <c r="AE925" s="464"/>
      <c r="AH925" s="448"/>
      <c r="AI925" s="464"/>
      <c r="AL925" s="448"/>
      <c r="AP925" s="448"/>
    </row>
    <row r="926" spans="1:42" ht="13">
      <c r="A926" s="462"/>
      <c r="B926" s="462"/>
      <c r="N926" s="448"/>
      <c r="O926" s="464"/>
      <c r="R926" s="448"/>
      <c r="S926" s="464"/>
      <c r="V926" s="448"/>
      <c r="W926" s="464"/>
      <c r="Z926" s="448"/>
      <c r="AA926" s="464"/>
      <c r="AD926" s="448"/>
      <c r="AE926" s="464"/>
      <c r="AH926" s="448"/>
      <c r="AI926" s="464"/>
      <c r="AL926" s="448"/>
      <c r="AP926" s="448"/>
    </row>
    <row r="927" spans="1:42" ht="13">
      <c r="A927" s="462"/>
      <c r="B927" s="462"/>
      <c r="N927" s="448"/>
      <c r="O927" s="464"/>
      <c r="R927" s="448"/>
      <c r="S927" s="464"/>
      <c r="V927" s="448"/>
      <c r="W927" s="464"/>
      <c r="Z927" s="448"/>
      <c r="AA927" s="464"/>
      <c r="AD927" s="448"/>
      <c r="AE927" s="464"/>
      <c r="AH927" s="448"/>
      <c r="AI927" s="464"/>
      <c r="AL927" s="448"/>
      <c r="AP927" s="448"/>
    </row>
    <row r="928" spans="1:42" ht="13">
      <c r="A928" s="462"/>
      <c r="B928" s="462"/>
      <c r="N928" s="448"/>
      <c r="O928" s="464"/>
      <c r="R928" s="448"/>
      <c r="S928" s="464"/>
      <c r="V928" s="448"/>
      <c r="W928" s="464"/>
      <c r="Z928" s="448"/>
      <c r="AA928" s="464"/>
      <c r="AD928" s="448"/>
      <c r="AE928" s="464"/>
      <c r="AH928" s="448"/>
      <c r="AI928" s="464"/>
      <c r="AL928" s="448"/>
      <c r="AP928" s="448"/>
    </row>
    <row r="929" spans="1:42" ht="13">
      <c r="A929" s="462"/>
      <c r="B929" s="462"/>
      <c r="N929" s="448"/>
      <c r="O929" s="464"/>
      <c r="R929" s="448"/>
      <c r="S929" s="464"/>
      <c r="V929" s="448"/>
      <c r="W929" s="464"/>
      <c r="Z929" s="448"/>
      <c r="AA929" s="464"/>
      <c r="AD929" s="448"/>
      <c r="AE929" s="464"/>
      <c r="AH929" s="448"/>
      <c r="AI929" s="464"/>
      <c r="AL929" s="448"/>
      <c r="AP929" s="448"/>
    </row>
    <row r="930" spans="1:42" ht="13">
      <c r="A930" s="462"/>
      <c r="B930" s="462"/>
      <c r="N930" s="448"/>
      <c r="O930" s="464"/>
      <c r="R930" s="448"/>
      <c r="S930" s="464"/>
      <c r="V930" s="448"/>
      <c r="W930" s="464"/>
      <c r="Z930" s="448"/>
      <c r="AA930" s="464"/>
      <c r="AD930" s="448"/>
      <c r="AE930" s="464"/>
      <c r="AH930" s="448"/>
      <c r="AI930" s="464"/>
      <c r="AL930" s="448"/>
      <c r="AP930" s="448"/>
    </row>
    <row r="931" spans="1:42" ht="13">
      <c r="A931" s="462"/>
      <c r="B931" s="462"/>
      <c r="N931" s="448"/>
      <c r="O931" s="464"/>
      <c r="R931" s="448"/>
      <c r="S931" s="464"/>
      <c r="V931" s="448"/>
      <c r="W931" s="464"/>
      <c r="Z931" s="448"/>
      <c r="AA931" s="464"/>
      <c r="AD931" s="448"/>
      <c r="AE931" s="464"/>
      <c r="AH931" s="448"/>
      <c r="AI931" s="464"/>
      <c r="AL931" s="448"/>
      <c r="AP931" s="448"/>
    </row>
    <row r="932" spans="1:42" ht="13">
      <c r="A932" s="462"/>
      <c r="B932" s="462"/>
      <c r="N932" s="448"/>
      <c r="O932" s="464"/>
      <c r="R932" s="448"/>
      <c r="S932" s="464"/>
      <c r="V932" s="448"/>
      <c r="W932" s="464"/>
      <c r="Z932" s="448"/>
      <c r="AA932" s="464"/>
      <c r="AD932" s="448"/>
      <c r="AE932" s="464"/>
      <c r="AH932" s="448"/>
      <c r="AI932" s="464"/>
      <c r="AL932" s="448"/>
      <c r="AP932" s="448"/>
    </row>
    <row r="933" spans="1:42" ht="13">
      <c r="A933" s="462"/>
      <c r="B933" s="462"/>
      <c r="N933" s="448"/>
      <c r="O933" s="464"/>
      <c r="R933" s="448"/>
      <c r="S933" s="464"/>
      <c r="V933" s="448"/>
      <c r="W933" s="464"/>
      <c r="Z933" s="448"/>
      <c r="AA933" s="464"/>
      <c r="AD933" s="448"/>
      <c r="AE933" s="464"/>
      <c r="AH933" s="448"/>
      <c r="AI933" s="464"/>
      <c r="AL933" s="448"/>
      <c r="AP933" s="448"/>
    </row>
    <row r="934" spans="1:42" ht="13">
      <c r="A934" s="462"/>
      <c r="B934" s="462"/>
      <c r="N934" s="448"/>
      <c r="O934" s="464"/>
      <c r="R934" s="448"/>
      <c r="S934" s="464"/>
      <c r="V934" s="448"/>
      <c r="W934" s="464"/>
      <c r="Z934" s="448"/>
      <c r="AA934" s="464"/>
      <c r="AD934" s="448"/>
      <c r="AE934" s="464"/>
      <c r="AH934" s="448"/>
      <c r="AI934" s="464"/>
      <c r="AL934" s="448"/>
      <c r="AP934" s="448"/>
    </row>
    <row r="935" spans="1:42" ht="13">
      <c r="A935" s="462"/>
      <c r="B935" s="462"/>
      <c r="N935" s="448"/>
      <c r="O935" s="464"/>
      <c r="R935" s="448"/>
      <c r="S935" s="464"/>
      <c r="V935" s="448"/>
      <c r="W935" s="464"/>
      <c r="Z935" s="448"/>
      <c r="AA935" s="464"/>
      <c r="AD935" s="448"/>
      <c r="AE935" s="464"/>
      <c r="AH935" s="448"/>
      <c r="AI935" s="464"/>
      <c r="AL935" s="448"/>
      <c r="AP935" s="448"/>
    </row>
    <row r="936" spans="1:42" ht="13">
      <c r="A936" s="462"/>
      <c r="B936" s="462"/>
      <c r="N936" s="448"/>
      <c r="O936" s="464"/>
      <c r="R936" s="448"/>
      <c r="S936" s="464"/>
      <c r="V936" s="448"/>
      <c r="W936" s="464"/>
      <c r="Z936" s="448"/>
      <c r="AA936" s="464"/>
      <c r="AD936" s="448"/>
      <c r="AE936" s="464"/>
      <c r="AH936" s="448"/>
      <c r="AI936" s="464"/>
      <c r="AL936" s="448"/>
      <c r="AP936" s="448"/>
    </row>
    <row r="937" spans="1:42" ht="13">
      <c r="A937" s="462"/>
      <c r="B937" s="462"/>
      <c r="N937" s="448"/>
      <c r="O937" s="464"/>
      <c r="R937" s="448"/>
      <c r="S937" s="464"/>
      <c r="V937" s="448"/>
      <c r="W937" s="464"/>
      <c r="Z937" s="448"/>
      <c r="AA937" s="464"/>
      <c r="AD937" s="448"/>
      <c r="AE937" s="464"/>
      <c r="AH937" s="448"/>
      <c r="AI937" s="464"/>
      <c r="AL937" s="448"/>
      <c r="AP937" s="448"/>
    </row>
    <row r="938" spans="1:42" ht="13">
      <c r="A938" s="462"/>
      <c r="B938" s="462"/>
      <c r="N938" s="448"/>
      <c r="O938" s="464"/>
      <c r="R938" s="448"/>
      <c r="S938" s="464"/>
      <c r="V938" s="448"/>
      <c r="W938" s="464"/>
      <c r="Z938" s="448"/>
      <c r="AA938" s="464"/>
      <c r="AD938" s="448"/>
      <c r="AE938" s="464"/>
      <c r="AH938" s="448"/>
      <c r="AI938" s="464"/>
      <c r="AL938" s="448"/>
      <c r="AP938" s="448"/>
    </row>
    <row r="939" spans="1:42" ht="13">
      <c r="A939" s="462"/>
      <c r="B939" s="462"/>
      <c r="N939" s="448"/>
      <c r="O939" s="464"/>
      <c r="R939" s="448"/>
      <c r="S939" s="464"/>
      <c r="V939" s="448"/>
      <c r="W939" s="464"/>
      <c r="Z939" s="448"/>
      <c r="AA939" s="464"/>
      <c r="AD939" s="448"/>
      <c r="AE939" s="464"/>
      <c r="AH939" s="448"/>
      <c r="AI939" s="464"/>
      <c r="AL939" s="448"/>
      <c r="AP939" s="448"/>
    </row>
    <row r="940" spans="1:42" ht="13">
      <c r="A940" s="462"/>
      <c r="B940" s="462"/>
      <c r="N940" s="448"/>
      <c r="O940" s="464"/>
      <c r="R940" s="448"/>
      <c r="S940" s="464"/>
      <c r="V940" s="448"/>
      <c r="W940" s="464"/>
      <c r="Z940" s="448"/>
      <c r="AA940" s="464"/>
      <c r="AD940" s="448"/>
      <c r="AE940" s="464"/>
      <c r="AH940" s="448"/>
      <c r="AI940" s="464"/>
      <c r="AL940" s="448"/>
      <c r="AP940" s="448"/>
    </row>
    <row r="941" spans="1:42" ht="13">
      <c r="A941" s="462"/>
      <c r="B941" s="462"/>
      <c r="N941" s="448"/>
      <c r="O941" s="464"/>
      <c r="R941" s="448"/>
      <c r="S941" s="464"/>
      <c r="V941" s="448"/>
      <c r="W941" s="464"/>
      <c r="Z941" s="448"/>
      <c r="AA941" s="464"/>
      <c r="AD941" s="448"/>
      <c r="AE941" s="464"/>
      <c r="AH941" s="448"/>
      <c r="AI941" s="464"/>
      <c r="AL941" s="448"/>
      <c r="AP941" s="448"/>
    </row>
    <row r="942" spans="1:42" ht="13">
      <c r="A942" s="462"/>
      <c r="B942" s="462"/>
      <c r="N942" s="448"/>
      <c r="O942" s="464"/>
      <c r="R942" s="448"/>
      <c r="S942" s="464"/>
      <c r="V942" s="448"/>
      <c r="W942" s="464"/>
      <c r="Z942" s="448"/>
      <c r="AA942" s="464"/>
      <c r="AD942" s="448"/>
      <c r="AE942" s="464"/>
      <c r="AH942" s="448"/>
      <c r="AI942" s="464"/>
      <c r="AL942" s="448"/>
      <c r="AP942" s="448"/>
    </row>
    <row r="943" spans="1:42" ht="13">
      <c r="A943" s="462"/>
      <c r="B943" s="462"/>
      <c r="N943" s="448"/>
      <c r="O943" s="464"/>
      <c r="R943" s="448"/>
      <c r="S943" s="464"/>
      <c r="V943" s="448"/>
      <c r="W943" s="464"/>
      <c r="Z943" s="448"/>
      <c r="AA943" s="464"/>
      <c r="AD943" s="448"/>
      <c r="AE943" s="464"/>
      <c r="AH943" s="448"/>
      <c r="AI943" s="464"/>
      <c r="AL943" s="448"/>
      <c r="AP943" s="448"/>
    </row>
    <row r="944" spans="1:42" ht="13">
      <c r="A944" s="462"/>
      <c r="B944" s="462"/>
      <c r="N944" s="448"/>
      <c r="O944" s="464"/>
      <c r="R944" s="448"/>
      <c r="S944" s="464"/>
      <c r="V944" s="448"/>
      <c r="W944" s="464"/>
      <c r="Z944" s="448"/>
      <c r="AA944" s="464"/>
      <c r="AD944" s="448"/>
      <c r="AE944" s="464"/>
      <c r="AH944" s="448"/>
      <c r="AI944" s="464"/>
      <c r="AL944" s="448"/>
      <c r="AP944" s="448"/>
    </row>
    <row r="945" spans="1:42" ht="13">
      <c r="A945" s="462"/>
      <c r="B945" s="462"/>
      <c r="N945" s="448"/>
      <c r="O945" s="464"/>
      <c r="R945" s="448"/>
      <c r="S945" s="464"/>
      <c r="V945" s="448"/>
      <c r="W945" s="464"/>
      <c r="Z945" s="448"/>
      <c r="AA945" s="464"/>
      <c r="AD945" s="448"/>
      <c r="AE945" s="464"/>
      <c r="AH945" s="448"/>
      <c r="AI945" s="464"/>
      <c r="AL945" s="448"/>
      <c r="AP945" s="448"/>
    </row>
    <row r="946" spans="1:42" ht="13">
      <c r="A946" s="462"/>
      <c r="B946" s="462"/>
      <c r="N946" s="448"/>
      <c r="O946" s="464"/>
      <c r="R946" s="448"/>
      <c r="S946" s="464"/>
      <c r="V946" s="448"/>
      <c r="W946" s="464"/>
      <c r="Z946" s="448"/>
      <c r="AA946" s="464"/>
      <c r="AD946" s="448"/>
      <c r="AE946" s="464"/>
      <c r="AH946" s="448"/>
      <c r="AI946" s="464"/>
      <c r="AL946" s="448"/>
      <c r="AP946" s="448"/>
    </row>
    <row r="947" spans="1:42" ht="13">
      <c r="A947" s="462"/>
      <c r="B947" s="462"/>
      <c r="N947" s="448"/>
      <c r="O947" s="464"/>
      <c r="R947" s="448"/>
      <c r="S947" s="464"/>
      <c r="V947" s="448"/>
      <c r="W947" s="464"/>
      <c r="Z947" s="448"/>
      <c r="AA947" s="464"/>
      <c r="AD947" s="448"/>
      <c r="AE947" s="464"/>
      <c r="AH947" s="448"/>
      <c r="AI947" s="464"/>
      <c r="AL947" s="448"/>
      <c r="AP947" s="448"/>
    </row>
    <row r="948" spans="1:42" ht="13">
      <c r="A948" s="462"/>
      <c r="B948" s="462"/>
      <c r="N948" s="448"/>
      <c r="O948" s="464"/>
      <c r="R948" s="448"/>
      <c r="S948" s="464"/>
      <c r="V948" s="448"/>
      <c r="W948" s="464"/>
      <c r="Z948" s="448"/>
      <c r="AA948" s="464"/>
      <c r="AD948" s="448"/>
      <c r="AE948" s="464"/>
      <c r="AH948" s="448"/>
      <c r="AI948" s="464"/>
      <c r="AL948" s="448"/>
      <c r="AP948" s="448"/>
    </row>
    <row r="949" spans="1:42" ht="13">
      <c r="A949" s="462"/>
      <c r="B949" s="462"/>
      <c r="N949" s="448"/>
      <c r="O949" s="464"/>
      <c r="R949" s="448"/>
      <c r="S949" s="464"/>
      <c r="V949" s="448"/>
      <c r="W949" s="464"/>
      <c r="Z949" s="448"/>
      <c r="AA949" s="464"/>
      <c r="AD949" s="448"/>
      <c r="AE949" s="464"/>
      <c r="AH949" s="448"/>
      <c r="AI949" s="464"/>
      <c r="AL949" s="448"/>
      <c r="AP949" s="448"/>
    </row>
    <row r="950" spans="1:42" ht="13">
      <c r="A950" s="462"/>
      <c r="B950" s="462"/>
      <c r="N950" s="448"/>
      <c r="O950" s="464"/>
      <c r="R950" s="448"/>
      <c r="S950" s="464"/>
      <c r="V950" s="448"/>
      <c r="W950" s="464"/>
      <c r="Z950" s="448"/>
      <c r="AA950" s="464"/>
      <c r="AD950" s="448"/>
      <c r="AE950" s="464"/>
      <c r="AH950" s="448"/>
      <c r="AI950" s="464"/>
      <c r="AL950" s="448"/>
      <c r="AP950" s="448"/>
    </row>
    <row r="951" spans="1:42" ht="13">
      <c r="A951" s="462"/>
      <c r="B951" s="462"/>
      <c r="N951" s="448"/>
      <c r="O951" s="464"/>
      <c r="R951" s="448"/>
      <c r="S951" s="464"/>
      <c r="V951" s="448"/>
      <c r="W951" s="464"/>
      <c r="Z951" s="448"/>
      <c r="AA951" s="464"/>
      <c r="AD951" s="448"/>
      <c r="AE951" s="464"/>
      <c r="AH951" s="448"/>
      <c r="AI951" s="464"/>
      <c r="AL951" s="448"/>
      <c r="AP951" s="448"/>
    </row>
    <row r="952" spans="1:42" ht="13">
      <c r="A952" s="462"/>
      <c r="B952" s="462"/>
      <c r="N952" s="448"/>
      <c r="O952" s="464"/>
      <c r="R952" s="448"/>
      <c r="S952" s="464"/>
      <c r="V952" s="448"/>
      <c r="W952" s="464"/>
      <c r="Z952" s="448"/>
      <c r="AA952" s="464"/>
      <c r="AD952" s="448"/>
      <c r="AE952" s="464"/>
      <c r="AH952" s="448"/>
      <c r="AI952" s="464"/>
      <c r="AL952" s="448"/>
      <c r="AP952" s="448"/>
    </row>
    <row r="953" spans="1:42" ht="13">
      <c r="A953" s="462"/>
      <c r="B953" s="462"/>
      <c r="N953" s="448"/>
      <c r="O953" s="464"/>
      <c r="R953" s="448"/>
      <c r="S953" s="464"/>
      <c r="V953" s="448"/>
      <c r="W953" s="464"/>
      <c r="Z953" s="448"/>
      <c r="AA953" s="464"/>
      <c r="AD953" s="448"/>
      <c r="AE953" s="464"/>
      <c r="AH953" s="448"/>
      <c r="AI953" s="464"/>
      <c r="AL953" s="448"/>
      <c r="AP953" s="448"/>
    </row>
    <row r="954" spans="1:42" ht="13">
      <c r="A954" s="462"/>
      <c r="B954" s="462"/>
      <c r="N954" s="448"/>
      <c r="O954" s="464"/>
      <c r="R954" s="448"/>
      <c r="S954" s="464"/>
      <c r="V954" s="448"/>
      <c r="W954" s="464"/>
      <c r="Z954" s="448"/>
      <c r="AA954" s="464"/>
      <c r="AD954" s="448"/>
      <c r="AE954" s="464"/>
      <c r="AH954" s="448"/>
      <c r="AI954" s="464"/>
      <c r="AL954" s="448"/>
      <c r="AP954" s="448"/>
    </row>
    <row r="955" spans="1:42" ht="13">
      <c r="A955" s="462"/>
      <c r="B955" s="462"/>
      <c r="N955" s="448"/>
      <c r="O955" s="464"/>
      <c r="R955" s="448"/>
      <c r="S955" s="464"/>
      <c r="V955" s="448"/>
      <c r="W955" s="464"/>
      <c r="Z955" s="448"/>
      <c r="AA955" s="464"/>
      <c r="AD955" s="448"/>
      <c r="AE955" s="464"/>
      <c r="AH955" s="448"/>
      <c r="AI955" s="464"/>
      <c r="AL955" s="448"/>
      <c r="AP955" s="448"/>
    </row>
    <row r="956" spans="1:42" ht="13">
      <c r="A956" s="462"/>
      <c r="B956" s="462"/>
      <c r="N956" s="448"/>
      <c r="O956" s="464"/>
      <c r="R956" s="448"/>
      <c r="S956" s="464"/>
      <c r="V956" s="448"/>
      <c r="W956" s="464"/>
      <c r="Z956" s="448"/>
      <c r="AA956" s="464"/>
      <c r="AD956" s="448"/>
      <c r="AE956" s="464"/>
      <c r="AH956" s="448"/>
      <c r="AI956" s="464"/>
      <c r="AL956" s="448"/>
      <c r="AP956" s="448"/>
    </row>
    <row r="957" spans="1:42" ht="13">
      <c r="A957" s="462"/>
      <c r="B957" s="462"/>
      <c r="N957" s="448"/>
      <c r="O957" s="464"/>
      <c r="R957" s="448"/>
      <c r="S957" s="464"/>
      <c r="V957" s="448"/>
      <c r="W957" s="464"/>
      <c r="Z957" s="448"/>
      <c r="AA957" s="464"/>
      <c r="AD957" s="448"/>
      <c r="AE957" s="464"/>
      <c r="AH957" s="448"/>
      <c r="AI957" s="464"/>
      <c r="AL957" s="448"/>
      <c r="AP957" s="448"/>
    </row>
    <row r="958" spans="1:42" ht="13">
      <c r="A958" s="462"/>
      <c r="B958" s="462"/>
      <c r="N958" s="448"/>
      <c r="O958" s="464"/>
      <c r="R958" s="448"/>
      <c r="S958" s="464"/>
      <c r="V958" s="448"/>
      <c r="W958" s="464"/>
      <c r="Z958" s="448"/>
      <c r="AA958" s="464"/>
      <c r="AD958" s="448"/>
      <c r="AE958" s="464"/>
      <c r="AH958" s="448"/>
      <c r="AI958" s="464"/>
      <c r="AL958" s="448"/>
      <c r="AP958" s="448"/>
    </row>
    <row r="959" spans="1:42" ht="13">
      <c r="A959" s="462"/>
      <c r="B959" s="462"/>
      <c r="N959" s="448"/>
      <c r="O959" s="464"/>
      <c r="R959" s="448"/>
      <c r="S959" s="464"/>
      <c r="V959" s="448"/>
      <c r="W959" s="464"/>
      <c r="Z959" s="448"/>
      <c r="AA959" s="464"/>
      <c r="AD959" s="448"/>
      <c r="AE959" s="464"/>
      <c r="AH959" s="448"/>
      <c r="AI959" s="464"/>
      <c r="AL959" s="448"/>
      <c r="AP959" s="448"/>
    </row>
    <row r="960" spans="1:42" ht="13">
      <c r="A960" s="462"/>
      <c r="B960" s="462"/>
      <c r="N960" s="448"/>
      <c r="O960" s="464"/>
      <c r="R960" s="448"/>
      <c r="S960" s="464"/>
      <c r="V960" s="448"/>
      <c r="W960" s="464"/>
      <c r="Z960" s="448"/>
      <c r="AA960" s="464"/>
      <c r="AD960" s="448"/>
      <c r="AE960" s="464"/>
      <c r="AH960" s="448"/>
      <c r="AI960" s="464"/>
      <c r="AL960" s="448"/>
      <c r="AP960" s="448"/>
    </row>
    <row r="961" spans="1:42" ht="13">
      <c r="A961" s="462"/>
      <c r="B961" s="462"/>
      <c r="N961" s="448"/>
      <c r="O961" s="464"/>
      <c r="R961" s="448"/>
      <c r="S961" s="464"/>
      <c r="V961" s="448"/>
      <c r="W961" s="464"/>
      <c r="Z961" s="448"/>
      <c r="AA961" s="464"/>
      <c r="AD961" s="448"/>
      <c r="AE961" s="464"/>
      <c r="AH961" s="448"/>
      <c r="AI961" s="464"/>
      <c r="AL961" s="448"/>
      <c r="AP961" s="448"/>
    </row>
    <row r="962" spans="1:42" ht="13">
      <c r="A962" s="462"/>
      <c r="B962" s="462"/>
      <c r="N962" s="448"/>
      <c r="O962" s="464"/>
      <c r="R962" s="448"/>
      <c r="S962" s="464"/>
      <c r="V962" s="448"/>
      <c r="W962" s="464"/>
      <c r="Z962" s="448"/>
      <c r="AA962" s="464"/>
      <c r="AD962" s="448"/>
      <c r="AE962" s="464"/>
      <c r="AH962" s="448"/>
      <c r="AI962" s="464"/>
      <c r="AL962" s="448"/>
      <c r="AP962" s="448"/>
    </row>
    <row r="963" spans="1:42" ht="13">
      <c r="A963" s="462"/>
      <c r="B963" s="462"/>
      <c r="N963" s="448"/>
      <c r="O963" s="464"/>
      <c r="R963" s="448"/>
      <c r="S963" s="464"/>
      <c r="V963" s="448"/>
      <c r="W963" s="464"/>
      <c r="Z963" s="448"/>
      <c r="AA963" s="464"/>
      <c r="AD963" s="448"/>
      <c r="AE963" s="464"/>
      <c r="AH963" s="448"/>
      <c r="AI963" s="464"/>
      <c r="AL963" s="448"/>
      <c r="AP963" s="448"/>
    </row>
    <row r="964" spans="1:42" ht="13">
      <c r="A964" s="462"/>
      <c r="B964" s="462"/>
      <c r="N964" s="448"/>
      <c r="O964" s="464"/>
      <c r="R964" s="448"/>
      <c r="S964" s="464"/>
      <c r="V964" s="448"/>
      <c r="W964" s="464"/>
      <c r="Z964" s="448"/>
      <c r="AA964" s="464"/>
      <c r="AD964" s="448"/>
      <c r="AE964" s="464"/>
      <c r="AH964" s="448"/>
      <c r="AI964" s="464"/>
      <c r="AL964" s="448"/>
      <c r="AP964" s="448"/>
    </row>
    <row r="965" spans="1:42" ht="13">
      <c r="A965" s="462"/>
      <c r="B965" s="462"/>
      <c r="N965" s="448"/>
      <c r="O965" s="464"/>
      <c r="R965" s="448"/>
      <c r="S965" s="464"/>
      <c r="V965" s="448"/>
      <c r="W965" s="464"/>
      <c r="Z965" s="448"/>
      <c r="AA965" s="464"/>
      <c r="AD965" s="448"/>
      <c r="AE965" s="464"/>
      <c r="AH965" s="448"/>
      <c r="AI965" s="464"/>
      <c r="AL965" s="448"/>
      <c r="AP965" s="448"/>
    </row>
    <row r="966" spans="1:42" ht="13">
      <c r="A966" s="462"/>
      <c r="B966" s="462"/>
      <c r="N966" s="448"/>
      <c r="O966" s="464"/>
      <c r="R966" s="448"/>
      <c r="S966" s="464"/>
      <c r="V966" s="448"/>
      <c r="W966" s="464"/>
      <c r="Z966" s="448"/>
      <c r="AA966" s="464"/>
      <c r="AD966" s="448"/>
      <c r="AE966" s="464"/>
      <c r="AH966" s="448"/>
      <c r="AI966" s="464"/>
      <c r="AL966" s="448"/>
      <c r="AP966" s="448"/>
    </row>
    <row r="967" spans="1:42" ht="13">
      <c r="A967" s="462"/>
      <c r="B967" s="462"/>
      <c r="N967" s="448"/>
      <c r="O967" s="464"/>
      <c r="R967" s="448"/>
      <c r="S967" s="464"/>
      <c r="V967" s="448"/>
      <c r="W967" s="464"/>
      <c r="Z967" s="448"/>
      <c r="AA967" s="464"/>
      <c r="AD967" s="448"/>
      <c r="AE967" s="464"/>
      <c r="AH967" s="448"/>
      <c r="AI967" s="464"/>
      <c r="AL967" s="448"/>
      <c r="AP967" s="448"/>
    </row>
    <row r="968" spans="1:42" ht="13">
      <c r="A968" s="462"/>
      <c r="B968" s="462"/>
      <c r="N968" s="448"/>
      <c r="O968" s="464"/>
      <c r="R968" s="448"/>
      <c r="S968" s="464"/>
      <c r="V968" s="448"/>
      <c r="W968" s="464"/>
      <c r="Z968" s="448"/>
      <c r="AA968" s="464"/>
      <c r="AD968" s="448"/>
      <c r="AE968" s="464"/>
      <c r="AH968" s="448"/>
      <c r="AI968" s="464"/>
      <c r="AL968" s="448"/>
      <c r="AP968" s="448"/>
    </row>
    <row r="969" spans="1:42" ht="13">
      <c r="A969" s="462"/>
      <c r="B969" s="462"/>
      <c r="N969" s="448"/>
      <c r="O969" s="464"/>
      <c r="R969" s="448"/>
      <c r="S969" s="464"/>
      <c r="V969" s="448"/>
      <c r="W969" s="464"/>
      <c r="Z969" s="448"/>
      <c r="AA969" s="464"/>
      <c r="AD969" s="448"/>
      <c r="AE969" s="464"/>
      <c r="AH969" s="448"/>
      <c r="AI969" s="464"/>
      <c r="AL969" s="448"/>
      <c r="AP969" s="448"/>
    </row>
    <row r="970" spans="1:42" ht="13">
      <c r="A970" s="462"/>
      <c r="B970" s="462"/>
      <c r="N970" s="448"/>
      <c r="O970" s="464"/>
      <c r="R970" s="448"/>
      <c r="S970" s="464"/>
      <c r="V970" s="448"/>
      <c r="W970" s="464"/>
      <c r="Z970" s="448"/>
      <c r="AA970" s="464"/>
      <c r="AD970" s="448"/>
      <c r="AE970" s="464"/>
      <c r="AH970" s="448"/>
      <c r="AI970" s="464"/>
      <c r="AL970" s="448"/>
      <c r="AP970" s="448"/>
    </row>
    <row r="971" spans="1:42" ht="13">
      <c r="A971" s="462"/>
      <c r="B971" s="462"/>
      <c r="N971" s="448"/>
      <c r="O971" s="464"/>
      <c r="R971" s="448"/>
      <c r="S971" s="464"/>
      <c r="V971" s="448"/>
      <c r="W971" s="464"/>
      <c r="Z971" s="448"/>
      <c r="AA971" s="464"/>
      <c r="AD971" s="448"/>
      <c r="AE971" s="464"/>
      <c r="AH971" s="448"/>
      <c r="AI971" s="464"/>
      <c r="AL971" s="448"/>
      <c r="AP971" s="448"/>
    </row>
    <row r="972" spans="1:42" ht="13">
      <c r="A972" s="462"/>
      <c r="B972" s="462"/>
      <c r="N972" s="448"/>
      <c r="O972" s="464"/>
      <c r="R972" s="448"/>
      <c r="S972" s="464"/>
      <c r="V972" s="448"/>
      <c r="W972" s="464"/>
      <c r="Z972" s="448"/>
      <c r="AA972" s="464"/>
      <c r="AD972" s="448"/>
      <c r="AE972" s="464"/>
      <c r="AH972" s="448"/>
      <c r="AI972" s="464"/>
      <c r="AL972" s="448"/>
      <c r="AP972" s="448"/>
    </row>
    <row r="973" spans="1:42" ht="13">
      <c r="A973" s="462"/>
      <c r="B973" s="462"/>
      <c r="N973" s="448"/>
      <c r="O973" s="464"/>
      <c r="R973" s="448"/>
      <c r="S973" s="464"/>
      <c r="V973" s="448"/>
      <c r="W973" s="464"/>
      <c r="Z973" s="448"/>
      <c r="AA973" s="464"/>
      <c r="AD973" s="448"/>
      <c r="AE973" s="464"/>
      <c r="AH973" s="448"/>
      <c r="AI973" s="464"/>
      <c r="AL973" s="448"/>
      <c r="AP973" s="448"/>
    </row>
    <row r="974" spans="1:42" ht="13">
      <c r="A974" s="462"/>
      <c r="B974" s="462"/>
      <c r="N974" s="448"/>
      <c r="O974" s="464"/>
      <c r="R974" s="448"/>
      <c r="S974" s="464"/>
      <c r="V974" s="448"/>
      <c r="W974" s="464"/>
      <c r="Z974" s="448"/>
      <c r="AA974" s="464"/>
      <c r="AD974" s="448"/>
      <c r="AE974" s="464"/>
      <c r="AH974" s="448"/>
      <c r="AI974" s="464"/>
      <c r="AL974" s="448"/>
      <c r="AP974" s="448"/>
    </row>
    <row r="975" spans="1:42" ht="13">
      <c r="A975" s="462"/>
      <c r="B975" s="462"/>
      <c r="N975" s="448"/>
      <c r="O975" s="464"/>
      <c r="R975" s="448"/>
      <c r="S975" s="464"/>
      <c r="V975" s="448"/>
      <c r="W975" s="464"/>
      <c r="Z975" s="448"/>
      <c r="AA975" s="464"/>
      <c r="AD975" s="448"/>
      <c r="AE975" s="464"/>
      <c r="AH975" s="448"/>
      <c r="AI975" s="464"/>
      <c r="AL975" s="448"/>
      <c r="AP975" s="448"/>
    </row>
    <row r="976" spans="1:42" ht="13">
      <c r="A976" s="462"/>
      <c r="B976" s="462"/>
      <c r="N976" s="448"/>
      <c r="O976" s="464"/>
      <c r="R976" s="448"/>
      <c r="S976" s="464"/>
      <c r="V976" s="448"/>
      <c r="W976" s="464"/>
      <c r="Z976" s="448"/>
      <c r="AA976" s="464"/>
      <c r="AD976" s="448"/>
      <c r="AE976" s="464"/>
      <c r="AH976" s="448"/>
      <c r="AI976" s="464"/>
      <c r="AL976" s="448"/>
      <c r="AP976" s="448"/>
    </row>
    <row r="977" spans="1:42" ht="13">
      <c r="A977" s="462"/>
      <c r="B977" s="462"/>
      <c r="N977" s="448"/>
      <c r="O977" s="464"/>
      <c r="R977" s="448"/>
      <c r="S977" s="464"/>
      <c r="V977" s="448"/>
      <c r="W977" s="464"/>
      <c r="Z977" s="448"/>
      <c r="AA977" s="464"/>
      <c r="AD977" s="448"/>
      <c r="AE977" s="464"/>
      <c r="AH977" s="448"/>
      <c r="AI977" s="464"/>
      <c r="AL977" s="448"/>
      <c r="AP977" s="448"/>
    </row>
    <row r="978" spans="1:42" ht="13">
      <c r="A978" s="462"/>
      <c r="B978" s="462"/>
      <c r="N978" s="448"/>
      <c r="O978" s="464"/>
      <c r="R978" s="448"/>
      <c r="S978" s="464"/>
      <c r="V978" s="448"/>
      <c r="W978" s="464"/>
      <c r="Z978" s="448"/>
      <c r="AA978" s="464"/>
      <c r="AD978" s="448"/>
      <c r="AE978" s="464"/>
      <c r="AH978" s="448"/>
      <c r="AI978" s="464"/>
      <c r="AL978" s="448"/>
      <c r="AP978" s="448"/>
    </row>
    <row r="979" spans="1:42" ht="13">
      <c r="A979" s="462"/>
      <c r="B979" s="462"/>
      <c r="N979" s="448"/>
      <c r="O979" s="464"/>
      <c r="R979" s="448"/>
      <c r="S979" s="464"/>
      <c r="V979" s="448"/>
      <c r="W979" s="464"/>
      <c r="Z979" s="448"/>
      <c r="AA979" s="464"/>
      <c r="AD979" s="448"/>
      <c r="AE979" s="464"/>
      <c r="AH979" s="448"/>
      <c r="AI979" s="464"/>
      <c r="AL979" s="448"/>
      <c r="AP979" s="448"/>
    </row>
    <row r="980" spans="1:42" ht="13">
      <c r="A980" s="462"/>
      <c r="B980" s="462"/>
      <c r="N980" s="448"/>
      <c r="O980" s="464"/>
      <c r="R980" s="448"/>
      <c r="S980" s="464"/>
      <c r="V980" s="448"/>
      <c r="W980" s="464"/>
      <c r="Z980" s="448"/>
      <c r="AA980" s="464"/>
      <c r="AD980" s="448"/>
      <c r="AE980" s="464"/>
      <c r="AH980" s="448"/>
      <c r="AI980" s="464"/>
      <c r="AL980" s="448"/>
      <c r="AP980" s="448"/>
    </row>
    <row r="981" spans="1:42" ht="13">
      <c r="A981" s="462"/>
      <c r="B981" s="462"/>
      <c r="N981" s="448"/>
      <c r="O981" s="464"/>
      <c r="R981" s="448"/>
      <c r="S981" s="464"/>
      <c r="V981" s="448"/>
      <c r="W981" s="464"/>
      <c r="Z981" s="448"/>
      <c r="AA981" s="464"/>
      <c r="AD981" s="448"/>
      <c r="AE981" s="464"/>
      <c r="AH981" s="448"/>
      <c r="AI981" s="464"/>
      <c r="AL981" s="448"/>
      <c r="AP981" s="448"/>
    </row>
    <row r="982" spans="1:42" ht="13">
      <c r="A982" s="462"/>
      <c r="B982" s="462"/>
      <c r="N982" s="448"/>
      <c r="O982" s="464"/>
      <c r="R982" s="448"/>
      <c r="S982" s="464"/>
      <c r="V982" s="448"/>
      <c r="W982" s="464"/>
      <c r="Z982" s="448"/>
      <c r="AA982" s="464"/>
      <c r="AD982" s="448"/>
      <c r="AE982" s="464"/>
      <c r="AH982" s="448"/>
      <c r="AI982" s="464"/>
      <c r="AL982" s="448"/>
      <c r="AP982" s="448"/>
    </row>
    <row r="983" spans="1:42" ht="13">
      <c r="A983" s="462"/>
      <c r="B983" s="462"/>
      <c r="N983" s="448"/>
      <c r="O983" s="464"/>
      <c r="R983" s="448"/>
      <c r="S983" s="464"/>
      <c r="V983" s="448"/>
      <c r="W983" s="464"/>
      <c r="Z983" s="448"/>
      <c r="AA983" s="464"/>
      <c r="AD983" s="448"/>
      <c r="AE983" s="464"/>
      <c r="AH983" s="448"/>
      <c r="AI983" s="464"/>
      <c r="AL983" s="448"/>
      <c r="AP983" s="448"/>
    </row>
    <row r="984" spans="1:42" ht="13">
      <c r="A984" s="462"/>
      <c r="B984" s="462"/>
      <c r="N984" s="448"/>
      <c r="O984" s="464"/>
      <c r="R984" s="448"/>
      <c r="S984" s="464"/>
      <c r="V984" s="448"/>
      <c r="W984" s="464"/>
      <c r="Z984" s="448"/>
      <c r="AA984" s="464"/>
      <c r="AD984" s="448"/>
      <c r="AE984" s="464"/>
      <c r="AH984" s="448"/>
      <c r="AI984" s="464"/>
      <c r="AL984" s="448"/>
      <c r="AP984" s="448"/>
    </row>
    <row r="985" spans="1:42" ht="13">
      <c r="A985" s="462"/>
      <c r="B985" s="462"/>
      <c r="N985" s="448"/>
      <c r="O985" s="464"/>
      <c r="R985" s="448"/>
      <c r="S985" s="464"/>
      <c r="V985" s="448"/>
      <c r="W985" s="464"/>
      <c r="Z985" s="448"/>
      <c r="AA985" s="464"/>
      <c r="AD985" s="448"/>
      <c r="AE985" s="464"/>
      <c r="AH985" s="448"/>
      <c r="AI985" s="464"/>
      <c r="AL985" s="448"/>
      <c r="AP985" s="448"/>
    </row>
    <row r="986" spans="1:42" ht="13">
      <c r="A986" s="462"/>
      <c r="B986" s="462"/>
      <c r="N986" s="448"/>
      <c r="O986" s="464"/>
      <c r="R986" s="448"/>
      <c r="S986" s="464"/>
      <c r="V986" s="448"/>
      <c r="W986" s="464"/>
      <c r="Z986" s="448"/>
      <c r="AA986" s="464"/>
      <c r="AD986" s="448"/>
      <c r="AE986" s="464"/>
      <c r="AH986" s="448"/>
      <c r="AI986" s="464"/>
      <c r="AL986" s="448"/>
      <c r="AP986" s="448"/>
    </row>
    <row r="987" spans="1:42" ht="13">
      <c r="A987" s="462"/>
      <c r="B987" s="462"/>
      <c r="N987" s="448"/>
      <c r="O987" s="464"/>
      <c r="R987" s="448"/>
      <c r="S987" s="464"/>
      <c r="V987" s="448"/>
      <c r="W987" s="464"/>
      <c r="Z987" s="448"/>
      <c r="AA987" s="464"/>
      <c r="AD987" s="448"/>
      <c r="AE987" s="464"/>
      <c r="AH987" s="448"/>
      <c r="AI987" s="464"/>
      <c r="AL987" s="448"/>
      <c r="AP987" s="448"/>
    </row>
    <row r="988" spans="1:42" ht="13">
      <c r="A988" s="462"/>
      <c r="B988" s="462"/>
      <c r="N988" s="448"/>
      <c r="O988" s="464"/>
      <c r="R988" s="448"/>
      <c r="S988" s="464"/>
      <c r="V988" s="448"/>
      <c r="W988" s="464"/>
      <c r="Z988" s="448"/>
      <c r="AA988" s="464"/>
      <c r="AD988" s="448"/>
      <c r="AE988" s="464"/>
      <c r="AH988" s="448"/>
      <c r="AI988" s="464"/>
      <c r="AL988" s="448"/>
      <c r="AP988" s="448"/>
    </row>
    <row r="989" spans="1:42" ht="13">
      <c r="A989" s="462"/>
      <c r="B989" s="462"/>
      <c r="N989" s="448"/>
      <c r="O989" s="464"/>
      <c r="R989" s="448"/>
      <c r="S989" s="464"/>
      <c r="V989" s="448"/>
      <c r="W989" s="464"/>
      <c r="Z989" s="448"/>
      <c r="AA989" s="464"/>
      <c r="AD989" s="448"/>
      <c r="AE989" s="464"/>
      <c r="AH989" s="448"/>
      <c r="AI989" s="464"/>
      <c r="AL989" s="448"/>
      <c r="AP989" s="448"/>
    </row>
    <row r="990" spans="1:42" ht="13">
      <c r="A990" s="462"/>
      <c r="B990" s="462"/>
      <c r="N990" s="448"/>
      <c r="O990" s="464"/>
      <c r="R990" s="448"/>
      <c r="S990" s="464"/>
      <c r="V990" s="448"/>
      <c r="W990" s="464"/>
      <c r="Z990" s="448"/>
      <c r="AA990" s="464"/>
      <c r="AD990" s="448"/>
      <c r="AE990" s="464"/>
      <c r="AH990" s="448"/>
      <c r="AI990" s="464"/>
      <c r="AL990" s="448"/>
      <c r="AP990" s="448"/>
    </row>
    <row r="991" spans="1:42" ht="13">
      <c r="A991" s="462"/>
      <c r="B991" s="462"/>
      <c r="N991" s="448"/>
      <c r="O991" s="464"/>
      <c r="R991" s="448"/>
      <c r="S991" s="464"/>
      <c r="V991" s="448"/>
      <c r="W991" s="464"/>
      <c r="Z991" s="448"/>
      <c r="AA991" s="464"/>
      <c r="AD991" s="448"/>
      <c r="AE991" s="464"/>
      <c r="AH991" s="448"/>
      <c r="AI991" s="464"/>
      <c r="AL991" s="448"/>
      <c r="AP991" s="448"/>
    </row>
    <row r="992" spans="1:42" ht="13">
      <c r="A992" s="462"/>
      <c r="B992" s="462"/>
      <c r="N992" s="448"/>
      <c r="O992" s="464"/>
      <c r="R992" s="448"/>
      <c r="S992" s="464"/>
      <c r="V992" s="448"/>
      <c r="W992" s="464"/>
      <c r="Z992" s="448"/>
      <c r="AA992" s="464"/>
      <c r="AD992" s="448"/>
      <c r="AE992" s="464"/>
      <c r="AH992" s="448"/>
      <c r="AI992" s="464"/>
      <c r="AL992" s="448"/>
      <c r="AP992" s="448"/>
    </row>
    <row r="993" spans="1:42" ht="13">
      <c r="A993" s="462"/>
      <c r="B993" s="462"/>
      <c r="N993" s="448"/>
      <c r="O993" s="464"/>
      <c r="R993" s="448"/>
      <c r="S993" s="464"/>
      <c r="V993" s="448"/>
      <c r="W993" s="464"/>
      <c r="Z993" s="448"/>
      <c r="AA993" s="464"/>
      <c r="AD993" s="448"/>
      <c r="AE993" s="464"/>
      <c r="AH993" s="448"/>
      <c r="AI993" s="464"/>
      <c r="AL993" s="448"/>
      <c r="AP993" s="448"/>
    </row>
    <row r="994" spans="1:42" ht="13">
      <c r="A994" s="462"/>
      <c r="B994" s="462"/>
      <c r="N994" s="448"/>
      <c r="O994" s="464"/>
      <c r="R994" s="448"/>
      <c r="S994" s="464"/>
      <c r="V994" s="448"/>
      <c r="W994" s="464"/>
      <c r="Z994" s="448"/>
      <c r="AA994" s="464"/>
      <c r="AD994" s="448"/>
      <c r="AE994" s="464"/>
      <c r="AH994" s="448"/>
      <c r="AI994" s="464"/>
      <c r="AL994" s="448"/>
      <c r="AP994" s="448"/>
    </row>
    <row r="995" spans="1:42" ht="13">
      <c r="A995" s="462"/>
      <c r="B995" s="462"/>
      <c r="N995" s="448"/>
      <c r="O995" s="464"/>
      <c r="R995" s="448"/>
      <c r="S995" s="464"/>
      <c r="V995" s="448"/>
      <c r="W995" s="464"/>
      <c r="Z995" s="448"/>
      <c r="AA995" s="464"/>
      <c r="AD995" s="448"/>
      <c r="AE995" s="464"/>
      <c r="AH995" s="448"/>
      <c r="AI995" s="464"/>
      <c r="AL995" s="448"/>
      <c r="AP995" s="448"/>
    </row>
    <row r="996" spans="1:42" ht="13">
      <c r="A996" s="462"/>
      <c r="B996" s="462"/>
      <c r="N996" s="448"/>
      <c r="O996" s="464"/>
      <c r="R996" s="448"/>
      <c r="S996" s="464"/>
      <c r="V996" s="448"/>
      <c r="W996" s="464"/>
      <c r="Z996" s="448"/>
      <c r="AA996" s="464"/>
      <c r="AD996" s="448"/>
      <c r="AE996" s="464"/>
      <c r="AH996" s="448"/>
      <c r="AI996" s="464"/>
      <c r="AL996" s="448"/>
      <c r="AP996" s="448"/>
    </row>
    <row r="997" spans="1:42" ht="13">
      <c r="A997" s="462"/>
      <c r="B997" s="462"/>
      <c r="N997" s="448"/>
      <c r="O997" s="464"/>
      <c r="R997" s="448"/>
      <c r="S997" s="464"/>
      <c r="V997" s="448"/>
      <c r="W997" s="464"/>
      <c r="Z997" s="448"/>
      <c r="AA997" s="464"/>
      <c r="AD997" s="448"/>
      <c r="AE997" s="464"/>
      <c r="AH997" s="448"/>
      <c r="AI997" s="464"/>
      <c r="AL997" s="448"/>
      <c r="AP997" s="448"/>
    </row>
    <row r="998" spans="1:42" ht="13">
      <c r="A998" s="462"/>
      <c r="B998" s="462"/>
      <c r="N998" s="448"/>
      <c r="O998" s="464"/>
      <c r="R998" s="448"/>
      <c r="S998" s="464"/>
      <c r="V998" s="448"/>
      <c r="W998" s="464"/>
      <c r="Z998" s="448"/>
      <c r="AA998" s="464"/>
      <c r="AD998" s="448"/>
      <c r="AE998" s="464"/>
      <c r="AH998" s="448"/>
      <c r="AI998" s="464"/>
      <c r="AL998" s="448"/>
      <c r="AP998" s="448"/>
    </row>
    <row r="999" spans="1:42" ht="13">
      <c r="A999" s="462"/>
      <c r="B999" s="462"/>
      <c r="N999" s="448"/>
      <c r="O999" s="464"/>
      <c r="R999" s="448"/>
      <c r="S999" s="464"/>
      <c r="V999" s="448"/>
      <c r="W999" s="464"/>
      <c r="Z999" s="448"/>
      <c r="AA999" s="464"/>
      <c r="AD999" s="448"/>
      <c r="AE999" s="464"/>
      <c r="AH999" s="448"/>
      <c r="AI999" s="464"/>
      <c r="AL999" s="448"/>
      <c r="AP999" s="448"/>
    </row>
    <row r="1000" spans="1:42" ht="13">
      <c r="A1000" s="462"/>
      <c r="B1000" s="462"/>
      <c r="N1000" s="448"/>
      <c r="O1000" s="464"/>
      <c r="R1000" s="448"/>
      <c r="S1000" s="464"/>
      <c r="V1000" s="448"/>
      <c r="W1000" s="464"/>
      <c r="Z1000" s="448"/>
      <c r="AA1000" s="464"/>
      <c r="AD1000" s="448"/>
      <c r="AE1000" s="464"/>
      <c r="AH1000" s="448"/>
      <c r="AI1000" s="464"/>
      <c r="AL1000" s="448"/>
      <c r="AP1000" s="448"/>
    </row>
    <row r="1001" spans="1:42" ht="13">
      <c r="A1001" s="462"/>
      <c r="B1001" s="462"/>
      <c r="N1001" s="448"/>
      <c r="O1001" s="464"/>
      <c r="R1001" s="448"/>
      <c r="S1001" s="464"/>
      <c r="V1001" s="448"/>
      <c r="W1001" s="464"/>
      <c r="Z1001" s="448"/>
      <c r="AA1001" s="464"/>
      <c r="AD1001" s="448"/>
      <c r="AE1001" s="464"/>
      <c r="AH1001" s="448"/>
      <c r="AI1001" s="464"/>
      <c r="AL1001" s="448"/>
      <c r="AP1001" s="448"/>
    </row>
    <row r="1002" spans="1:42" ht="13">
      <c r="A1002" s="462"/>
      <c r="B1002" s="462"/>
      <c r="N1002" s="448"/>
      <c r="O1002" s="464"/>
      <c r="R1002" s="448"/>
      <c r="S1002" s="464"/>
      <c r="V1002" s="448"/>
      <c r="W1002" s="464"/>
      <c r="Z1002" s="448"/>
      <c r="AA1002" s="464"/>
      <c r="AD1002" s="448"/>
      <c r="AE1002" s="464"/>
      <c r="AH1002" s="448"/>
      <c r="AI1002" s="464"/>
      <c r="AL1002" s="448"/>
      <c r="AP1002" s="448"/>
    </row>
    <row r="1003" spans="1:42" ht="13">
      <c r="A1003" s="462"/>
      <c r="B1003" s="462"/>
      <c r="N1003" s="448"/>
      <c r="O1003" s="464"/>
      <c r="R1003" s="448"/>
      <c r="S1003" s="464"/>
      <c r="V1003" s="448"/>
      <c r="W1003" s="464"/>
      <c r="Z1003" s="448"/>
      <c r="AA1003" s="464"/>
      <c r="AD1003" s="448"/>
      <c r="AE1003" s="464"/>
      <c r="AH1003" s="448"/>
      <c r="AI1003" s="464"/>
      <c r="AL1003" s="448"/>
      <c r="AP1003" s="448"/>
    </row>
    <row r="1004" spans="1:42" ht="13">
      <c r="A1004" s="462"/>
      <c r="B1004" s="462"/>
      <c r="N1004" s="448"/>
      <c r="O1004" s="464"/>
      <c r="R1004" s="448"/>
      <c r="S1004" s="464"/>
      <c r="V1004" s="448"/>
      <c r="W1004" s="464"/>
      <c r="Z1004" s="448"/>
      <c r="AA1004" s="464"/>
      <c r="AD1004" s="448"/>
      <c r="AE1004" s="464"/>
      <c r="AH1004" s="448"/>
      <c r="AI1004" s="464"/>
      <c r="AL1004" s="448"/>
      <c r="AP1004" s="448"/>
    </row>
    <row r="1005" spans="1:42" ht="13">
      <c r="A1005" s="462"/>
      <c r="B1005" s="462"/>
      <c r="N1005" s="448"/>
      <c r="O1005" s="464"/>
      <c r="R1005" s="448"/>
      <c r="S1005" s="464"/>
      <c r="V1005" s="448"/>
      <c r="W1005" s="464"/>
      <c r="Z1005" s="448"/>
      <c r="AA1005" s="464"/>
      <c r="AD1005" s="448"/>
      <c r="AE1005" s="464"/>
      <c r="AH1005" s="448"/>
      <c r="AI1005" s="464"/>
      <c r="AL1005" s="448"/>
      <c r="AP1005" s="448"/>
    </row>
    <row r="1006" spans="1:42" ht="13">
      <c r="A1006" s="462"/>
      <c r="B1006" s="462"/>
      <c r="N1006" s="448"/>
      <c r="O1006" s="464"/>
      <c r="R1006" s="448"/>
      <c r="S1006" s="464"/>
      <c r="V1006" s="448"/>
      <c r="W1006" s="464"/>
      <c r="Z1006" s="448"/>
      <c r="AA1006" s="464"/>
      <c r="AD1006" s="448"/>
      <c r="AE1006" s="464"/>
      <c r="AH1006" s="448"/>
      <c r="AI1006" s="464"/>
      <c r="AL1006" s="448"/>
      <c r="AP1006" s="448"/>
    </row>
    <row r="1007" spans="1:42" ht="13">
      <c r="A1007" s="462"/>
      <c r="B1007" s="462"/>
      <c r="N1007" s="448"/>
      <c r="O1007" s="464"/>
      <c r="R1007" s="448"/>
      <c r="S1007" s="464"/>
      <c r="V1007" s="448"/>
      <c r="W1007" s="464"/>
      <c r="Z1007" s="448"/>
      <c r="AA1007" s="464"/>
      <c r="AD1007" s="448"/>
      <c r="AE1007" s="464"/>
      <c r="AH1007" s="448"/>
      <c r="AI1007" s="464"/>
      <c r="AL1007" s="448"/>
      <c r="AP1007" s="448"/>
    </row>
    <row r="1008" spans="1:42" ht="13">
      <c r="A1008" s="462"/>
      <c r="B1008" s="462"/>
      <c r="N1008" s="448"/>
      <c r="O1008" s="464"/>
      <c r="R1008" s="448"/>
      <c r="S1008" s="464"/>
      <c r="V1008" s="448"/>
      <c r="W1008" s="464"/>
      <c r="Z1008" s="448"/>
      <c r="AA1008" s="464"/>
      <c r="AD1008" s="448"/>
      <c r="AE1008" s="464"/>
      <c r="AH1008" s="448"/>
      <c r="AI1008" s="464"/>
      <c r="AL1008" s="448"/>
      <c r="AP1008" s="44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T1010"/>
  <sheetViews>
    <sheetView workbookViewId="0">
      <pane xSplit="2" ySplit="11" topLeftCell="C12" activePane="bottomRight" state="frozen"/>
      <selection pane="topRight" activeCell="C1" sqref="C1"/>
      <selection pane="bottomLeft" activeCell="A12" sqref="A12"/>
      <selection pane="bottomRight" activeCell="C12" sqref="C12"/>
    </sheetView>
  </sheetViews>
  <sheetFormatPr baseColWidth="10" defaultColWidth="14.5" defaultRowHeight="15.75" customHeight="1"/>
  <cols>
    <col min="3" max="3" width="21.83203125" customWidth="1"/>
    <col min="6" max="13" width="14.5" hidden="1"/>
    <col min="14" max="14" width="3" customWidth="1"/>
    <col min="18" max="18" width="3" customWidth="1"/>
    <col min="22" max="22" width="3" customWidth="1"/>
    <col min="26" max="26" width="3" customWidth="1"/>
    <col min="30" max="30" width="3" customWidth="1"/>
    <col min="34" max="34" width="3" customWidth="1"/>
    <col min="38" max="38" width="3" customWidth="1"/>
    <col min="42" max="42" width="3" customWidth="1"/>
  </cols>
  <sheetData>
    <row r="1" spans="1:46" ht="15.75" customHeight="1">
      <c r="A1" s="445" t="s">
        <v>1435</v>
      </c>
      <c r="B1" s="445" t="s">
        <v>1436</v>
      </c>
      <c r="C1" s="446"/>
      <c r="D1" s="447"/>
      <c r="E1" s="446" t="s">
        <v>1437</v>
      </c>
      <c r="F1" s="447"/>
      <c r="G1" s="446"/>
      <c r="H1" s="447"/>
      <c r="I1" s="447"/>
      <c r="J1" s="447"/>
      <c r="K1" s="447"/>
      <c r="L1" s="447"/>
      <c r="M1" s="447"/>
      <c r="N1" s="448"/>
      <c r="O1" s="449"/>
      <c r="P1" s="446"/>
      <c r="Q1" s="450" t="s">
        <v>524</v>
      </c>
      <c r="R1" s="448"/>
      <c r="S1" s="451"/>
      <c r="T1" s="452"/>
      <c r="U1" s="450" t="s">
        <v>469</v>
      </c>
      <c r="V1" s="448"/>
      <c r="W1" s="451"/>
      <c r="X1" s="453"/>
      <c r="Y1" s="450" t="s">
        <v>1350</v>
      </c>
      <c r="Z1" s="448"/>
      <c r="AA1" s="451"/>
      <c r="AB1" s="453"/>
      <c r="AC1" s="450" t="s">
        <v>876</v>
      </c>
      <c r="AD1" s="448"/>
      <c r="AE1" s="451"/>
      <c r="AF1" s="453"/>
      <c r="AG1" s="450" t="s">
        <v>786</v>
      </c>
      <c r="AH1" s="448"/>
      <c r="AI1" s="451"/>
      <c r="AJ1" s="447"/>
      <c r="AK1" s="450" t="s">
        <v>994</v>
      </c>
      <c r="AL1" s="448"/>
      <c r="AM1" s="447"/>
      <c r="AN1" s="447"/>
      <c r="AO1" s="450" t="s">
        <v>851</v>
      </c>
      <c r="AP1" s="448"/>
      <c r="AQ1" s="447"/>
      <c r="AR1" s="447"/>
      <c r="AS1" s="454" t="s">
        <v>368</v>
      </c>
      <c r="AT1" s="447"/>
    </row>
    <row r="2" spans="1:46" ht="15.75" customHeight="1">
      <c r="A2" s="455" t="s">
        <v>530</v>
      </c>
      <c r="B2" s="455" t="s">
        <v>1550</v>
      </c>
      <c r="C2" s="446"/>
      <c r="D2" s="447"/>
      <c r="E2" s="447">
        <f t="shared" ref="E2:E8" ca="1" si="0">COUNTIF(E$12:E$202, $B2)</f>
        <v>39</v>
      </c>
      <c r="F2" s="447"/>
      <c r="G2" s="446"/>
      <c r="H2" s="447"/>
      <c r="I2" s="447"/>
      <c r="J2" s="447"/>
      <c r="K2" s="447"/>
      <c r="L2" s="447"/>
      <c r="M2" s="447"/>
      <c r="N2" s="448"/>
      <c r="O2" s="449"/>
      <c r="P2" s="447"/>
      <c r="Q2" s="447">
        <f t="shared" ref="Q2:Q8" ca="1" si="1">COUNTIF(Q$12:Q$202, $B2)</f>
        <v>6</v>
      </c>
      <c r="R2" s="448"/>
      <c r="S2" s="451"/>
      <c r="T2" s="447"/>
      <c r="U2" s="447">
        <f t="shared" ref="U2:U8" ca="1" si="2">COUNTIF(U$12:U$202, $B2)</f>
        <v>0</v>
      </c>
      <c r="V2" s="448"/>
      <c r="W2" s="451"/>
      <c r="X2" s="447"/>
      <c r="Y2" s="447">
        <f t="shared" ref="Y2:Y8" ca="1" si="3">COUNTIF(Y$12:Y$202, $B2)</f>
        <v>0</v>
      </c>
      <c r="Z2" s="448"/>
      <c r="AA2" s="451"/>
      <c r="AB2" s="447"/>
      <c r="AC2" s="447">
        <f t="shared" ref="AC2:AC8" ca="1" si="4">COUNTIF(AC$12:AC$202, $B2)</f>
        <v>2</v>
      </c>
      <c r="AD2" s="448"/>
      <c r="AE2" s="451"/>
      <c r="AF2" s="447"/>
      <c r="AG2" s="447">
        <f t="shared" ref="AG2:AG8" ca="1" si="5">COUNTIF(AG$12:AG$202, $B2)</f>
        <v>11</v>
      </c>
      <c r="AH2" s="448"/>
      <c r="AI2" s="451"/>
      <c r="AJ2" s="447"/>
      <c r="AK2" s="447">
        <f t="shared" ref="AK2:AK8" ca="1" si="6">COUNTIF(AK$12:AK$202, $B2)</f>
        <v>2</v>
      </c>
      <c r="AL2" s="448"/>
      <c r="AM2" s="447"/>
      <c r="AN2" s="447"/>
      <c r="AO2" s="447">
        <f t="shared" ref="AO2:AO8" ca="1" si="7">COUNTIF(AO$12:AO$202, $B2)</f>
        <v>6</v>
      </c>
      <c r="AP2" s="448"/>
      <c r="AQ2" s="447"/>
      <c r="AR2" s="447"/>
      <c r="AS2" s="447">
        <f t="shared" ref="AS2:AS8" ca="1" si="8">COUNTIF(AS$12:AS$202, $B2)</f>
        <v>4</v>
      </c>
      <c r="AT2" s="447"/>
    </row>
    <row r="3" spans="1:46" ht="15.75" customHeight="1">
      <c r="A3" s="455" t="s">
        <v>477</v>
      </c>
      <c r="B3" s="455" t="s">
        <v>1551</v>
      </c>
      <c r="C3" s="446"/>
      <c r="D3" s="447"/>
      <c r="E3" s="447">
        <f t="shared" ca="1" si="0"/>
        <v>9</v>
      </c>
      <c r="F3" s="447"/>
      <c r="G3" s="446"/>
      <c r="H3" s="447"/>
      <c r="I3" s="447"/>
      <c r="J3" s="447"/>
      <c r="K3" s="447"/>
      <c r="L3" s="447"/>
      <c r="M3" s="447"/>
      <c r="N3" s="448"/>
      <c r="O3" s="449"/>
      <c r="P3" s="447"/>
      <c r="Q3" s="447">
        <f t="shared" ca="1" si="1"/>
        <v>2</v>
      </c>
      <c r="R3" s="448"/>
      <c r="S3" s="451"/>
      <c r="T3" s="447"/>
      <c r="U3" s="447">
        <f t="shared" ca="1" si="2"/>
        <v>4</v>
      </c>
      <c r="V3" s="448"/>
      <c r="W3" s="451"/>
      <c r="X3" s="447"/>
      <c r="Y3" s="447">
        <f t="shared" ca="1" si="3"/>
        <v>3</v>
      </c>
      <c r="Z3" s="448"/>
      <c r="AA3" s="451"/>
      <c r="AB3" s="447"/>
      <c r="AC3" s="447">
        <f t="shared" ca="1" si="4"/>
        <v>3</v>
      </c>
      <c r="AD3" s="448"/>
      <c r="AE3" s="451"/>
      <c r="AF3" s="447"/>
      <c r="AG3" s="447">
        <f t="shared" ca="1" si="5"/>
        <v>0</v>
      </c>
      <c r="AH3" s="448"/>
      <c r="AI3" s="451"/>
      <c r="AJ3" s="447"/>
      <c r="AK3" s="447">
        <f t="shared" ca="1" si="6"/>
        <v>0</v>
      </c>
      <c r="AL3" s="448"/>
      <c r="AM3" s="447"/>
      <c r="AN3" s="447"/>
      <c r="AO3" s="447">
        <f t="shared" ca="1" si="7"/>
        <v>0</v>
      </c>
      <c r="AP3" s="448"/>
      <c r="AQ3" s="447"/>
      <c r="AR3" s="447"/>
      <c r="AS3" s="447">
        <f t="shared" ca="1" si="8"/>
        <v>0</v>
      </c>
      <c r="AT3" s="447"/>
    </row>
    <row r="4" spans="1:46" ht="15.75" customHeight="1">
      <c r="A4" s="455" t="s">
        <v>460</v>
      </c>
      <c r="B4" s="455" t="s">
        <v>1552</v>
      </c>
      <c r="C4" s="446"/>
      <c r="D4" s="447"/>
      <c r="E4" s="447">
        <f t="shared" ca="1" si="0"/>
        <v>66</v>
      </c>
      <c r="F4" s="447"/>
      <c r="G4" s="446"/>
      <c r="H4" s="447"/>
      <c r="I4" s="447"/>
      <c r="J4" s="447"/>
      <c r="K4" s="447"/>
      <c r="L4" s="447"/>
      <c r="M4" s="447"/>
      <c r="N4" s="448"/>
      <c r="O4" s="449"/>
      <c r="P4" s="447"/>
      <c r="Q4" s="447">
        <f t="shared" ca="1" si="1"/>
        <v>4</v>
      </c>
      <c r="R4" s="448"/>
      <c r="S4" s="451"/>
      <c r="T4" s="447"/>
      <c r="U4" s="447">
        <f t="shared" ca="1" si="2"/>
        <v>13</v>
      </c>
      <c r="V4" s="448"/>
      <c r="W4" s="451"/>
      <c r="X4" s="447"/>
      <c r="Y4" s="447">
        <f t="shared" ca="1" si="3"/>
        <v>12</v>
      </c>
      <c r="Z4" s="448"/>
      <c r="AA4" s="451"/>
      <c r="AB4" s="447"/>
      <c r="AC4" s="447">
        <f t="shared" ca="1" si="4"/>
        <v>12</v>
      </c>
      <c r="AD4" s="448"/>
      <c r="AE4" s="451"/>
      <c r="AF4" s="447"/>
      <c r="AG4" s="447">
        <f t="shared" ca="1" si="5"/>
        <v>5</v>
      </c>
      <c r="AH4" s="448"/>
      <c r="AI4" s="451"/>
      <c r="AJ4" s="447"/>
      <c r="AK4" s="447">
        <f t="shared" ca="1" si="6"/>
        <v>15</v>
      </c>
      <c r="AL4" s="448"/>
      <c r="AM4" s="447"/>
      <c r="AN4" s="447"/>
      <c r="AO4" s="447">
        <f t="shared" ca="1" si="7"/>
        <v>6</v>
      </c>
      <c r="AP4" s="448"/>
      <c r="AQ4" s="447"/>
      <c r="AR4" s="447"/>
      <c r="AS4" s="447">
        <f t="shared" ca="1" si="8"/>
        <v>5</v>
      </c>
      <c r="AT4" s="447"/>
    </row>
    <row r="5" spans="1:46" ht="15.75" customHeight="1">
      <c r="A5" s="455" t="s">
        <v>642</v>
      </c>
      <c r="B5" s="455" t="s">
        <v>1555</v>
      </c>
      <c r="C5" s="446"/>
      <c r="D5" s="447"/>
      <c r="E5" s="447">
        <f t="shared" ca="1" si="0"/>
        <v>14</v>
      </c>
      <c r="F5" s="447"/>
      <c r="G5" s="446"/>
      <c r="H5" s="447"/>
      <c r="I5" s="447"/>
      <c r="J5" s="447"/>
      <c r="K5" s="447"/>
      <c r="L5" s="447"/>
      <c r="M5" s="447"/>
      <c r="N5" s="448"/>
      <c r="O5" s="449"/>
      <c r="P5" s="447"/>
      <c r="Q5" s="447">
        <f t="shared" ca="1" si="1"/>
        <v>3</v>
      </c>
      <c r="R5" s="448"/>
      <c r="S5" s="451"/>
      <c r="T5" s="447"/>
      <c r="U5" s="447">
        <f t="shared" ca="1" si="2"/>
        <v>1</v>
      </c>
      <c r="V5" s="448"/>
      <c r="W5" s="451"/>
      <c r="X5" s="447"/>
      <c r="Y5" s="447">
        <f t="shared" ca="1" si="3"/>
        <v>0</v>
      </c>
      <c r="Z5" s="448"/>
      <c r="AA5" s="451"/>
      <c r="AB5" s="447"/>
      <c r="AC5" s="447">
        <f t="shared" ca="1" si="4"/>
        <v>0</v>
      </c>
      <c r="AD5" s="448"/>
      <c r="AE5" s="451"/>
      <c r="AF5" s="447"/>
      <c r="AG5" s="447">
        <f t="shared" ca="1" si="5"/>
        <v>3</v>
      </c>
      <c r="AH5" s="448"/>
      <c r="AI5" s="451"/>
      <c r="AJ5" s="447"/>
      <c r="AK5" s="447">
        <f t="shared" ca="1" si="6"/>
        <v>0</v>
      </c>
      <c r="AL5" s="448"/>
      <c r="AM5" s="447"/>
      <c r="AN5" s="447"/>
      <c r="AO5" s="447">
        <f t="shared" ca="1" si="7"/>
        <v>2</v>
      </c>
      <c r="AP5" s="448"/>
      <c r="AQ5" s="447"/>
      <c r="AR5" s="447"/>
      <c r="AS5" s="447">
        <f t="shared" ca="1" si="8"/>
        <v>2</v>
      </c>
      <c r="AT5" s="447"/>
    </row>
    <row r="6" spans="1:46" ht="15.75" customHeight="1">
      <c r="A6" s="455" t="s">
        <v>652</v>
      </c>
      <c r="B6" s="455" t="s">
        <v>1556</v>
      </c>
      <c r="C6" s="446"/>
      <c r="D6" s="447"/>
      <c r="E6" s="447">
        <f t="shared" ca="1" si="0"/>
        <v>13</v>
      </c>
      <c r="F6" s="447"/>
      <c r="G6" s="446"/>
      <c r="H6" s="447"/>
      <c r="I6" s="447"/>
      <c r="J6" s="447"/>
      <c r="K6" s="447"/>
      <c r="L6" s="447"/>
      <c r="M6" s="447"/>
      <c r="N6" s="448"/>
      <c r="O6" s="449"/>
      <c r="P6" s="447"/>
      <c r="Q6" s="447">
        <f t="shared" ca="1" si="1"/>
        <v>0</v>
      </c>
      <c r="R6" s="448"/>
      <c r="S6" s="451"/>
      <c r="T6" s="447"/>
      <c r="U6" s="447">
        <f t="shared" ca="1" si="2"/>
        <v>0</v>
      </c>
      <c r="V6" s="448"/>
      <c r="W6" s="451"/>
      <c r="X6" s="447"/>
      <c r="Y6" s="447">
        <f t="shared" ca="1" si="3"/>
        <v>2</v>
      </c>
      <c r="Z6" s="448"/>
      <c r="AA6" s="451"/>
      <c r="AB6" s="447"/>
      <c r="AC6" s="447">
        <f t="shared" ca="1" si="4"/>
        <v>1</v>
      </c>
      <c r="AD6" s="448"/>
      <c r="AE6" s="451"/>
      <c r="AF6" s="447"/>
      <c r="AG6" s="447">
        <f t="shared" ca="1" si="5"/>
        <v>0</v>
      </c>
      <c r="AH6" s="448"/>
      <c r="AI6" s="451"/>
      <c r="AJ6" s="447"/>
      <c r="AK6" s="447">
        <f t="shared" ca="1" si="6"/>
        <v>1</v>
      </c>
      <c r="AL6" s="448"/>
      <c r="AM6" s="447"/>
      <c r="AN6" s="447"/>
      <c r="AO6" s="447">
        <f t="shared" ca="1" si="7"/>
        <v>5</v>
      </c>
      <c r="AP6" s="448"/>
      <c r="AQ6" s="447"/>
      <c r="AR6" s="447"/>
      <c r="AS6" s="447">
        <f t="shared" ca="1" si="8"/>
        <v>1</v>
      </c>
      <c r="AT6" s="447"/>
    </row>
    <row r="7" spans="1:46" ht="15.75" customHeight="1">
      <c r="A7" s="455" t="s">
        <v>630</v>
      </c>
      <c r="B7" s="455" t="s">
        <v>1557</v>
      </c>
      <c r="C7" s="446"/>
      <c r="D7" s="447"/>
      <c r="E7" s="447">
        <f t="shared" ca="1" si="0"/>
        <v>25</v>
      </c>
      <c r="F7" s="447"/>
      <c r="G7" s="446"/>
      <c r="H7" s="447"/>
      <c r="I7" s="447"/>
      <c r="J7" s="447"/>
      <c r="K7" s="447"/>
      <c r="L7" s="447"/>
      <c r="M7" s="447"/>
      <c r="N7" s="448"/>
      <c r="O7" s="449"/>
      <c r="P7" s="447"/>
      <c r="Q7" s="447">
        <f t="shared" ca="1" si="1"/>
        <v>4</v>
      </c>
      <c r="R7" s="448"/>
      <c r="S7" s="451"/>
      <c r="T7" s="447"/>
      <c r="U7" s="447">
        <f t="shared" ca="1" si="2"/>
        <v>1</v>
      </c>
      <c r="V7" s="448"/>
      <c r="W7" s="451"/>
      <c r="X7" s="447"/>
      <c r="Y7" s="447">
        <f t="shared" ca="1" si="3"/>
        <v>3</v>
      </c>
      <c r="Z7" s="448"/>
      <c r="AA7" s="451"/>
      <c r="AB7" s="447"/>
      <c r="AC7" s="447">
        <f t="shared" ca="1" si="4"/>
        <v>2</v>
      </c>
      <c r="AD7" s="448"/>
      <c r="AE7" s="451"/>
      <c r="AF7" s="447"/>
      <c r="AG7" s="447">
        <f t="shared" ca="1" si="5"/>
        <v>1</v>
      </c>
      <c r="AH7" s="448"/>
      <c r="AI7" s="451"/>
      <c r="AJ7" s="447"/>
      <c r="AK7" s="447">
        <f t="shared" ca="1" si="6"/>
        <v>2</v>
      </c>
      <c r="AL7" s="448"/>
      <c r="AM7" s="447"/>
      <c r="AN7" s="447"/>
      <c r="AO7" s="447">
        <f t="shared" ca="1" si="7"/>
        <v>1</v>
      </c>
      <c r="AP7" s="448"/>
      <c r="AQ7" s="447"/>
      <c r="AR7" s="447"/>
      <c r="AS7" s="447">
        <f t="shared" ca="1" si="8"/>
        <v>7</v>
      </c>
      <c r="AT7" s="447"/>
    </row>
    <row r="8" spans="1:46" ht="15.75" customHeight="1">
      <c r="A8" s="455" t="s">
        <v>1036</v>
      </c>
      <c r="B8" s="455" t="s">
        <v>1447</v>
      </c>
      <c r="C8" s="446"/>
      <c r="D8" s="447"/>
      <c r="E8" s="447">
        <f t="shared" ca="1" si="0"/>
        <v>3</v>
      </c>
      <c r="F8" s="447"/>
      <c r="G8" s="446"/>
      <c r="H8" s="447"/>
      <c r="I8" s="447"/>
      <c r="J8" s="447"/>
      <c r="K8" s="447"/>
      <c r="L8" s="447"/>
      <c r="M8" s="447"/>
      <c r="N8" s="448"/>
      <c r="O8" s="449"/>
      <c r="P8" s="447"/>
      <c r="Q8" s="447">
        <f t="shared" ca="1" si="1"/>
        <v>1</v>
      </c>
      <c r="R8" s="448"/>
      <c r="S8" s="451"/>
      <c r="T8" s="447"/>
      <c r="U8" s="447">
        <f t="shared" ca="1" si="2"/>
        <v>1</v>
      </c>
      <c r="V8" s="448"/>
      <c r="W8" s="451"/>
      <c r="X8" s="447"/>
      <c r="Y8" s="447">
        <f t="shared" ca="1" si="3"/>
        <v>0</v>
      </c>
      <c r="Z8" s="448"/>
      <c r="AA8" s="451"/>
      <c r="AB8" s="447"/>
      <c r="AC8" s="447">
        <f t="shared" ca="1" si="4"/>
        <v>0</v>
      </c>
      <c r="AD8" s="448"/>
      <c r="AE8" s="451"/>
      <c r="AF8" s="447"/>
      <c r="AG8" s="447">
        <f t="shared" ca="1" si="5"/>
        <v>0</v>
      </c>
      <c r="AH8" s="448"/>
      <c r="AI8" s="451"/>
      <c r="AJ8" s="447"/>
      <c r="AK8" s="447">
        <f t="shared" ca="1" si="6"/>
        <v>0</v>
      </c>
      <c r="AL8" s="448"/>
      <c r="AM8" s="447"/>
      <c r="AN8" s="447"/>
      <c r="AO8" s="447">
        <f t="shared" ca="1" si="7"/>
        <v>0</v>
      </c>
      <c r="AP8" s="448"/>
      <c r="AQ8" s="447"/>
      <c r="AR8" s="447"/>
      <c r="AS8" s="447">
        <f t="shared" ca="1" si="8"/>
        <v>1</v>
      </c>
      <c r="AT8" s="447"/>
    </row>
    <row r="9" spans="1:46" ht="15.75" customHeight="1">
      <c r="A9" s="455" t="s">
        <v>1451</v>
      </c>
      <c r="B9" s="455"/>
      <c r="C9" s="446"/>
      <c r="D9" s="447"/>
      <c r="E9" s="447">
        <f ca="1">COUNTA(E$12:E$202)</f>
        <v>185</v>
      </c>
      <c r="F9" s="447"/>
      <c r="G9" s="446"/>
      <c r="H9" s="447"/>
      <c r="I9" s="447"/>
      <c r="J9" s="447"/>
      <c r="K9" s="447"/>
      <c r="L9" s="447"/>
      <c r="M9" s="447"/>
      <c r="N9" s="448"/>
      <c r="O9" s="449"/>
      <c r="P9" s="447"/>
      <c r="Q9" s="447">
        <f ca="1">COUNTA(Q$12:Q$202)</f>
        <v>20</v>
      </c>
      <c r="R9" s="448"/>
      <c r="S9" s="451"/>
      <c r="T9" s="447"/>
      <c r="U9" s="447">
        <f ca="1">COUNTA(U$12:U$202)</f>
        <v>20</v>
      </c>
      <c r="V9" s="448"/>
      <c r="W9" s="451"/>
      <c r="X9" s="447"/>
      <c r="Y9" s="447">
        <f ca="1">COUNTA(Y$12:Y$202)</f>
        <v>20</v>
      </c>
      <c r="Z9" s="448"/>
      <c r="AA9" s="451"/>
      <c r="AB9" s="447"/>
      <c r="AC9" s="447">
        <f ca="1">COUNTA(AC$12:AC$202)</f>
        <v>20</v>
      </c>
      <c r="AD9" s="448"/>
      <c r="AE9" s="451"/>
      <c r="AF9" s="447"/>
      <c r="AG9" s="447">
        <f ca="1">COUNTA(AG$12:AG$202)</f>
        <v>20</v>
      </c>
      <c r="AH9" s="448"/>
      <c r="AI9" s="451"/>
      <c r="AJ9" s="447"/>
      <c r="AK9" s="447">
        <f ca="1">COUNTA(AK$12:AK$202)</f>
        <v>20</v>
      </c>
      <c r="AL9" s="448"/>
      <c r="AM9" s="447"/>
      <c r="AN9" s="447"/>
      <c r="AO9" s="447">
        <f ca="1">COUNTA(AO$12:AO$202)</f>
        <v>20</v>
      </c>
      <c r="AP9" s="448"/>
      <c r="AQ9" s="447"/>
      <c r="AR9" s="447"/>
      <c r="AS9" s="447">
        <f ca="1">COUNTA(AS$12:AS$202)</f>
        <v>20</v>
      </c>
      <c r="AT9" s="447"/>
    </row>
    <row r="10" spans="1:46" ht="15.75" customHeight="1">
      <c r="A10" s="455"/>
      <c r="B10" s="455"/>
      <c r="C10" s="446"/>
      <c r="D10" s="446" t="s">
        <v>1452</v>
      </c>
      <c r="E10" s="447">
        <f ca="1">SUM(E2:E8)</f>
        <v>169</v>
      </c>
      <c r="F10" s="447"/>
      <c r="G10" s="446"/>
      <c r="H10" s="447"/>
      <c r="I10" s="447"/>
      <c r="J10" s="447"/>
      <c r="K10" s="447"/>
      <c r="L10" s="447"/>
      <c r="M10" s="447"/>
      <c r="N10" s="448"/>
      <c r="O10" s="449"/>
      <c r="P10" s="446" t="s">
        <v>1452</v>
      </c>
      <c r="Q10" s="447">
        <f ca="1">SUM(Q2:Q8)</f>
        <v>20</v>
      </c>
      <c r="R10" s="448"/>
      <c r="S10" s="451"/>
      <c r="T10" s="446" t="s">
        <v>1452</v>
      </c>
      <c r="U10" s="447">
        <f ca="1">SUM(U2:U8)</f>
        <v>20</v>
      </c>
      <c r="V10" s="448"/>
      <c r="W10" s="451"/>
      <c r="X10" s="446" t="s">
        <v>1452</v>
      </c>
      <c r="Y10" s="447">
        <f ca="1">SUM(Y2:Y8)</f>
        <v>20</v>
      </c>
      <c r="Z10" s="448"/>
      <c r="AA10" s="451"/>
      <c r="AB10" s="446" t="s">
        <v>1452</v>
      </c>
      <c r="AC10" s="447">
        <f ca="1">SUM(AC2:AC8)</f>
        <v>20</v>
      </c>
      <c r="AD10" s="448"/>
      <c r="AE10" s="451"/>
      <c r="AF10" s="446" t="s">
        <v>1452</v>
      </c>
      <c r="AG10" s="447">
        <f ca="1">SUM(AG2:AG8)</f>
        <v>20</v>
      </c>
      <c r="AH10" s="448"/>
      <c r="AI10" s="451"/>
      <c r="AJ10" s="446" t="s">
        <v>1452</v>
      </c>
      <c r="AK10" s="447">
        <f ca="1">SUM(AK2:AK8)</f>
        <v>20</v>
      </c>
      <c r="AL10" s="448"/>
      <c r="AM10" s="447"/>
      <c r="AN10" s="446" t="s">
        <v>1452</v>
      </c>
      <c r="AO10" s="447">
        <f ca="1">SUM(AO2:AO8)</f>
        <v>20</v>
      </c>
      <c r="AP10" s="448"/>
      <c r="AQ10" s="447"/>
      <c r="AR10" s="446" t="s">
        <v>1452</v>
      </c>
      <c r="AS10" s="447">
        <f ca="1">SUM(AS2:AS8)</f>
        <v>20</v>
      </c>
      <c r="AT10" s="447"/>
    </row>
    <row r="11" spans="1:46" ht="15.75" customHeight="1">
      <c r="A11" s="458"/>
      <c r="B11" s="458"/>
      <c r="C11" s="459" t="str">
        <f>Filtered!I1</f>
        <v>title</v>
      </c>
      <c r="D11" s="459" t="str">
        <f>Filtered!J1</f>
        <v>Top journals in</v>
      </c>
      <c r="E11" s="454" t="s">
        <v>1051</v>
      </c>
      <c r="F11" s="450" t="s">
        <v>524</v>
      </c>
      <c r="G11" s="450" t="s">
        <v>469</v>
      </c>
      <c r="H11" s="450" t="s">
        <v>1350</v>
      </c>
      <c r="I11" s="450" t="s">
        <v>876</v>
      </c>
      <c r="J11" s="450" t="s">
        <v>786</v>
      </c>
      <c r="K11" s="450" t="s">
        <v>994</v>
      </c>
      <c r="L11" s="450" t="s">
        <v>851</v>
      </c>
      <c r="M11" s="454" t="s">
        <v>368</v>
      </c>
      <c r="N11" s="460"/>
      <c r="O11" s="450" t="s">
        <v>524</v>
      </c>
      <c r="P11" s="459"/>
      <c r="Q11" s="459"/>
      <c r="R11" s="460"/>
      <c r="S11" s="450" t="s">
        <v>469</v>
      </c>
      <c r="T11" s="459"/>
      <c r="U11" s="459"/>
      <c r="V11" s="460"/>
      <c r="W11" s="450" t="s">
        <v>1350</v>
      </c>
      <c r="X11" s="459"/>
      <c r="Y11" s="450"/>
      <c r="Z11" s="460"/>
      <c r="AA11" s="450" t="s">
        <v>876</v>
      </c>
      <c r="AB11" s="459"/>
      <c r="AC11" s="459"/>
      <c r="AD11" s="460"/>
      <c r="AE11" s="450" t="s">
        <v>786</v>
      </c>
      <c r="AF11" s="450"/>
      <c r="AG11" s="450"/>
      <c r="AH11" s="461"/>
      <c r="AI11" s="450" t="s">
        <v>994</v>
      </c>
      <c r="AJ11" s="450"/>
      <c r="AK11" s="450"/>
      <c r="AL11" s="461"/>
      <c r="AM11" s="450" t="s">
        <v>851</v>
      </c>
      <c r="AN11" s="450"/>
      <c r="AO11" s="450"/>
      <c r="AP11" s="461"/>
      <c r="AQ11" s="454" t="s">
        <v>368</v>
      </c>
      <c r="AR11" s="450"/>
      <c r="AS11" s="450"/>
      <c r="AT11" s="450"/>
    </row>
    <row r="12" spans="1:46" ht="15.75" customHeight="1">
      <c r="A12" s="462"/>
      <c r="B12" s="462"/>
      <c r="C12" t="str">
        <f ca="1">Filtered!I2</f>
        <v>Academic Medicine</v>
      </c>
      <c r="D12" t="str">
        <f ca="1">Filtered!J2</f>
        <v>Social Sciences</v>
      </c>
      <c r="E12" t="str">
        <f ca="1">Filtered!AH2</f>
        <v>Unsure (prerints allowed, but unclear which version</v>
      </c>
      <c r="F12" t="b">
        <f t="shared" ref="F12:F182" ca="1" si="9">IF(ISERROR(SEARCH("bus",$D12)),FALSE,TRUE)</f>
        <v>0</v>
      </c>
      <c r="G12" t="b">
        <f t="shared" ref="G12:G182" ca="1" si="10">IF(ISERROR(SEARCH("chem",$D12)),FALSE,TRUE)</f>
        <v>0</v>
      </c>
      <c r="H12" t="b">
        <f t="shared" ref="H12:H182" ca="1" si="11">IF(ISERROR(SEARCH("computer",$D12)),FALSE,TRUE)</f>
        <v>0</v>
      </c>
      <c r="I12" t="b">
        <f t="shared" ref="I12:I182" ca="1" si="12">IF(ISERROR(SEARCH("health",$D12)),FALSE,TRUE)</f>
        <v>0</v>
      </c>
      <c r="J12" t="b">
        <f t="shared" ref="J12:J182" ca="1" si="13">IF(ISERROR(SEARCH("humanities",$D12)),FALSE,TRUE)</f>
        <v>0</v>
      </c>
      <c r="K12" t="b">
        <f t="shared" ref="K12:K182" ca="1" si="14">IF(ISERROR(SEARCH("life",$D12)),FALSE,TRUE)</f>
        <v>0</v>
      </c>
      <c r="L12" t="b">
        <f t="shared" ref="L12:L182" ca="1" si="15">IF(ISERROR(SEARCH("physics",$D12)),FALSE,TRUE)</f>
        <v>0</v>
      </c>
      <c r="M12" t="b">
        <f t="shared" ref="M12:M182" ca="1" si="16">IF(ISERROR(SEARCH("social",$D12)),FALSE,TRUE)</f>
        <v>1</v>
      </c>
      <c r="N12" s="448"/>
      <c r="O12" s="464" t="str">
        <f ca="1">IFERROR(__xludf.DUMMYFUNCTION("filter($C:$E,F:F)"),"Academy of Management Journal")</f>
        <v>Academy of Management Journal</v>
      </c>
      <c r="P12" t="str">
        <f ca="1">IFERROR(__xludf.DUMMYFUNCTION("""COMPUTED_VALUE"""),"Business, Economics &amp; Management")</f>
        <v>Business, Economics &amp; Management</v>
      </c>
      <c r="Q12" t="str">
        <f ca="1">IFERROR(__xludf.DUMMYFUNCTION("""COMPUTED_VALUE"""),"None")</f>
        <v>None</v>
      </c>
      <c r="R12" s="448"/>
      <c r="S12" s="464" t="str">
        <f ca="1">IFERROR(__xludf.DUMMYFUNCTION("filter($C:$E,G:G)"),"ACS Applied Materials &amp; Interfaces")</f>
        <v>ACS Applied Materials &amp; Interfaces</v>
      </c>
      <c r="T12" t="str">
        <f ca="1">IFERROR(__xludf.DUMMYFUNCTION("""COMPUTED_VALUE"""),"Chemical &amp; Materials Sciences, Engineering &amp; Computer Science")</f>
        <v>Chemical &amp; Materials Sciences, Engineering &amp; Computer Science</v>
      </c>
      <c r="U12" t="str">
        <f ca="1">IFERROR(__xludf.DUMMYFUNCTION("""COMPUTED_VALUE"""),"First submission only (before peer review)")</f>
        <v>First submission only (before peer review)</v>
      </c>
      <c r="V12" s="448"/>
      <c r="W12" s="464" t="str">
        <f ca="1">IFERROR(__xludf.DUMMYFUNCTION("filter($C:$E,H:H)"),"ACS Applied Materials &amp; Interfaces")</f>
        <v>ACS Applied Materials &amp; Interfaces</v>
      </c>
      <c r="X12" t="str">
        <f ca="1">IFERROR(__xludf.DUMMYFUNCTION("""COMPUTED_VALUE"""),"Chemical &amp; Materials Sciences, Engineering &amp; Computer Science")</f>
        <v>Chemical &amp; Materials Sciences, Engineering &amp; Computer Science</v>
      </c>
      <c r="Y12" t="str">
        <f ca="1">IFERROR(__xludf.DUMMYFUNCTION("""COMPUTED_VALUE"""),"First submission only (before peer review)")</f>
        <v>First submission only (before peer review)</v>
      </c>
      <c r="Z12" s="448"/>
      <c r="AA12" s="466" t="str">
        <f ca="1">IFERROR(__xludf.DUMMYFUNCTION("filter($C:$E,I:I)"),"Blood")</f>
        <v>Blood</v>
      </c>
      <c r="AB12" t="str">
        <f ca="1">IFERROR(__xludf.DUMMYFUNCTION("""COMPUTED_VALUE"""),"Health &amp; Medical Sciences")</f>
        <v>Health &amp; Medical Sciences</v>
      </c>
      <c r="AC12" t="str">
        <f ca="1">IFERROR(__xludf.DUMMYFUNCTION("""COMPUTED_VALUE"""),"First submission only (before peer review)")</f>
        <v>First submission only (before peer review)</v>
      </c>
      <c r="AD12" s="448"/>
      <c r="AE12" s="466" t="str">
        <f ca="1">IFERROR(__xludf.DUMMYFUNCTION("filter($C:$E,J:J)"),"Applied Linguistics")</f>
        <v>Applied Linguistics</v>
      </c>
      <c r="AF12" t="str">
        <f ca="1">IFERROR(__xludf.DUMMYFUNCTION("""COMPUTED_VALUE"""),"Humanities, Literature &amp; Arts")</f>
        <v>Humanities, Literature &amp; Arts</v>
      </c>
      <c r="AG12" t="str">
        <f ca="1">IFERROR(__xludf.DUMMYFUNCTION("""COMPUTED_VALUE"""),"Unsure (preprint can be posted)")</f>
        <v>Unsure (preprint can be posted)</v>
      </c>
      <c r="AH12" s="448"/>
      <c r="AI12" s="464" t="str">
        <f ca="1">IFERROR(__xludf.DUMMYFUNCTION("filter($C:$E,K:K)"),"Cell")</f>
        <v>Cell</v>
      </c>
      <c r="AJ12" t="str">
        <f ca="1">IFERROR(__xludf.DUMMYFUNCTION("""COMPUTED_VALUE"""),"Health &amp; Medical Sciences, Life Sciences &amp; Earth Sciences")</f>
        <v>Health &amp; Medical Sciences, Life Sciences &amp; Earth Sciences</v>
      </c>
      <c r="AK12" t="str">
        <f ca="1">IFERROR(__xludf.DUMMYFUNCTION("""COMPUTED_VALUE"""),"First submission only (before peer review)")</f>
        <v>First submission only (before peer review)</v>
      </c>
      <c r="AL12" s="448"/>
      <c r="AM12" t="str">
        <f ca="1">IFERROR(__xludf.DUMMYFUNCTION("filter($C:$E,L:L)"),"Astronomy &amp; Astrophysics")</f>
        <v>Astronomy &amp; Astrophysics</v>
      </c>
      <c r="AN12" t="str">
        <f ca="1">IFERROR(__xludf.DUMMYFUNCTION("""COMPUTED_VALUE"""),"Physics &amp; Mathematics")</f>
        <v>Physics &amp; Mathematics</v>
      </c>
      <c r="AO12" t="str">
        <f ca="1">IFERROR(__xludf.DUMMYFUNCTION("""COMPUTED_VALUE"""),"Unsure")</f>
        <v>Unsure</v>
      </c>
      <c r="AP12" s="448"/>
      <c r="AQ12" t="str">
        <f ca="1">IFERROR(__xludf.DUMMYFUNCTION("filter($C:$E,M:M)"),"Academic Medicine")</f>
        <v>Academic Medicine</v>
      </c>
      <c r="AR12" t="str">
        <f ca="1">IFERROR(__xludf.DUMMYFUNCTION("""COMPUTED_VALUE"""),"Social Sciences")</f>
        <v>Social Sciences</v>
      </c>
      <c r="AS12" t="str">
        <f ca="1">IFERROR(__xludf.DUMMYFUNCTION("""COMPUTED_VALUE"""),"Unsure (prerints allowed, but unclear which version")</f>
        <v>Unsure (prerints allowed, but unclear which version</v>
      </c>
    </row>
    <row r="13" spans="1:46" ht="15.75" customHeight="1">
      <c r="A13" s="462"/>
      <c r="B13" s="462"/>
      <c r="C13" t="str">
        <f ca="1">Filtered!I3</f>
        <v>ACS Applied Materials &amp; Interfaces</v>
      </c>
      <c r="D13" t="str">
        <f ca="1">Filtered!J3</f>
        <v>Chemical &amp; Materials Sciences, Engineering &amp; Computer Science</v>
      </c>
      <c r="E13" t="str">
        <f ca="1">Filtered!AH3</f>
        <v>First submission only (before peer review)</v>
      </c>
      <c r="F13" t="b">
        <f t="shared" ca="1" si="9"/>
        <v>0</v>
      </c>
      <c r="G13" t="b">
        <f t="shared" ca="1" si="10"/>
        <v>1</v>
      </c>
      <c r="H13" t="b">
        <f t="shared" ca="1" si="11"/>
        <v>1</v>
      </c>
      <c r="I13" t="b">
        <f t="shared" ca="1" si="12"/>
        <v>0</v>
      </c>
      <c r="J13" t="b">
        <f t="shared" ca="1" si="13"/>
        <v>0</v>
      </c>
      <c r="K13" t="b">
        <f t="shared" ca="1" si="14"/>
        <v>0</v>
      </c>
      <c r="L13" t="b">
        <f t="shared" ca="1" si="15"/>
        <v>0</v>
      </c>
      <c r="M13" t="b">
        <f t="shared" ca="1" si="16"/>
        <v>0</v>
      </c>
      <c r="N13" s="448"/>
      <c r="O13" s="464" t="str">
        <f ca="1">IFERROR(__xludf.DUMMYFUNCTION("""COMPUTED_VALUE"""),"American Economic Review")</f>
        <v>American Economic Review</v>
      </c>
      <c r="P13" t="str">
        <f ca="1">IFERROR(__xludf.DUMMYFUNCTION("""COMPUTED_VALUE"""),"Business, Economics &amp; Management")</f>
        <v>Business, Economics &amp; Management</v>
      </c>
      <c r="Q13" t="str">
        <f ca="1">IFERROR(__xludf.DUMMYFUNCTION("""COMPUTED_VALUE"""),"Unsure (preprints are allowed, but it's not clear what version)")</f>
        <v>Unsure (preprints are allowed, but it's not clear what version)</v>
      </c>
      <c r="R13" s="448"/>
      <c r="S13" s="464" t="str">
        <f ca="1">IFERROR(__xludf.DUMMYFUNCTION("""COMPUTED_VALUE"""),"Accounts of Chemical Research")</f>
        <v>Accounts of Chemical Research</v>
      </c>
      <c r="T13" t="str">
        <f ca="1">IFERROR(__xludf.DUMMYFUNCTION("""COMPUTED_VALUE"""),"Chemical &amp; Materials Sciences")</f>
        <v>Chemical &amp; Materials Sciences</v>
      </c>
      <c r="U13" t="str">
        <f ca="1">IFERROR(__xludf.DUMMYFUNCTION("""COMPUTED_VALUE"""),"None (preprints not allowed)")</f>
        <v>None (preprints not allowed)</v>
      </c>
      <c r="V13" s="448"/>
      <c r="W13" s="464" t="str">
        <f ca="1">IFERROR(__xludf.DUMMYFUNCTION("""COMPUTED_VALUE"""),"ACS Nano")</f>
        <v>ACS Nano</v>
      </c>
      <c r="X13" t="str">
        <f ca="1">IFERROR(__xludf.DUMMYFUNCTION("""COMPUTED_VALUE"""),"Chemical &amp; Materials Sciences, Engineering &amp; Computer Science")</f>
        <v>Chemical &amp; Materials Sciences, Engineering &amp; Computer Science</v>
      </c>
      <c r="Y13" t="str">
        <f ca="1">IFERROR(__xludf.DUMMYFUNCTION("""COMPUTED_VALUE"""),"First submission only (before peer review)")</f>
        <v>First submission only (before peer review)</v>
      </c>
      <c r="Z13" s="448"/>
      <c r="AA13" s="464" t="str">
        <f ca="1">IFERROR(__xludf.DUMMYFUNCTION("""COMPUTED_VALUE"""),"BMJ")</f>
        <v>BMJ</v>
      </c>
      <c r="AB13" t="str">
        <f ca="1">IFERROR(__xludf.DUMMYFUNCTION("""COMPUTED_VALUE"""),"Health &amp; Medical Sciences")</f>
        <v>Health &amp; Medical Sciences</v>
      </c>
      <c r="AC13" t="str">
        <f ca="1">IFERROR(__xludf.DUMMYFUNCTION("""COMPUTED_VALUE"""),"Any")</f>
        <v>Any</v>
      </c>
      <c r="AD13" s="448"/>
      <c r="AE13" s="464" t="str">
        <f ca="1">IFERROR(__xludf.DUMMYFUNCTION("""COMPUTED_VALUE"""),"Digital Journalism")</f>
        <v>Digital Journalism</v>
      </c>
      <c r="AF13" t="str">
        <f ca="1">IFERROR(__xludf.DUMMYFUNCTION("""COMPUTED_VALUE"""),"Humanities, Literature &amp; Arts")</f>
        <v>Humanities, Literature &amp; Arts</v>
      </c>
      <c r="AG13" t="str">
        <f ca="1">IFERROR(__xludf.DUMMYFUNCTION("""COMPUTED_VALUE"""),"No preprint policy")</f>
        <v>No preprint policy</v>
      </c>
      <c r="AH13" s="448"/>
      <c r="AI13" s="464" t="str">
        <f ca="1">IFERROR(__xludf.DUMMYFUNCTION("""COMPUTED_VALUE"""),"Cell Metabolism")</f>
        <v>Cell Metabolism</v>
      </c>
      <c r="AJ13" t="str">
        <f ca="1">IFERROR(__xludf.DUMMYFUNCTION("""COMPUTED_VALUE"""),"Life Sciences &amp; Earth Sciences")</f>
        <v>Life Sciences &amp; Earth Sciences</v>
      </c>
      <c r="AK13" t="str">
        <f ca="1">IFERROR(__xludf.DUMMYFUNCTION("""COMPUTED_VALUE"""),"First submission only (before peer review)")</f>
        <v>First submission only (before peer review)</v>
      </c>
      <c r="AL13" s="448"/>
      <c r="AM13" t="str">
        <f ca="1">IFERROR(__xludf.DUMMYFUNCTION("""COMPUTED_VALUE"""),"Geophysical Research Letters")</f>
        <v>Geophysical Research Letters</v>
      </c>
      <c r="AN13" t="str">
        <f ca="1">IFERROR(__xludf.DUMMYFUNCTION("""COMPUTED_VALUE"""),"Physics &amp; Mathematics")</f>
        <v>Physics &amp; Mathematics</v>
      </c>
      <c r="AO13" t="str">
        <f ca="1">IFERROR(__xludf.DUMMYFUNCTION("""COMPUTED_VALUE"""),"After peer review (but not final, copyedited version)")</f>
        <v>After peer review (but not final, copyedited version)</v>
      </c>
      <c r="AP13" s="448"/>
      <c r="AQ13" t="str">
        <f ca="1">IFERROR(__xludf.DUMMYFUNCTION("""COMPUTED_VALUE"""),"American Journal of Political Science")</f>
        <v>American Journal of Political Science</v>
      </c>
      <c r="AR13" t="str">
        <f ca="1">IFERROR(__xludf.DUMMYFUNCTION("""COMPUTED_VALUE"""),"Social Sciences")</f>
        <v>Social Sciences</v>
      </c>
      <c r="AS13" t="str">
        <f ca="1">IFERROR(__xludf.DUMMYFUNCTION("""COMPUTED_VALUE"""),"After peer review (but not final, copyedited version)")</f>
        <v>After peer review (but not final, copyedited version)</v>
      </c>
    </row>
    <row r="14" spans="1:46" ht="15.75" customHeight="1">
      <c r="A14" s="462"/>
      <c r="B14" s="462"/>
      <c r="C14" t="str">
        <f ca="1">Filtered!I4</f>
        <v>Accounts of Chemical Research</v>
      </c>
      <c r="D14" t="str">
        <f ca="1">Filtered!J4</f>
        <v>Chemical &amp; Materials Sciences</v>
      </c>
      <c r="E14" t="str">
        <f ca="1">Filtered!AH4</f>
        <v>None (preprints not allowed)</v>
      </c>
      <c r="F14" t="b">
        <f t="shared" ca="1" si="9"/>
        <v>0</v>
      </c>
      <c r="G14" t="b">
        <f t="shared" ca="1" si="10"/>
        <v>1</v>
      </c>
      <c r="H14" t="b">
        <f t="shared" ca="1" si="11"/>
        <v>0</v>
      </c>
      <c r="I14" t="b">
        <f t="shared" ca="1" si="12"/>
        <v>0</v>
      </c>
      <c r="J14" t="b">
        <f t="shared" ca="1" si="13"/>
        <v>0</v>
      </c>
      <c r="K14" t="b">
        <f t="shared" ca="1" si="14"/>
        <v>0</v>
      </c>
      <c r="L14" t="b">
        <f t="shared" ca="1" si="15"/>
        <v>0</v>
      </c>
      <c r="M14" t="b">
        <f t="shared" ca="1" si="16"/>
        <v>0</v>
      </c>
      <c r="N14" s="448"/>
      <c r="O14" s="464" t="str">
        <f ca="1">IFERROR(__xludf.DUMMYFUNCTION("""COMPUTED_VALUE"""),"Econometrica")</f>
        <v>Econometrica</v>
      </c>
      <c r="P14" t="str">
        <f ca="1">IFERROR(__xludf.DUMMYFUNCTION("""COMPUTED_VALUE"""),"Business, Economics &amp; Management")</f>
        <v>Business, Economics &amp; Management</v>
      </c>
      <c r="Q14" t="str">
        <f ca="1">IFERROR(__xludf.DUMMYFUNCTION("""COMPUTED_VALUE"""),"Other (references prior publication, but not preprints specifically; ""in any case this will be decided on a case-by-case basis"")")</f>
        <v>Other (references prior publication, but not preprints specifically; "in any case this will be decided on a case-by-case basis")</v>
      </c>
      <c r="R14" s="448"/>
      <c r="S14" s="464" t="str">
        <f ca="1">IFERROR(__xludf.DUMMYFUNCTION("""COMPUTED_VALUE"""),"ACS Nano")</f>
        <v>ACS Nano</v>
      </c>
      <c r="T14" t="str">
        <f ca="1">IFERROR(__xludf.DUMMYFUNCTION("""COMPUTED_VALUE"""),"Chemical &amp; Materials Sciences, Engineering &amp; Computer Science")</f>
        <v>Chemical &amp; Materials Sciences, Engineering &amp; Computer Science</v>
      </c>
      <c r="U14" t="str">
        <f ca="1">IFERROR(__xludf.DUMMYFUNCTION("""COMPUTED_VALUE"""),"First submission only (before peer review)")</f>
        <v>First submission only (before peer review)</v>
      </c>
      <c r="V14" s="448"/>
      <c r="W14" s="464" t="str">
        <f ca="1">IFERROR(__xludf.DUMMYFUNCTION("""COMPUTED_VALUE"""),"Advanced Energy Materials")</f>
        <v>Advanced Energy Materials</v>
      </c>
      <c r="X14" t="str">
        <f ca="1">IFERROR(__xludf.DUMMYFUNCTION("""COMPUTED_VALUE"""),"Chemical &amp; Materials Sciences, Engineering &amp; Computer Science")</f>
        <v>Chemical &amp; Materials Sciences, Engineering &amp; Computer Science</v>
      </c>
      <c r="Y14" t="str">
        <f ca="1">IFERROR(__xludf.DUMMYFUNCTION("""COMPUTED_VALUE"""),"None (preprints not allowed)")</f>
        <v>None (preprints not allowed)</v>
      </c>
      <c r="Z14" s="448"/>
      <c r="AA14" s="464" t="str">
        <f ca="1">IFERROR(__xludf.DUMMYFUNCTION("""COMPUTED_VALUE"""),"Cell")</f>
        <v>Cell</v>
      </c>
      <c r="AB14" t="str">
        <f ca="1">IFERROR(__xludf.DUMMYFUNCTION("""COMPUTED_VALUE"""),"Health &amp; Medical Sciences, Life Sciences &amp; Earth Sciences")</f>
        <v>Health &amp; Medical Sciences, Life Sciences &amp; Earth Sciences</v>
      </c>
      <c r="AC14" t="str">
        <f ca="1">IFERROR(__xludf.DUMMYFUNCTION("""COMPUTED_VALUE"""),"First submission only (before peer review)")</f>
        <v>First submission only (before peer review)</v>
      </c>
      <c r="AD14" s="448"/>
      <c r="AE14" s="464" t="str">
        <f ca="1">IFERROR(__xludf.DUMMYFUNCTION("""COMPUTED_VALUE"""),"Gender &amp; Society")</f>
        <v>Gender &amp; Society</v>
      </c>
      <c r="AF14" t="str">
        <f ca="1">IFERROR(__xludf.DUMMYFUNCTION("""COMPUTED_VALUE"""),"Humanities, Literature &amp; Arts")</f>
        <v>Humanities, Literature &amp; Arts</v>
      </c>
      <c r="AG14" t="str">
        <f ca="1">IFERROR(__xludf.DUMMYFUNCTION("""COMPUTED_VALUE"""),"After peer review (but not final, copyedited version)")</f>
        <v>After peer review (but not final, copyedited version)</v>
      </c>
      <c r="AH14" s="448"/>
      <c r="AI14" s="464" t="str">
        <f ca="1">IFERROR(__xludf.DUMMYFUNCTION("""COMPUTED_VALUE"""),"Cell Stem Cell")</f>
        <v>Cell Stem Cell</v>
      </c>
      <c r="AJ14" t="str">
        <f ca="1">IFERROR(__xludf.DUMMYFUNCTION("""COMPUTED_VALUE"""),"Life Sciences &amp; Earth Sciences")</f>
        <v>Life Sciences &amp; Earth Sciences</v>
      </c>
      <c r="AK14" t="str">
        <f ca="1">IFERROR(__xludf.DUMMYFUNCTION("""COMPUTED_VALUE"""),"First submission only (before peer review)")</f>
        <v>First submission only (before peer review)</v>
      </c>
      <c r="AL14" s="448"/>
      <c r="AM14" t="str">
        <f ca="1">IFERROR(__xludf.DUMMYFUNCTION("""COMPUTED_VALUE"""),"IEEE Transactions on Automatic Control")</f>
        <v>IEEE Transactions on Automatic Control</v>
      </c>
      <c r="AN14" t="str">
        <f ca="1">IFERROR(__xludf.DUMMYFUNCTION("""COMPUTED_VALUE"""),"Physics &amp; Mathematics")</f>
        <v>Physics &amp; Mathematics</v>
      </c>
      <c r="AO14" t="str">
        <f ca="1">IFERROR(__xludf.DUMMYFUNCTION("""COMPUTED_VALUE"""),"First submission only (before peer review)")</f>
        <v>First submission only (before peer review)</v>
      </c>
      <c r="AP14" s="448"/>
      <c r="AQ14" t="str">
        <f ca="1">IFERROR(__xludf.DUMMYFUNCTION("""COMPUTED_VALUE"""),"American Journal of Public Health")</f>
        <v>American Journal of Public Health</v>
      </c>
      <c r="AR14" t="str">
        <f ca="1">IFERROR(__xludf.DUMMYFUNCTION("""COMPUTED_VALUE"""),"Social Sciences")</f>
        <v>Social Sciences</v>
      </c>
      <c r="AS14" t="str">
        <f ca="1">IFERROR(__xludf.DUMMYFUNCTION("""COMPUTED_VALUE"""),"No preprint policy")</f>
        <v>No preprint policy</v>
      </c>
    </row>
    <row r="15" spans="1:46" ht="15.75" customHeight="1">
      <c r="A15" s="462"/>
      <c r="B15" s="462"/>
      <c r="C15" t="str">
        <f ca="1">Filtered!I5</f>
        <v>ACS Catalysis</v>
      </c>
      <c r="D15" t="str">
        <f ca="1">Filtered!J5</f>
        <v/>
      </c>
      <c r="E15" t="str">
        <f ca="1">Filtered!AH5</f>
        <v xml:space="preserve"> First submission only (before peer review)</v>
      </c>
      <c r="F15" t="b">
        <f t="shared" ca="1" si="9"/>
        <v>0</v>
      </c>
      <c r="G15" t="b">
        <f t="shared" ca="1" si="10"/>
        <v>0</v>
      </c>
      <c r="H15" t="b">
        <f t="shared" ca="1" si="11"/>
        <v>0</v>
      </c>
      <c r="I15" t="b">
        <f t="shared" ca="1" si="12"/>
        <v>0</v>
      </c>
      <c r="J15" t="b">
        <f t="shared" ca="1" si="13"/>
        <v>0</v>
      </c>
      <c r="K15" t="b">
        <f t="shared" ca="1" si="14"/>
        <v>0</v>
      </c>
      <c r="L15" t="b">
        <f t="shared" ca="1" si="15"/>
        <v>0</v>
      </c>
      <c r="M15" t="b">
        <f t="shared" ca="1" si="16"/>
        <v>0</v>
      </c>
      <c r="N15" s="448"/>
      <c r="O15" s="464" t="str">
        <f ca="1">IFERROR(__xludf.DUMMYFUNCTION("""COMPUTED_VALUE"""),"International Journal of Production Economics")</f>
        <v>International Journal of Production Economics</v>
      </c>
      <c r="P15" t="str">
        <f ca="1">IFERROR(__xludf.DUMMYFUNCTION("""COMPUTED_VALUE"""),"Business, Economics &amp; Management")</f>
        <v>Business, Economics &amp; Management</v>
      </c>
      <c r="Q15" t="str">
        <f ca="1">IFERROR(__xludf.DUMMYFUNCTION("""COMPUTED_VALUE"""),"Unsure (preprints are allowed, but it's not clear what version)")</f>
        <v>Unsure (preprints are allowed, but it's not clear what version)</v>
      </c>
      <c r="R15" s="448"/>
      <c r="S15" s="464" t="str">
        <f ca="1">IFERROR(__xludf.DUMMYFUNCTION("""COMPUTED_VALUE"""),"Advanced Energy Materials")</f>
        <v>Advanced Energy Materials</v>
      </c>
      <c r="T15" t="str">
        <f ca="1">IFERROR(__xludf.DUMMYFUNCTION("""COMPUTED_VALUE"""),"Chemical &amp; Materials Sciences, Engineering &amp; Computer Science")</f>
        <v>Chemical &amp; Materials Sciences, Engineering &amp; Computer Science</v>
      </c>
      <c r="U15" t="str">
        <f ca="1">IFERROR(__xludf.DUMMYFUNCTION("""COMPUTED_VALUE"""),"None (preprints not allowed)")</f>
        <v>None (preprints not allowed)</v>
      </c>
      <c r="V15" s="448"/>
      <c r="W15" s="464" t="str">
        <f ca="1">IFERROR(__xludf.DUMMYFUNCTION("""COMPUTED_VALUE"""),"Advanced Functional Materials")</f>
        <v>Advanced Functional Materials</v>
      </c>
      <c r="X15" t="str">
        <f ca="1">IFERROR(__xludf.DUMMYFUNCTION("""COMPUTED_VALUE"""),"Chemical &amp; Materials Sciences, Engineering &amp; Computer Science")</f>
        <v>Chemical &amp; Materials Sciences, Engineering &amp; Computer Science</v>
      </c>
      <c r="Y15" t="str">
        <f ca="1">IFERROR(__xludf.DUMMYFUNCTION("""COMPUTED_VALUE"""),"None (preprints not allowed)")</f>
        <v>None (preprints not allowed)</v>
      </c>
      <c r="Z15" s="448"/>
      <c r="AA15" s="464" t="str">
        <f ca="1">IFERROR(__xludf.DUMMYFUNCTION("""COMPUTED_VALUE"""),"Circulation")</f>
        <v>Circulation</v>
      </c>
      <c r="AB15" t="str">
        <f ca="1">IFERROR(__xludf.DUMMYFUNCTION("""COMPUTED_VALUE"""),"Health &amp; Medical Sciences")</f>
        <v>Health &amp; Medical Sciences</v>
      </c>
      <c r="AC15" t="str">
        <f ca="1">IFERROR(__xludf.DUMMYFUNCTION("""COMPUTED_VALUE"""),"First submission only (before peer review)")</f>
        <v>First submission only (before peer review)</v>
      </c>
      <c r="AD15" s="448"/>
      <c r="AE15" s="464" t="str">
        <f ca="1">IFERROR(__xludf.DUMMYFUNCTION("""COMPUTED_VALUE"""),"International Journal of Communication")</f>
        <v>International Journal of Communication</v>
      </c>
      <c r="AF15" t="str">
        <f ca="1">IFERROR(__xludf.DUMMYFUNCTION("""COMPUTED_VALUE"""),"Humanities, Literature &amp; Arts")</f>
        <v>Humanities, Literature &amp; Arts</v>
      </c>
      <c r="AG15" t="str">
        <f ca="1">IFERROR(__xludf.DUMMYFUNCTION("""COMPUTED_VALUE"""),"No preprint policy")</f>
        <v>No preprint policy</v>
      </c>
      <c r="AH15" s="448"/>
      <c r="AI15" s="464" t="str">
        <f ca="1">IFERROR(__xludf.DUMMYFUNCTION("""COMPUTED_VALUE"""),"Environmental Science &amp; Technology")</f>
        <v>Environmental Science &amp; Technology</v>
      </c>
      <c r="AJ15" t="str">
        <f ca="1">IFERROR(__xludf.DUMMYFUNCTION("""COMPUTED_VALUE"""),"Life Sciences &amp; Earth Sciences")</f>
        <v>Life Sciences &amp; Earth Sciences</v>
      </c>
      <c r="AK15" t="str">
        <f ca="1">IFERROR(__xludf.DUMMYFUNCTION("""COMPUTED_VALUE"""),"Unsure (preprints are allowed, but it's not clear what version)")</f>
        <v>Unsure (preprints are allowed, but it's not clear what version)</v>
      </c>
      <c r="AL15" s="448"/>
      <c r="AM15" t="str">
        <f ca="1">IFERROR(__xludf.DUMMYFUNCTION("""COMPUTED_VALUE"""),"IEEE Transactions on Signal Processing")</f>
        <v>IEEE Transactions on Signal Processing</v>
      </c>
      <c r="AN15" t="str">
        <f ca="1">IFERROR(__xludf.DUMMYFUNCTION("""COMPUTED_VALUE"""),"Physics &amp; Mathematics")</f>
        <v>Physics &amp; Mathematics</v>
      </c>
      <c r="AO15" t="str">
        <f ca="1">IFERROR(__xludf.DUMMYFUNCTION("""COMPUTED_VALUE"""),"First submission only (before peer review)")</f>
        <v>First submission only (before peer review)</v>
      </c>
      <c r="AP15" s="448"/>
      <c r="AQ15" t="str">
        <f ca="1">IFERROR(__xludf.DUMMYFUNCTION("""COMPUTED_VALUE"""),"American Political Science Review")</f>
        <v>American Political Science Review</v>
      </c>
      <c r="AR15" t="str">
        <f ca="1">IFERROR(__xludf.DUMMYFUNCTION("""COMPUTED_VALUE"""),"Social Sciences")</f>
        <v>Social Sciences</v>
      </c>
      <c r="AS15" t="str">
        <f ca="1">IFERROR(__xludf.DUMMYFUNCTION("""COMPUTED_VALUE"""),"Unsure")</f>
        <v>Unsure</v>
      </c>
    </row>
    <row r="16" spans="1:46" ht="15.75" customHeight="1">
      <c r="A16" s="462"/>
      <c r="B16" s="462"/>
      <c r="C16" t="str">
        <f ca="1">Filtered!I6</f>
        <v>Academy of Management Journal</v>
      </c>
      <c r="D16" t="str">
        <f ca="1">Filtered!J6</f>
        <v>Business, Economics &amp; Management</v>
      </c>
      <c r="E16" t="str">
        <f ca="1">Filtered!AH6</f>
        <v>None</v>
      </c>
      <c r="F16" t="b">
        <f t="shared" ca="1" si="9"/>
        <v>1</v>
      </c>
      <c r="G16" t="b">
        <f t="shared" ca="1" si="10"/>
        <v>0</v>
      </c>
      <c r="H16" t="b">
        <f t="shared" ca="1" si="11"/>
        <v>0</v>
      </c>
      <c r="I16" t="b">
        <f t="shared" ca="1" si="12"/>
        <v>0</v>
      </c>
      <c r="J16" t="b">
        <f t="shared" ca="1" si="13"/>
        <v>0</v>
      </c>
      <c r="K16" t="b">
        <f t="shared" ca="1" si="14"/>
        <v>0</v>
      </c>
      <c r="L16" t="b">
        <f t="shared" ca="1" si="15"/>
        <v>0</v>
      </c>
      <c r="M16" t="b">
        <f t="shared" ca="1" si="16"/>
        <v>0</v>
      </c>
      <c r="N16" s="448"/>
      <c r="O16" s="464" t="str">
        <f ca="1">IFERROR(__xludf.DUMMYFUNCTION("""COMPUTED_VALUE"""),"Journal of Banking &amp; Finance")</f>
        <v>Journal of Banking &amp; Finance</v>
      </c>
      <c r="P16" t="str">
        <f ca="1">IFERROR(__xludf.DUMMYFUNCTION("""COMPUTED_VALUE"""),"Business, Economics &amp; Management")</f>
        <v>Business, Economics &amp; Management</v>
      </c>
      <c r="Q16" t="str">
        <f ca="1">IFERROR(__xludf.DUMMYFUNCTION("""COMPUTED_VALUE"""),"No preprint policy")</f>
        <v>No preprint policy</v>
      </c>
      <c r="R16" s="448"/>
      <c r="S16" s="464" t="str">
        <f ca="1">IFERROR(__xludf.DUMMYFUNCTION("""COMPUTED_VALUE"""),"Advanced Functional Materials")</f>
        <v>Advanced Functional Materials</v>
      </c>
      <c r="T16" t="str">
        <f ca="1">IFERROR(__xludf.DUMMYFUNCTION("""COMPUTED_VALUE"""),"Chemical &amp; Materials Sciences, Engineering &amp; Computer Science")</f>
        <v>Chemical &amp; Materials Sciences, Engineering &amp; Computer Science</v>
      </c>
      <c r="U16" t="str">
        <f ca="1">IFERROR(__xludf.DUMMYFUNCTION("""COMPUTED_VALUE"""),"None (preprints not allowed)")</f>
        <v>None (preprints not allowed)</v>
      </c>
      <c r="V16" s="448"/>
      <c r="W16" s="464" t="str">
        <f ca="1">IFERROR(__xludf.DUMMYFUNCTION("""COMPUTED_VALUE"""),"Advanced Materials")</f>
        <v>Advanced Materials</v>
      </c>
      <c r="X16" t="str">
        <f ca="1">IFERROR(__xludf.DUMMYFUNCTION("""COMPUTED_VALUE"""),"Chemical &amp; Materials Sciences, Engineering &amp; Computer Science")</f>
        <v>Chemical &amp; Materials Sciences, Engineering &amp; Computer Science</v>
      </c>
      <c r="Y16" t="str">
        <f ca="1">IFERROR(__xludf.DUMMYFUNCTION("""COMPUTED_VALUE"""),"None (preprints not allowed(")</f>
        <v>None (preprints not allowed(</v>
      </c>
      <c r="Z16" s="448"/>
      <c r="AA16" s="464" t="str">
        <f ca="1">IFERROR(__xludf.DUMMYFUNCTION("""COMPUTED_VALUE"""),"European Heart Journal")</f>
        <v>European Heart Journal</v>
      </c>
      <c r="AB16" t="str">
        <f ca="1">IFERROR(__xludf.DUMMYFUNCTION("""COMPUTED_VALUE"""),"Health &amp; Medical Sciences")</f>
        <v>Health &amp; Medical Sciences</v>
      </c>
      <c r="AC16" t="str">
        <f ca="1">IFERROR(__xludf.DUMMYFUNCTION("""COMPUTED_VALUE"""),"First submission only (before peer review)")</f>
        <v>First submission only (before peer review)</v>
      </c>
      <c r="AD16" s="448"/>
      <c r="AE16" s="464" t="str">
        <f ca="1">IFERROR(__xludf.DUMMYFUNCTION("""COMPUTED_VALUE"""),"Journal of Communication")</f>
        <v>Journal of Communication</v>
      </c>
      <c r="AF16" t="str">
        <f ca="1">IFERROR(__xludf.DUMMYFUNCTION("""COMPUTED_VALUE"""),"Humanities, Literature &amp; Arts")</f>
        <v>Humanities, Literature &amp; Arts</v>
      </c>
      <c r="AG16" t="str">
        <f ca="1">IFERROR(__xludf.DUMMYFUNCTION("""COMPUTED_VALUE"""),"First submission only (before peer review)")</f>
        <v>First submission only (before peer review)</v>
      </c>
      <c r="AH16" s="448"/>
      <c r="AI16" s="464" t="str">
        <f ca="1">IFERROR(__xludf.DUMMYFUNCTION("""COMPUTED_VALUE"""),"Molecular Cell")</f>
        <v>Molecular Cell</v>
      </c>
      <c r="AJ16" t="str">
        <f ca="1">IFERROR(__xludf.DUMMYFUNCTION("""COMPUTED_VALUE"""),"Life Sciences &amp; Earth Sciences")</f>
        <v>Life Sciences &amp; Earth Sciences</v>
      </c>
      <c r="AK16" t="str">
        <f ca="1">IFERROR(__xludf.DUMMYFUNCTION("""COMPUTED_VALUE"""),"First submission only (before peer review)")</f>
        <v>First submission only (before peer review)</v>
      </c>
      <c r="AL16" s="448"/>
      <c r="AM16" t="str">
        <f ca="1">IFERROR(__xludf.DUMMYFUNCTION("""COMPUTED_VALUE"""),"Journal of Cosmology and Astroparticle Physics")</f>
        <v>Journal of Cosmology and Astroparticle Physics</v>
      </c>
      <c r="AN16" t="str">
        <f ca="1">IFERROR(__xludf.DUMMYFUNCTION("""COMPUTED_VALUE"""),"Physics &amp; Mathematics")</f>
        <v>Physics &amp; Mathematics</v>
      </c>
      <c r="AO16" t="str">
        <f ca="1">IFERROR(__xludf.DUMMYFUNCTION("""COMPUTED_VALUE"""),"Any")</f>
        <v>Any</v>
      </c>
      <c r="AP16" s="448"/>
      <c r="AQ16" t="str">
        <f ca="1">IFERROR(__xludf.DUMMYFUNCTION("""COMPUTED_VALUE"""),"American Sociological Review")</f>
        <v>American Sociological Review</v>
      </c>
      <c r="AR16" t="str">
        <f ca="1">IFERROR(__xludf.DUMMYFUNCTION("""COMPUTED_VALUE"""),"Social Sciences")</f>
        <v>Social Sciences</v>
      </c>
      <c r="AS16" t="str">
        <f ca="1">IFERROR(__xludf.DUMMYFUNCTION("""COMPUTED_VALUE"""),"First submission only (before peer review)")</f>
        <v>First submission only (before peer review)</v>
      </c>
    </row>
    <row r="17" spans="1:45" ht="15.75" customHeight="1">
      <c r="A17" s="462"/>
      <c r="B17" s="462"/>
      <c r="C17" t="str">
        <f ca="1">Filtered!I7</f>
        <v>ACS Nano</v>
      </c>
      <c r="D17" t="str">
        <f ca="1">Filtered!J7</f>
        <v>Chemical &amp; Materials Sciences, Engineering &amp; Computer Science</v>
      </c>
      <c r="E17" t="str">
        <f ca="1">Filtered!AH7</f>
        <v>First submission only (before peer review)</v>
      </c>
      <c r="F17" t="b">
        <f t="shared" ca="1" si="9"/>
        <v>0</v>
      </c>
      <c r="G17" t="b">
        <f t="shared" ca="1" si="10"/>
        <v>1</v>
      </c>
      <c r="H17" t="b">
        <f t="shared" ca="1" si="11"/>
        <v>1</v>
      </c>
      <c r="I17" t="b">
        <f t="shared" ca="1" si="12"/>
        <v>0</v>
      </c>
      <c r="J17" t="b">
        <f t="shared" ca="1" si="13"/>
        <v>0</v>
      </c>
      <c r="K17" t="b">
        <f t="shared" ca="1" si="14"/>
        <v>0</v>
      </c>
      <c r="L17" t="b">
        <f t="shared" ca="1" si="15"/>
        <v>0</v>
      </c>
      <c r="M17" t="b">
        <f t="shared" ca="1" si="16"/>
        <v>0</v>
      </c>
      <c r="N17" s="448"/>
      <c r="O17" s="464" t="str">
        <f ca="1">IFERROR(__xludf.DUMMYFUNCTION("""COMPUTED_VALUE"""),"Journal of Business Ethics")</f>
        <v>Journal of Business Ethics</v>
      </c>
      <c r="P17" t="str">
        <f ca="1">IFERROR(__xludf.DUMMYFUNCTION("""COMPUTED_VALUE"""),"Business, Economics &amp; Management,
Social Sciences")</f>
        <v>Business, Economics &amp; Management,
Social Sciences</v>
      </c>
      <c r="Q17" t="str">
        <f ca="1">IFERROR(__xludf.DUMMYFUNCTION("""COMPUTED_VALUE"""),"No preprint policy")</f>
        <v>No preprint policy</v>
      </c>
      <c r="R17" s="448"/>
      <c r="S17" s="464" t="str">
        <f ca="1">IFERROR(__xludf.DUMMYFUNCTION("""COMPUTED_VALUE"""),"Advanced Materials")</f>
        <v>Advanced Materials</v>
      </c>
      <c r="T17" t="str">
        <f ca="1">IFERROR(__xludf.DUMMYFUNCTION("""COMPUTED_VALUE"""),"Chemical &amp; Materials Sciences, Engineering &amp; Computer Science")</f>
        <v>Chemical &amp; Materials Sciences, Engineering &amp; Computer Science</v>
      </c>
      <c r="U17" t="str">
        <f ca="1">IFERROR(__xludf.DUMMYFUNCTION("""COMPUTED_VALUE"""),"None (preprints not allowed(")</f>
        <v>None (preprints not allowed(</v>
      </c>
      <c r="V17" s="448"/>
      <c r="W17" s="464" t="str">
        <f ca="1">IFERROR(__xludf.DUMMYFUNCTION("""COMPUTED_VALUE"""),"Chemistry of Materials")</f>
        <v>Chemistry of Materials</v>
      </c>
      <c r="X17" t="str">
        <f ca="1">IFERROR(__xludf.DUMMYFUNCTION("""COMPUTED_VALUE"""),"Chemical &amp; Materials Sciences,
Engineering &amp; Computer Science")</f>
        <v>Chemical &amp; Materials Sciences,
Engineering &amp; Computer Science</v>
      </c>
      <c r="Y17" t="str">
        <f ca="1">IFERROR(__xludf.DUMMYFUNCTION("""COMPUTED_VALUE"""),"First submission only (before peer review)")</f>
        <v>First submission only (before peer review)</v>
      </c>
      <c r="Z17" s="448"/>
      <c r="AA17" s="464" t="str">
        <f ca="1">IFERROR(__xludf.DUMMYFUNCTION("""COMPUTED_VALUE"""),"Gastroenterology")</f>
        <v>Gastroenterology</v>
      </c>
      <c r="AB17" t="str">
        <f ca="1">IFERROR(__xludf.DUMMYFUNCTION("""COMPUTED_VALUE"""),"Health &amp; Medical Sciences")</f>
        <v>Health &amp; Medical Sciences</v>
      </c>
      <c r="AC17" t="str">
        <f ca="1">IFERROR(__xludf.DUMMYFUNCTION("""COMPUTED_VALUE"""),"No preprint policy")</f>
        <v>No preprint policy</v>
      </c>
      <c r="AD17" s="448"/>
      <c r="AE17" s="464" t="str">
        <f ca="1">IFERROR(__xludf.DUMMYFUNCTION("""COMPUTED_VALUE"""),"Journal of Pragmatics")</f>
        <v>Journal of Pragmatics</v>
      </c>
      <c r="AF17" t="str">
        <f ca="1">IFERROR(__xludf.DUMMYFUNCTION("""COMPUTED_VALUE"""),"Humanities, Literature &amp; Arts")</f>
        <v>Humanities, Literature &amp; Arts</v>
      </c>
      <c r="AG17" t="str">
        <f ca="1">IFERROR(__xludf.DUMMYFUNCTION("""COMPUTED_VALUE"""),"After peer review (but not final, copyedited version)")</f>
        <v>After peer review (but not final, copyedited version)</v>
      </c>
      <c r="AH17" s="448"/>
      <c r="AI17" s="464" t="str">
        <f ca="1">IFERROR(__xludf.DUMMYFUNCTION("""COMPUTED_VALUE"""),"Nature")</f>
        <v>Nature</v>
      </c>
      <c r="AJ17" t="str">
        <f ca="1">IFERROR(__xludf.DUMMYFUNCTION("""COMPUTED_VALUE"""),"Life Sciences &amp; Earth Sciences")</f>
        <v>Life Sciences &amp; Earth Sciences</v>
      </c>
      <c r="AK17" t="str">
        <f ca="1">IFERROR(__xludf.DUMMYFUNCTION("""COMPUTED_VALUE"""),"First submission only (before peer review)")</f>
        <v>First submission only (before peer review)</v>
      </c>
      <c r="AL17" s="448"/>
      <c r="AM17" t="str">
        <f ca="1">IFERROR(__xludf.DUMMYFUNCTION("""COMPUTED_VALUE"""),"Journal of Geophysical Research")</f>
        <v>Journal of Geophysical Research</v>
      </c>
      <c r="AN17" t="str">
        <f ca="1">IFERROR(__xludf.DUMMYFUNCTION("""COMPUTED_VALUE"""),"Physics &amp; Mathematics")</f>
        <v>Physics &amp; Mathematics</v>
      </c>
      <c r="AO17" t="str">
        <f ca="1">IFERROR(__xludf.DUMMYFUNCTION("""COMPUTED_VALUE"""),"After peer review (but not final, copyedited version)")</f>
        <v>After peer review (but not final, copyedited version)</v>
      </c>
      <c r="AP17" s="448"/>
      <c r="AQ17" t="str">
        <f ca="1">IFERROR(__xludf.DUMMYFUNCTION("""COMPUTED_VALUE"""),"Annals of Tourism Research")</f>
        <v>Annals of Tourism Research</v>
      </c>
      <c r="AR17" t="str">
        <f ca="1">IFERROR(__xludf.DUMMYFUNCTION("""COMPUTED_VALUE"""),"Social Sciences")</f>
        <v>Social Sciences</v>
      </c>
      <c r="AS17" t="str">
        <f ca="1">IFERROR(__xludf.DUMMYFUNCTION("""COMPUTED_VALUE"""),"Any")</f>
        <v>Any</v>
      </c>
    </row>
    <row r="18" spans="1:45" ht="15.75" customHeight="1">
      <c r="A18" s="462"/>
      <c r="B18" s="462"/>
      <c r="C18" t="str">
        <f ca="1">Filtered!I8</f>
        <v>Advanced Energy Materials</v>
      </c>
      <c r="D18" t="str">
        <f ca="1">Filtered!J8</f>
        <v>Chemical &amp; Materials Sciences, Engineering &amp; Computer Science</v>
      </c>
      <c r="E18" t="str">
        <f ca="1">Filtered!AH8</f>
        <v>None (preprints not allowed)</v>
      </c>
      <c r="F18" t="b">
        <f t="shared" ca="1" si="9"/>
        <v>0</v>
      </c>
      <c r="G18" t="b">
        <f t="shared" ca="1" si="10"/>
        <v>1</v>
      </c>
      <c r="H18" t="b">
        <f t="shared" ca="1" si="11"/>
        <v>1</v>
      </c>
      <c r="I18" t="b">
        <f t="shared" ca="1" si="12"/>
        <v>0</v>
      </c>
      <c r="J18" t="b">
        <f t="shared" ca="1" si="13"/>
        <v>0</v>
      </c>
      <c r="K18" t="b">
        <f t="shared" ca="1" si="14"/>
        <v>0</v>
      </c>
      <c r="L18" t="b">
        <f t="shared" ca="1" si="15"/>
        <v>0</v>
      </c>
      <c r="M18" t="b">
        <f t="shared" ca="1" si="16"/>
        <v>0</v>
      </c>
      <c r="N18" s="448"/>
      <c r="O18" s="464" t="str">
        <f ca="1">IFERROR(__xludf.DUMMYFUNCTION("""COMPUTED_VALUE"""),"Journal of Business Research")</f>
        <v>Journal of Business Research</v>
      </c>
      <c r="P18" t="str">
        <f ca="1">IFERROR(__xludf.DUMMYFUNCTION("""COMPUTED_VALUE"""),"Business, Economics &amp; Management")</f>
        <v>Business, Economics &amp; Management</v>
      </c>
      <c r="Q18" t="str">
        <f ca="1">IFERROR(__xludf.DUMMYFUNCTION("""COMPUTED_VALUE"""),"Unsure")</f>
        <v>Unsure</v>
      </c>
      <c r="R18" s="448"/>
      <c r="S18" s="464" t="str">
        <f ca="1">IFERROR(__xludf.DUMMYFUNCTION("""COMPUTED_VALUE"""),"Angewandte Chemie International Edition")</f>
        <v>Angewandte Chemie International Edition</v>
      </c>
      <c r="T18" t="str">
        <f ca="1">IFERROR(__xludf.DUMMYFUNCTION("""COMPUTED_VALUE"""),"Chemical &amp; Materials Sciences")</f>
        <v>Chemical &amp; Materials Sciences</v>
      </c>
      <c r="U18" t="str">
        <f ca="1">IFERROR(__xludf.DUMMYFUNCTION("""COMPUTED_VALUE"""),"First submission only (before peer review)")</f>
        <v>First submission only (before peer review)</v>
      </c>
      <c r="V18" s="448"/>
      <c r="W18" s="464" t="str">
        <f ca="1">IFERROR(__xludf.DUMMYFUNCTION("""COMPUTED_VALUE"""),"Energy and Environmental Science")</f>
        <v>Energy and Environmental Science</v>
      </c>
      <c r="X18" t="str">
        <f ca="1">IFERROR(__xludf.DUMMYFUNCTION("""COMPUTED_VALUE"""),"Chemical &amp; Materials Sciences, Engineering &amp; Computer Science")</f>
        <v>Chemical &amp; Materials Sciences, Engineering &amp; Computer Science</v>
      </c>
      <c r="Y18" t="str">
        <f ca="1">IFERROR(__xludf.DUMMYFUNCTION("""COMPUTED_VALUE"""),"First submission only (before peer review)")</f>
        <v>First submission only (before peer review)</v>
      </c>
      <c r="Z18" s="448"/>
      <c r="AA18" s="464" t="str">
        <f ca="1">IFERROR(__xludf.DUMMYFUNCTION("""COMPUTED_VALUE"""),"Immunity")</f>
        <v>Immunity</v>
      </c>
      <c r="AB18" t="str">
        <f ca="1">IFERROR(__xludf.DUMMYFUNCTION("""COMPUTED_VALUE"""),"Health &amp; Medical Sciences")</f>
        <v>Health &amp; Medical Sciences</v>
      </c>
      <c r="AC18" t="str">
        <f ca="1">IFERROR(__xludf.DUMMYFUNCTION("""COMPUTED_VALUE"""),"First submission only (before peer review)")</f>
        <v>First submission only (before peer review)</v>
      </c>
      <c r="AD18" s="448"/>
      <c r="AE18" s="464" t="str">
        <f ca="1">IFERROR(__xludf.DUMMYFUNCTION("""COMPUTED_VALUE"""),"Journalism")</f>
        <v>Journalism</v>
      </c>
      <c r="AF18" t="str">
        <f ca="1">IFERROR(__xludf.DUMMYFUNCTION("""COMPUTED_VALUE"""),"Humanities, Literature &amp; Arts")</f>
        <v>Humanities, Literature &amp; Arts</v>
      </c>
      <c r="AG18" t="str">
        <f ca="1">IFERROR(__xludf.DUMMYFUNCTION("""COMPUTED_VALUE"""),"First submission only (before peer review)")</f>
        <v>First submission only (before peer review)</v>
      </c>
      <c r="AH18" s="448"/>
      <c r="AI18" s="464" t="str">
        <f ca="1">IFERROR(__xludf.DUMMYFUNCTION("""COMPUTED_VALUE"""),"Nature Biotechnology")</f>
        <v>Nature Biotechnology</v>
      </c>
      <c r="AJ18" t="str">
        <f ca="1">IFERROR(__xludf.DUMMYFUNCTION("""COMPUTED_VALUE"""),"Life Sciences &amp; Earth Sciences")</f>
        <v>Life Sciences &amp; Earth Sciences</v>
      </c>
      <c r="AK18" t="str">
        <f ca="1">IFERROR(__xludf.DUMMYFUNCTION("""COMPUTED_VALUE"""),"First submission only (before peer review)")</f>
        <v>First submission only (before peer review)</v>
      </c>
      <c r="AL18" s="448"/>
      <c r="AM18" t="str">
        <f ca="1">IFERROR(__xludf.DUMMYFUNCTION("""COMPUTED_VALUE"""),"Journal of High Energy Physics")</f>
        <v>Journal of High Energy Physics</v>
      </c>
      <c r="AN18" t="str">
        <f ca="1">IFERROR(__xludf.DUMMYFUNCTION("""COMPUTED_VALUE"""),"Physics &amp; Mathematics")</f>
        <v>Physics &amp; Mathematics</v>
      </c>
      <c r="AO18" t="str">
        <f ca="1">IFERROR(__xludf.DUMMYFUNCTION("""COMPUTED_VALUE"""),"Any")</f>
        <v>Any</v>
      </c>
      <c r="AP18" s="448"/>
      <c r="AQ18" t="str">
        <f ca="1">IFERROR(__xludf.DUMMYFUNCTION("""COMPUTED_VALUE"""),"Global Environmental Change")</f>
        <v>Global Environmental Change</v>
      </c>
      <c r="AR18" t="str">
        <f ca="1">IFERROR(__xludf.DUMMYFUNCTION("""COMPUTED_VALUE"""),"Social Sciences")</f>
        <v>Social Sciences</v>
      </c>
      <c r="AS18" t="str">
        <f ca="1">IFERROR(__xludf.DUMMYFUNCTION("""COMPUTED_VALUE"""),"Unsure (preprints are allowed, but it's not clear what version) - accepted version can be posted to arXiv &amp; RePEc")</f>
        <v>Unsure (preprints are allowed, but it's not clear what version) - accepted version can be posted to arXiv &amp; RePEc</v>
      </c>
    </row>
    <row r="19" spans="1:45" ht="15.75" customHeight="1">
      <c r="A19" s="462"/>
      <c r="B19" s="462"/>
      <c r="C19" t="str">
        <f ca="1">Filtered!I9</f>
        <v>Advanced Functional Materials</v>
      </c>
      <c r="D19" t="str">
        <f ca="1">Filtered!J9</f>
        <v>Chemical &amp; Materials Sciences, Engineering &amp; Computer Science</v>
      </c>
      <c r="E19" t="str">
        <f ca="1">Filtered!AH9</f>
        <v>None (preprints not allowed)</v>
      </c>
      <c r="F19" t="b">
        <f t="shared" ca="1" si="9"/>
        <v>0</v>
      </c>
      <c r="G19" t="b">
        <f t="shared" ca="1" si="10"/>
        <v>1</v>
      </c>
      <c r="H19" t="b">
        <f t="shared" ca="1" si="11"/>
        <v>1</v>
      </c>
      <c r="I19" t="b">
        <f t="shared" ca="1" si="12"/>
        <v>0</v>
      </c>
      <c r="J19" t="b">
        <f t="shared" ca="1" si="13"/>
        <v>0</v>
      </c>
      <c r="K19" t="b">
        <f t="shared" ca="1" si="14"/>
        <v>0</v>
      </c>
      <c r="L19" t="b">
        <f t="shared" ca="1" si="15"/>
        <v>0</v>
      </c>
      <c r="M19" t="b">
        <f t="shared" ca="1" si="16"/>
        <v>0</v>
      </c>
      <c r="N19" s="448"/>
      <c r="O19" s="464" t="str">
        <f ca="1">IFERROR(__xludf.DUMMYFUNCTION("""COMPUTED_VALUE"""),"Journal of Economic Perspectives")</f>
        <v>Journal of Economic Perspectives</v>
      </c>
      <c r="P19" t="str">
        <f ca="1">IFERROR(__xludf.DUMMYFUNCTION("""COMPUTED_VALUE"""),"Business, Economics &amp; Management")</f>
        <v>Business, Economics &amp; Management</v>
      </c>
      <c r="Q19" t="str">
        <f ca="1">IFERROR(__xludf.DUMMYFUNCTION("""COMPUTED_VALUE"""),"No preprint policy")</f>
        <v>No preprint policy</v>
      </c>
      <c r="R19" s="448"/>
      <c r="S19" s="464" t="str">
        <f ca="1">IFERROR(__xludf.DUMMYFUNCTION("""COMPUTED_VALUE"""),"Chemical communications (Cambridge, England)")</f>
        <v>Chemical communications (Cambridge, England)</v>
      </c>
      <c r="T19" t="str">
        <f ca="1">IFERROR(__xludf.DUMMYFUNCTION("""COMPUTED_VALUE"""),"Chemical &amp; Materials Sciences")</f>
        <v>Chemical &amp; Materials Sciences</v>
      </c>
      <c r="U19" t="str">
        <f ca="1">IFERROR(__xludf.DUMMYFUNCTION("""COMPUTED_VALUE"""),"Unsure (preprints are allowed, but it's not clear what version)")</f>
        <v>Unsure (preprints are allowed, but it's not clear what version)</v>
      </c>
      <c r="V19" s="448"/>
      <c r="W19" s="464" t="str">
        <f ca="1">IFERROR(__xludf.DUMMYFUNCTION("""COMPUTED_VALUE"""),"IEEE Communications Surveys &amp; Tutorials")</f>
        <v>IEEE Communications Surveys &amp; Tutorials</v>
      </c>
      <c r="X19" t="str">
        <f ca="1">IFERROR(__xludf.DUMMYFUNCTION("""COMPUTED_VALUE"""),"Engineering &amp; Computer Science")</f>
        <v>Engineering &amp; Computer Science</v>
      </c>
      <c r="Y19" t="str">
        <f ca="1">IFERROR(__xludf.DUMMYFUNCTION("""COMPUTED_VALUE"""),"First submission only (before peer review)")</f>
        <v>First submission only (before peer review)</v>
      </c>
      <c r="Z19" s="448"/>
      <c r="AA19" s="464" t="str">
        <f ca="1">IFERROR(__xludf.DUMMYFUNCTION("""COMPUTED_VALUE"""),"Journal of the American Medical Association")</f>
        <v>Journal of the American Medical Association</v>
      </c>
      <c r="AB19" t="str">
        <f ca="1">IFERROR(__xludf.DUMMYFUNCTION("""COMPUTED_VALUE"""),"Health &amp; Medical Sciences")</f>
        <v>Health &amp; Medical Sciences</v>
      </c>
      <c r="AC19" t="str">
        <f ca="1">IFERROR(__xludf.DUMMYFUNCTION("""COMPUTED_VALUE"""),"None (preprints not allowed)")</f>
        <v>None (preprints not allowed)</v>
      </c>
      <c r="AD19" s="448"/>
      <c r="AE19" s="464" t="str">
        <f ca="1">IFERROR(__xludf.DUMMYFUNCTION("""COMPUTED_VALUE"""),"Journalism Practice")</f>
        <v>Journalism Practice</v>
      </c>
      <c r="AF19" t="str">
        <f ca="1">IFERROR(__xludf.DUMMYFUNCTION("""COMPUTED_VALUE"""),"Humanities, Literature &amp; Arts")</f>
        <v>Humanities, Literature &amp; Arts</v>
      </c>
      <c r="AG19" t="str">
        <f ca="1">IFERROR(__xludf.DUMMYFUNCTION("""COMPUTED_VALUE"""),"No preprint policy")</f>
        <v>No preprint policy</v>
      </c>
      <c r="AH19" s="448"/>
      <c r="AI19" s="464" t="str">
        <f ca="1">IFERROR(__xludf.DUMMYFUNCTION("""COMPUTED_VALUE"""),"Nature Cell Biology")</f>
        <v>Nature Cell Biology</v>
      </c>
      <c r="AJ19" t="str">
        <f ca="1">IFERROR(__xludf.DUMMYFUNCTION("""COMPUTED_VALUE"""),"Life Sciences &amp; Earth Sciences")</f>
        <v>Life Sciences &amp; Earth Sciences</v>
      </c>
      <c r="AK19" t="str">
        <f ca="1">IFERROR(__xludf.DUMMYFUNCTION("""COMPUTED_VALUE"""),"First submission only (before peer review)")</f>
        <v>First submission only (before peer review)</v>
      </c>
      <c r="AL19" s="448"/>
      <c r="AM19" t="str">
        <f ca="1">IFERROR(__xludf.DUMMYFUNCTION("""COMPUTED_VALUE"""),"Monthly Notices of the Royal Astronomical Society")</f>
        <v>Monthly Notices of the Royal Astronomical Society</v>
      </c>
      <c r="AN19" t="str">
        <f ca="1">IFERROR(__xludf.DUMMYFUNCTION("""COMPUTED_VALUE"""),"Physics &amp; Mathematics")</f>
        <v>Physics &amp; Mathematics</v>
      </c>
      <c r="AO19" t="str">
        <f ca="1">IFERROR(__xludf.DUMMYFUNCTION("""COMPUTED_VALUE"""),"Any")</f>
        <v>Any</v>
      </c>
      <c r="AP19" s="448"/>
      <c r="AQ19" t="str">
        <f ca="1">IFERROR(__xludf.DUMMYFUNCTION("""COMPUTED_VALUE"""),"Government Information Quarterly")</f>
        <v>Government Information Quarterly</v>
      </c>
      <c r="AR19" t="str">
        <f ca="1">IFERROR(__xludf.DUMMYFUNCTION("""COMPUTED_VALUE"""),"Social Sciences")</f>
        <v>Social Sciences</v>
      </c>
      <c r="AS19" t="str">
        <f ca="1">IFERROR(__xludf.DUMMYFUNCTION("""COMPUTED_VALUE"""),"Unsure (preprints are allowed, but it's not clear what version) - accepted version can be posted to arXiv &amp; RePEc")</f>
        <v>Unsure (preprints are allowed, but it's not clear what version) - accepted version can be posted to arXiv &amp; RePEc</v>
      </c>
    </row>
    <row r="20" spans="1:45" ht="15.75" customHeight="1">
      <c r="A20" s="462"/>
      <c r="B20" s="462"/>
      <c r="C20" t="str">
        <f ca="1">Filtered!I10</f>
        <v>Advanced Materials</v>
      </c>
      <c r="D20" t="str">
        <f ca="1">Filtered!J10</f>
        <v>Chemical &amp; Materials Sciences, Engineering &amp; Computer Science</v>
      </c>
      <c r="E20" t="str">
        <f ca="1">Filtered!AH10</f>
        <v>None (preprints not allowed(</v>
      </c>
      <c r="F20" t="b">
        <f t="shared" ca="1" si="9"/>
        <v>0</v>
      </c>
      <c r="G20" t="b">
        <f t="shared" ca="1" si="10"/>
        <v>1</v>
      </c>
      <c r="H20" t="b">
        <f t="shared" ca="1" si="11"/>
        <v>1</v>
      </c>
      <c r="I20" t="b">
        <f t="shared" ca="1" si="12"/>
        <v>0</v>
      </c>
      <c r="J20" t="b">
        <f t="shared" ca="1" si="13"/>
        <v>0</v>
      </c>
      <c r="K20" t="b">
        <f t="shared" ca="1" si="14"/>
        <v>0</v>
      </c>
      <c r="L20" t="b">
        <f t="shared" ca="1" si="15"/>
        <v>0</v>
      </c>
      <c r="M20" t="b">
        <f t="shared" ca="1" si="16"/>
        <v>0</v>
      </c>
      <c r="N20" s="448"/>
      <c r="O20" s="464" t="str">
        <f ca="1">IFERROR(__xludf.DUMMYFUNCTION("""COMPUTED_VALUE"""),"Journal of Financial Economics")</f>
        <v>Journal of Financial Economics</v>
      </c>
      <c r="P20" t="str">
        <f ca="1">IFERROR(__xludf.DUMMYFUNCTION("""COMPUTED_VALUE"""),"Business, Economics &amp; Management")</f>
        <v>Business, Economics &amp; Management</v>
      </c>
      <c r="Q20" t="str">
        <f ca="1">IFERROR(__xludf.DUMMYFUNCTION("""COMPUTED_VALUE"""),"After peer review (but not final, copyedited version)")</f>
        <v>After peer review (but not final, copyedited version)</v>
      </c>
      <c r="R20" s="448"/>
      <c r="S20" s="464" t="str">
        <f ca="1">IFERROR(__xludf.DUMMYFUNCTION("""COMPUTED_VALUE"""),"Chemical Reviews")</f>
        <v>Chemical Reviews</v>
      </c>
      <c r="T20" t="str">
        <f ca="1">IFERROR(__xludf.DUMMYFUNCTION("""COMPUTED_VALUE"""),"Chemical &amp; Materials Sciences")</f>
        <v>Chemical &amp; Materials Sciences</v>
      </c>
      <c r="U20" t="str">
        <f ca="1">IFERROR(__xludf.DUMMYFUNCTION("""COMPUTED_VALUE"""),"Other")</f>
        <v>Other</v>
      </c>
      <c r="V20" s="448"/>
      <c r="W20" s="464" t="str">
        <f ca="1">IFERROR(__xludf.DUMMYFUNCTION("""COMPUTED_VALUE"""),"IEEE Conference on Computer Vision and Pattern Recognition, CVPR")</f>
        <v>IEEE Conference on Computer Vision and Pattern Recognition, CVPR</v>
      </c>
      <c r="X20" t="str">
        <f ca="1">IFERROR(__xludf.DUMMYFUNCTION("""COMPUTED_VALUE"""),"Engineering &amp; Computer Science")</f>
        <v>Engineering &amp; Computer Science</v>
      </c>
      <c r="Y20" t="str">
        <f ca="1">IFERROR(__xludf.DUMMYFUNCTION("""COMPUTED_VALUE"""),"Unsure (preprints are allowed, but it's not clear what version)")</f>
        <v>Unsure (preprints are allowed, but it's not clear what version)</v>
      </c>
      <c r="Z20" s="448"/>
      <c r="AA20" s="464" t="str">
        <f ca="1">IFERROR(__xludf.DUMMYFUNCTION("""COMPUTED_VALUE"""),"Journal of Clinical Oncology")</f>
        <v>Journal of Clinical Oncology</v>
      </c>
      <c r="AB20" t="str">
        <f ca="1">IFERROR(__xludf.DUMMYFUNCTION("""COMPUTED_VALUE"""),"Health &amp; Medical Sciences")</f>
        <v>Health &amp; Medical Sciences</v>
      </c>
      <c r="AC20" t="str">
        <f ca="1">IFERROR(__xludf.DUMMYFUNCTION("""COMPUTED_VALUE"""),"First submission only (before peer review)")</f>
        <v>First submission only (before peer review)</v>
      </c>
      <c r="AD20" s="448"/>
      <c r="AE20" s="464" t="str">
        <f ca="1">IFERROR(__xludf.DUMMYFUNCTION("""COMPUTED_VALUE"""),"Journalism Studies")</f>
        <v>Journalism Studies</v>
      </c>
      <c r="AF20" t="str">
        <f ca="1">IFERROR(__xludf.DUMMYFUNCTION("""COMPUTED_VALUE"""),"Humanities, Literature &amp; Arts")</f>
        <v>Humanities, Literature &amp; Arts</v>
      </c>
      <c r="AG20" t="str">
        <f ca="1">IFERROR(__xludf.DUMMYFUNCTION("""COMPUTED_VALUE"""),"No preprint policy")</f>
        <v>No preprint policy</v>
      </c>
      <c r="AH20" s="448"/>
      <c r="AI20" s="464" t="str">
        <f ca="1">IFERROR(__xludf.DUMMYFUNCTION("""COMPUTED_VALUE"""),"Nature Climate Change")</f>
        <v>Nature Climate Change</v>
      </c>
      <c r="AJ20" t="str">
        <f ca="1">IFERROR(__xludf.DUMMYFUNCTION("""COMPUTED_VALUE"""),"Life Sciences &amp; Earth Sciences")</f>
        <v>Life Sciences &amp; Earth Sciences</v>
      </c>
      <c r="AK20" t="str">
        <f ca="1">IFERROR(__xludf.DUMMYFUNCTION("""COMPUTED_VALUE"""),"First submission only (before peer review)")</f>
        <v>First submission only (before peer review)</v>
      </c>
      <c r="AL20" s="448"/>
      <c r="AM20" t="str">
        <f ca="1">IFERROR(__xludf.DUMMYFUNCTION("""COMPUTED_VALUE"""),"Nature Photonics")</f>
        <v>Nature Photonics</v>
      </c>
      <c r="AN20" t="str">
        <f ca="1">IFERROR(__xludf.DUMMYFUNCTION("""COMPUTED_VALUE"""),"Engineering &amp; Computer Science,
Physics &amp; Mathematics")</f>
        <v>Engineering &amp; Computer Science,
Physics &amp; Mathematics</v>
      </c>
      <c r="AO20" t="str">
        <f ca="1">IFERROR(__xludf.DUMMYFUNCTION("""COMPUTED_VALUE"""),"First submission only (before peer review)")</f>
        <v>First submission only (before peer review)</v>
      </c>
      <c r="AP20" s="448"/>
      <c r="AQ20" t="str">
        <f ca="1">IFERROR(__xludf.DUMMYFUNCTION("""COMPUTED_VALUE"""),"Health Affairs")</f>
        <v>Health Affairs</v>
      </c>
      <c r="AR20" t="str">
        <f ca="1">IFERROR(__xludf.DUMMYFUNCTION("""COMPUTED_VALUE"""),"Social Sciences")</f>
        <v>Social Sciences</v>
      </c>
      <c r="AS20" t="str">
        <f ca="1">IFERROR(__xludf.DUMMYFUNCTION("""COMPUTED_VALUE"""),"Unsure (preprints are allowed, but not sure what version)")</f>
        <v>Unsure (preprints are allowed, but not sure what version)</v>
      </c>
    </row>
    <row r="21" spans="1:45" ht="15.75" customHeight="1">
      <c r="A21" s="462"/>
      <c r="B21" s="462"/>
      <c r="C21" t="str">
        <f ca="1">Filtered!I11</f>
        <v>American Economic Review</v>
      </c>
      <c r="D21" t="str">
        <f ca="1">Filtered!J11</f>
        <v>Business, Economics &amp; Management</v>
      </c>
      <c r="E21" t="str">
        <f ca="1">Filtered!AH11</f>
        <v>Unsure (preprints are allowed, but it's not clear what version)</v>
      </c>
      <c r="F21" t="b">
        <f t="shared" ca="1" si="9"/>
        <v>1</v>
      </c>
      <c r="G21" t="b">
        <f t="shared" ca="1" si="10"/>
        <v>0</v>
      </c>
      <c r="H21" t="b">
        <f t="shared" ca="1" si="11"/>
        <v>0</v>
      </c>
      <c r="I21" t="b">
        <f t="shared" ca="1" si="12"/>
        <v>0</v>
      </c>
      <c r="J21" t="b">
        <f t="shared" ca="1" si="13"/>
        <v>0</v>
      </c>
      <c r="K21" t="b">
        <f t="shared" ca="1" si="14"/>
        <v>0</v>
      </c>
      <c r="L21" t="b">
        <f t="shared" ca="1" si="15"/>
        <v>0</v>
      </c>
      <c r="M21" t="b">
        <f t="shared" ca="1" si="16"/>
        <v>0</v>
      </c>
      <c r="N21" s="448"/>
      <c r="O21" s="464" t="str">
        <f ca="1">IFERROR(__xludf.DUMMYFUNCTION("""COMPUTED_VALUE"""),"Journal of Management")</f>
        <v>Journal of Management</v>
      </c>
      <c r="P21" t="str">
        <f ca="1">IFERROR(__xludf.DUMMYFUNCTION("""COMPUTED_VALUE"""),"Business, Economics &amp; Management")</f>
        <v>Business, Economics &amp; Management</v>
      </c>
      <c r="Q21" t="str">
        <f ca="1">IFERROR(__xludf.DUMMYFUNCTION("""COMPUTED_VALUE"""),"First submission only (before peer review)")</f>
        <v>First submission only (before peer review)</v>
      </c>
      <c r="R21" s="448"/>
      <c r="S21" s="464" t="str">
        <f ca="1">IFERROR(__xludf.DUMMYFUNCTION("""COMPUTED_VALUE"""),"Chemical Society reviews")</f>
        <v>Chemical Society reviews</v>
      </c>
      <c r="T21" t="str">
        <f ca="1">IFERROR(__xludf.DUMMYFUNCTION("""COMPUTED_VALUE"""),"Chemical &amp; Materials Sciences")</f>
        <v>Chemical &amp; Materials Sciences</v>
      </c>
      <c r="U21" t="str">
        <f ca="1">IFERROR(__xludf.DUMMYFUNCTION("""COMPUTED_VALUE"""),"First submission only (before peer review)")</f>
        <v>First submission only (before peer review)</v>
      </c>
      <c r="V21" s="448"/>
      <c r="W21" s="464" t="str">
        <f ca="1">IFERROR(__xludf.DUMMYFUNCTION("""COMPUTED_VALUE"""),"IEEE International Conference on Computer Vision")</f>
        <v>IEEE International Conference on Computer Vision</v>
      </c>
      <c r="X21" t="str">
        <f ca="1">IFERROR(__xludf.DUMMYFUNCTION("""COMPUTED_VALUE"""),"Engineering &amp; Computer Science")</f>
        <v>Engineering &amp; Computer Science</v>
      </c>
      <c r="Y21" t="str">
        <f ca="1">IFERROR(__xludf.DUMMYFUNCTION("""COMPUTED_VALUE"""),"Any")</f>
        <v>Any</v>
      </c>
      <c r="Z21" s="448"/>
      <c r="AA21" s="464" t="str">
        <f ca="1">IFERROR(__xludf.DUMMYFUNCTION("""COMPUTED_VALUE"""),"Journal of the American College of Cardiology")</f>
        <v>Journal of the American College of Cardiology</v>
      </c>
      <c r="AB21" t="str">
        <f ca="1">IFERROR(__xludf.DUMMYFUNCTION("""COMPUTED_VALUE"""),"Health &amp; Medical Sciences")</f>
        <v>Health &amp; Medical Sciences</v>
      </c>
      <c r="AC21" t="str">
        <f ca="1">IFERROR(__xludf.DUMMYFUNCTION("""COMPUTED_VALUE"""),"None (preprints are not allowed)")</f>
        <v>None (preprints are not allowed)</v>
      </c>
      <c r="AD21" s="448"/>
      <c r="AE21" s="464" t="str">
        <f ca="1">IFERROR(__xludf.DUMMYFUNCTION("""COMPUTED_VALUE"""),"Language Learning")</f>
        <v>Language Learning</v>
      </c>
      <c r="AF21" t="str">
        <f ca="1">IFERROR(__xludf.DUMMYFUNCTION("""COMPUTED_VALUE"""),"Humanities, Literature &amp; Arts")</f>
        <v>Humanities, Literature &amp; Arts</v>
      </c>
      <c r="AG21" t="str">
        <f ca="1">IFERROR(__xludf.DUMMYFUNCTION("""COMPUTED_VALUE"""),"No preprint policy")</f>
        <v>No preprint policy</v>
      </c>
      <c r="AH21" s="448"/>
      <c r="AI21" s="464" t="str">
        <f ca="1">IFERROR(__xludf.DUMMYFUNCTION("""COMPUTED_VALUE"""),"Nature Communications")</f>
        <v>Nature Communications</v>
      </c>
      <c r="AJ21" t="str">
        <f ca="1">IFERROR(__xludf.DUMMYFUNCTION("""COMPUTED_VALUE"""),"Life Sciences &amp; Earth Sciences")</f>
        <v>Life Sciences &amp; Earth Sciences</v>
      </c>
      <c r="AK21" t="str">
        <f ca="1">IFERROR(__xludf.DUMMYFUNCTION("""COMPUTED_VALUE"""),"First submission only (before peer review)")</f>
        <v>First submission only (before peer review)</v>
      </c>
      <c r="AL21" s="448"/>
      <c r="AM21" t="str">
        <f ca="1">IFERROR(__xludf.DUMMYFUNCTION("""COMPUTED_VALUE"""),"Nature Physics")</f>
        <v>Nature Physics</v>
      </c>
      <c r="AN21" t="str">
        <f ca="1">IFERROR(__xludf.DUMMYFUNCTION("""COMPUTED_VALUE"""),"Physics &amp; Mathematics")</f>
        <v>Physics &amp; Mathematics</v>
      </c>
      <c r="AO21" t="str">
        <f ca="1">IFERROR(__xludf.DUMMYFUNCTION("""COMPUTED_VALUE"""),"First submission only (before peer review)")</f>
        <v>First submission only (before peer review)</v>
      </c>
      <c r="AP21" s="448"/>
      <c r="AQ21" t="str">
        <f ca="1">IFERROR(__xludf.DUMMYFUNCTION("""COMPUTED_VALUE"""),"Journal of Business Ethics")</f>
        <v>Journal of Business Ethics</v>
      </c>
      <c r="AR21" t="str">
        <f ca="1">IFERROR(__xludf.DUMMYFUNCTION("""COMPUTED_VALUE"""),"Business, Economics &amp; Management,
Social Sciences")</f>
        <v>Business, Economics &amp; Management,
Social Sciences</v>
      </c>
      <c r="AS21" t="str">
        <f ca="1">IFERROR(__xludf.DUMMYFUNCTION("""COMPUTED_VALUE"""),"No preprint policy")</f>
        <v>No preprint policy</v>
      </c>
    </row>
    <row r="22" spans="1:45" ht="15.75" customHeight="1">
      <c r="A22" s="462"/>
      <c r="B22" s="462"/>
      <c r="C22" t="str">
        <f ca="1">Filtered!I12</f>
        <v>American Journal of Political Science</v>
      </c>
      <c r="D22" t="str">
        <f ca="1">Filtered!J12</f>
        <v>Social Sciences</v>
      </c>
      <c r="E22" t="str">
        <f ca="1">Filtered!AH12</f>
        <v>After peer review (but not final, copyedited version)</v>
      </c>
      <c r="F22" t="b">
        <f t="shared" ca="1" si="9"/>
        <v>0</v>
      </c>
      <c r="G22" t="b">
        <f t="shared" ca="1" si="10"/>
        <v>0</v>
      </c>
      <c r="H22" t="b">
        <f t="shared" ca="1" si="11"/>
        <v>0</v>
      </c>
      <c r="I22" t="b">
        <f t="shared" ca="1" si="12"/>
        <v>0</v>
      </c>
      <c r="J22" t="b">
        <f t="shared" ca="1" si="13"/>
        <v>0</v>
      </c>
      <c r="K22" t="b">
        <f t="shared" ca="1" si="14"/>
        <v>0</v>
      </c>
      <c r="L22" t="b">
        <f t="shared" ca="1" si="15"/>
        <v>0</v>
      </c>
      <c r="M22" t="b">
        <f t="shared" ca="1" si="16"/>
        <v>1</v>
      </c>
      <c r="N22" s="448"/>
      <c r="O22" s="464" t="str">
        <f ca="1">IFERROR(__xludf.DUMMYFUNCTION("""COMPUTED_VALUE"""),"Management Information Systems Quarterly")</f>
        <v>Management Information Systems Quarterly</v>
      </c>
      <c r="P22" t="str">
        <f ca="1">IFERROR(__xludf.DUMMYFUNCTION("""COMPUTED_VALUE"""),"Business, Economics &amp; Management")</f>
        <v>Business, Economics &amp; Management</v>
      </c>
      <c r="Q22" t="str">
        <f ca="1">IFERROR(__xludf.DUMMYFUNCTION("""COMPUTED_VALUE"""),"No preprint policy")</f>
        <v>No preprint policy</v>
      </c>
      <c r="R22" s="448"/>
      <c r="S22" s="464" t="str">
        <f ca="1">IFERROR(__xludf.DUMMYFUNCTION("""COMPUTED_VALUE"""),"Chemistry of Materials")</f>
        <v>Chemistry of Materials</v>
      </c>
      <c r="T22" t="str">
        <f ca="1">IFERROR(__xludf.DUMMYFUNCTION("""COMPUTED_VALUE"""),"Chemical &amp; Materials Sciences,
Engineering &amp; Computer Science")</f>
        <v>Chemical &amp; Materials Sciences,
Engineering &amp; Computer Science</v>
      </c>
      <c r="U22" t="str">
        <f ca="1">IFERROR(__xludf.DUMMYFUNCTION("""COMPUTED_VALUE"""),"First submission only (before peer review)")</f>
        <v>First submission only (before peer review)</v>
      </c>
      <c r="V22" s="448"/>
      <c r="W22" s="464" t="str">
        <f ca="1">IFERROR(__xludf.DUMMYFUNCTION("""COMPUTED_VALUE"""),"IEEE Transactions on Industrial Electronics")</f>
        <v>IEEE Transactions on Industrial Electronics</v>
      </c>
      <c r="X22" t="str">
        <f ca="1">IFERROR(__xludf.DUMMYFUNCTION("""COMPUTED_VALUE"""),"Engineering &amp; Computer Science")</f>
        <v>Engineering &amp; Computer Science</v>
      </c>
      <c r="Y22" t="str">
        <f ca="1">IFERROR(__xludf.DUMMYFUNCTION("""COMPUTED_VALUE"""),"Any except for the final published article (IEEE must be listed as copyright holder for classroom use/use in own dissertation)")</f>
        <v>Any except for the final published article (IEEE must be listed as copyright holder for classroom use/use in own dissertation)</v>
      </c>
      <c r="Z22" s="448"/>
      <c r="AA22" s="464" t="str">
        <f ca="1">IFERROR(__xludf.DUMMYFUNCTION("""COMPUTED_VALUE"""),"Nature Genetics")</f>
        <v>Nature Genetics</v>
      </c>
      <c r="AB22" t="str">
        <f ca="1">IFERROR(__xludf.DUMMYFUNCTION("""COMPUTED_VALUE"""),"Health &amp; Medical Sciences,
Life Sciences &amp; Earth Sciences")</f>
        <v>Health &amp; Medical Sciences,
Life Sciences &amp; Earth Sciences</v>
      </c>
      <c r="AC22" t="str">
        <f ca="1">IFERROR(__xludf.DUMMYFUNCTION("""COMPUTED_VALUE"""),"First submission only (before peer review)")</f>
        <v>First submission only (before peer review)</v>
      </c>
      <c r="AD22" s="448"/>
      <c r="AE22" s="464" t="str">
        <f ca="1">IFERROR(__xludf.DUMMYFUNCTION("""COMPUTED_VALUE"""),"Lingua")</f>
        <v>Lingua</v>
      </c>
      <c r="AF22" t="str">
        <f ca="1">IFERROR(__xludf.DUMMYFUNCTION("""COMPUTED_VALUE"""),"Humanities, Literature &amp; Arts")</f>
        <v>Humanities, Literature &amp; Arts</v>
      </c>
      <c r="AG22" t="str">
        <f ca="1">IFERROR(__xludf.DUMMYFUNCTION("""COMPUTED_VALUE"""),"After peer review (but not final, copyedited version)")</f>
        <v>After peer review (but not final, copyedited version)</v>
      </c>
      <c r="AH22" s="448"/>
      <c r="AI22" s="464" t="str">
        <f ca="1">IFERROR(__xludf.DUMMYFUNCTION("""COMPUTED_VALUE"""),"Nature Genetics")</f>
        <v>Nature Genetics</v>
      </c>
      <c r="AJ22" t="str">
        <f ca="1">IFERROR(__xludf.DUMMYFUNCTION("""COMPUTED_VALUE"""),"Health &amp; Medical Sciences,
Life Sciences &amp; Earth Sciences")</f>
        <v>Health &amp; Medical Sciences,
Life Sciences &amp; Earth Sciences</v>
      </c>
      <c r="AK22" t="str">
        <f ca="1">IFERROR(__xludf.DUMMYFUNCTION("""COMPUTED_VALUE"""),"First submission only (before peer review)")</f>
        <v>First submission only (before peer review)</v>
      </c>
      <c r="AL22" s="448"/>
      <c r="AM22" t="str">
        <f ca="1">IFERROR(__xludf.DUMMYFUNCTION("""COMPUTED_VALUE"""),"Optics Express")</f>
        <v>Optics Express</v>
      </c>
      <c r="AN22" t="str">
        <f ca="1">IFERROR(__xludf.DUMMYFUNCTION("""COMPUTED_VALUE"""),"Physics &amp; Mathematics")</f>
        <v>Physics &amp; Mathematics</v>
      </c>
      <c r="AO22" t="str">
        <f ca="1">IFERROR(__xludf.DUMMYFUNCTION("""COMPUTED_VALUE"""),"No preprint policy")</f>
        <v>No preprint policy</v>
      </c>
      <c r="AP22" s="448"/>
      <c r="AQ22" t="str">
        <f ca="1">IFERROR(__xludf.DUMMYFUNCTION("""COMPUTED_VALUE"""),"Journal of Educational Psychology")</f>
        <v>Journal of Educational Psychology</v>
      </c>
      <c r="AR22" t="str">
        <f ca="1">IFERROR(__xludf.DUMMYFUNCTION("""COMPUTED_VALUE"""),"Social Sciences")</f>
        <v>Social Sciences</v>
      </c>
      <c r="AS22" t="str">
        <f ca="1">IFERROR(__xludf.DUMMYFUNCTION("""COMPUTED_VALUE"""),"Unsure")</f>
        <v>Unsure</v>
      </c>
    </row>
    <row r="23" spans="1:45" ht="15.75" customHeight="1">
      <c r="A23" s="462"/>
      <c r="B23" s="462"/>
      <c r="C23" t="str">
        <f ca="1">Filtered!I13</f>
        <v>American Journal of Public Health</v>
      </c>
      <c r="D23" t="str">
        <f ca="1">Filtered!J13</f>
        <v>Social Sciences</v>
      </c>
      <c r="E23" t="str">
        <f ca="1">Filtered!AH13</f>
        <v>No preprint policy</v>
      </c>
      <c r="F23" t="b">
        <f t="shared" ca="1" si="9"/>
        <v>0</v>
      </c>
      <c r="G23" t="b">
        <f t="shared" ca="1" si="10"/>
        <v>0</v>
      </c>
      <c r="H23" t="b">
        <f t="shared" ca="1" si="11"/>
        <v>0</v>
      </c>
      <c r="I23" t="b">
        <f t="shared" ca="1" si="12"/>
        <v>0</v>
      </c>
      <c r="J23" t="b">
        <f t="shared" ca="1" si="13"/>
        <v>0</v>
      </c>
      <c r="K23" t="b">
        <f t="shared" ca="1" si="14"/>
        <v>0</v>
      </c>
      <c r="L23" t="b">
        <f t="shared" ca="1" si="15"/>
        <v>0</v>
      </c>
      <c r="M23" t="b">
        <f t="shared" ca="1" si="16"/>
        <v>1</v>
      </c>
      <c r="N23" s="448"/>
      <c r="O23" s="464" t="str">
        <f ca="1">IFERROR(__xludf.DUMMYFUNCTION("""COMPUTED_VALUE"""),"Management Science")</f>
        <v>Management Science</v>
      </c>
      <c r="P23" t="str">
        <f ca="1">IFERROR(__xludf.DUMMYFUNCTION("""COMPUTED_VALUE"""),"Business, Economics &amp; Management")</f>
        <v>Business, Economics &amp; Management</v>
      </c>
      <c r="Q23" t="str">
        <f ca="1">IFERROR(__xludf.DUMMYFUNCTION("""COMPUTED_VALUE"""),"No preprint policy")</f>
        <v>No preprint policy</v>
      </c>
      <c r="R23" s="448"/>
      <c r="S23" s="464" t="str">
        <f ca="1">IFERROR(__xludf.DUMMYFUNCTION("""COMPUTED_VALUE"""),"Energy and Environmental Science")</f>
        <v>Energy and Environmental Science</v>
      </c>
      <c r="T23" t="str">
        <f ca="1">IFERROR(__xludf.DUMMYFUNCTION("""COMPUTED_VALUE"""),"Chemical &amp; Materials Sciences, Engineering &amp; Computer Science")</f>
        <v>Chemical &amp; Materials Sciences, Engineering &amp; Computer Science</v>
      </c>
      <c r="U23" t="str">
        <f ca="1">IFERROR(__xludf.DUMMYFUNCTION("""COMPUTED_VALUE"""),"First submission only (before peer review)")</f>
        <v>First submission only (before peer review)</v>
      </c>
      <c r="V23" s="448"/>
      <c r="W23" s="464" t="str">
        <f ca="1">IFERROR(__xludf.DUMMYFUNCTION("""COMPUTED_VALUE"""),"IEEE Transactions on Power Electronics")</f>
        <v>IEEE Transactions on Power Electronics</v>
      </c>
      <c r="X23" t="str">
        <f ca="1">IFERROR(__xludf.DUMMYFUNCTION("""COMPUTED_VALUE"""),"Engineering &amp; Computer Science")</f>
        <v>Engineering &amp; Computer Science</v>
      </c>
      <c r="Y23" t="str">
        <f ca="1">IFERROR(__xludf.DUMMYFUNCTION("""COMPUTED_VALUE"""),"First submission only (before peer review)")</f>
        <v>First submission only (before peer review)</v>
      </c>
      <c r="Z23" s="448"/>
      <c r="AA23" s="464" t="str">
        <f ca="1">IFERROR(__xludf.DUMMYFUNCTION("""COMPUTED_VALUE"""),"Nature Medicine")</f>
        <v>Nature Medicine</v>
      </c>
      <c r="AB23" t="str">
        <f ca="1">IFERROR(__xludf.DUMMYFUNCTION("""COMPUTED_VALUE"""),"Health &amp; Medical Sciences")</f>
        <v>Health &amp; Medical Sciences</v>
      </c>
      <c r="AC23" t="str">
        <f ca="1">IFERROR(__xludf.DUMMYFUNCTION("""COMPUTED_VALUE"""),"First submission only (before peer review)")</f>
        <v>First submission only (before peer review)</v>
      </c>
      <c r="AD23" s="448"/>
      <c r="AE23" s="464" t="str">
        <f ca="1">IFERROR(__xludf.DUMMYFUNCTION("""COMPUTED_VALUE"""),"Media, Culture &amp; Society")</f>
        <v>Media, Culture &amp; Society</v>
      </c>
      <c r="AF23" t="str">
        <f ca="1">IFERROR(__xludf.DUMMYFUNCTION("""COMPUTED_VALUE"""),"Humanities, Literature &amp; Arts")</f>
        <v>Humanities, Literature &amp; Arts</v>
      </c>
      <c r="AG23" t="str">
        <f ca="1">IFERROR(__xludf.DUMMYFUNCTION("""COMPUTED_VALUE"""),"First submission only (before peer review) [unless you wait 12 months for the embargo to clear for the accepted version]")</f>
        <v>First submission only (before peer review) [unless you wait 12 months for the embargo to clear for the accepted version]</v>
      </c>
      <c r="AH23" s="448"/>
      <c r="AI23" s="464" t="str">
        <f ca="1">IFERROR(__xludf.DUMMYFUNCTION("""COMPUTED_VALUE"""),"Nature Methods")</f>
        <v>Nature Methods</v>
      </c>
      <c r="AJ23" t="str">
        <f ca="1">IFERROR(__xludf.DUMMYFUNCTION("""COMPUTED_VALUE"""),"Life Sciences &amp; Earth Sciences")</f>
        <v>Life Sciences &amp; Earth Sciences</v>
      </c>
      <c r="AK23" t="str">
        <f ca="1">IFERROR(__xludf.DUMMYFUNCTION("""COMPUTED_VALUE"""),"First submission only (before peer review)")</f>
        <v>First submission only (before peer review)</v>
      </c>
      <c r="AL23" s="448"/>
      <c r="AM23" t="str">
        <f ca="1">IFERROR(__xludf.DUMMYFUNCTION("""COMPUTED_VALUE"""),"Physical Review B")</f>
        <v>Physical Review B</v>
      </c>
      <c r="AN23" t="str">
        <f ca="1">IFERROR(__xludf.DUMMYFUNCTION("""COMPUTED_VALUE"""),"Physics &amp; Mathematics")</f>
        <v>Physics &amp; Mathematics</v>
      </c>
      <c r="AO23" t="str">
        <f ca="1">IFERROR(__xludf.DUMMYFUNCTION("""COMPUTED_VALUE"""),"No preprint policy")</f>
        <v>No preprint policy</v>
      </c>
      <c r="AP23" s="448"/>
      <c r="AQ23" t="str">
        <f ca="1">IFERROR(__xludf.DUMMYFUNCTION("""COMPUTED_VALUE"""),"Journal of Youth and Adolescence")</f>
        <v>Journal of Youth and Adolescence</v>
      </c>
      <c r="AR23" t="str">
        <f ca="1">IFERROR(__xludf.DUMMYFUNCTION("""COMPUTED_VALUE"""),"Social Sciences")</f>
        <v>Social Sciences</v>
      </c>
      <c r="AS23" t="str">
        <f ca="1">IFERROR(__xludf.DUMMYFUNCTION("""COMPUTED_VALUE"""),"No preprint policy")</f>
        <v>No preprint policy</v>
      </c>
    </row>
    <row r="24" spans="1:45" ht="15.75" customHeight="1">
      <c r="A24" s="462"/>
      <c r="B24" s="462"/>
      <c r="C24" t="str">
        <f ca="1">Filtered!I14</f>
        <v>American Political Science Review</v>
      </c>
      <c r="D24" t="str">
        <f ca="1">Filtered!J14</f>
        <v>Social Sciences</v>
      </c>
      <c r="E24" t="str">
        <f ca="1">Filtered!AH14</f>
        <v>Unsure</v>
      </c>
      <c r="F24" t="b">
        <f t="shared" ca="1" si="9"/>
        <v>0</v>
      </c>
      <c r="G24" t="b">
        <f t="shared" ca="1" si="10"/>
        <v>0</v>
      </c>
      <c r="H24" t="b">
        <f t="shared" ca="1" si="11"/>
        <v>0</v>
      </c>
      <c r="I24" t="b">
        <f t="shared" ca="1" si="12"/>
        <v>0</v>
      </c>
      <c r="J24" t="b">
        <f t="shared" ca="1" si="13"/>
        <v>0</v>
      </c>
      <c r="K24" t="b">
        <f t="shared" ca="1" si="14"/>
        <v>0</v>
      </c>
      <c r="L24" t="b">
        <f t="shared" ca="1" si="15"/>
        <v>0</v>
      </c>
      <c r="M24" t="b">
        <f t="shared" ca="1" si="16"/>
        <v>1</v>
      </c>
      <c r="N24" s="448"/>
      <c r="O24" s="464" t="str">
        <f ca="1">IFERROR(__xludf.DUMMYFUNCTION("""COMPUTED_VALUE"""),"Review of Economics and Statistics")</f>
        <v>Review of Economics and Statistics</v>
      </c>
      <c r="P24" t="str">
        <f ca="1">IFERROR(__xludf.DUMMYFUNCTION("""COMPUTED_VALUE"""),"Business, Economics &amp; Management")</f>
        <v>Business, Economics &amp; Management</v>
      </c>
      <c r="Q24" t="str">
        <f ca="1">IFERROR(__xludf.DUMMYFUNCTION("""COMPUTED_VALUE"""),"After peer review (but not final, copyedited version)")</f>
        <v>After peer review (but not final, copyedited version)</v>
      </c>
      <c r="R24" s="448"/>
      <c r="S24" s="464" t="str">
        <f ca="1">IFERROR(__xludf.DUMMYFUNCTION("""COMPUTED_VALUE"""),"Journal of Materials Chemistry. A")</f>
        <v>Journal of Materials Chemistry. A</v>
      </c>
      <c r="T24" t="str">
        <f ca="1">IFERROR(__xludf.DUMMYFUNCTION("""COMPUTED_VALUE"""),"Chemical &amp; Materials Sciences, Engineering &amp; Computer Science")</f>
        <v>Chemical &amp; Materials Sciences, Engineering &amp; Computer Science</v>
      </c>
      <c r="U24" t="str">
        <f ca="1">IFERROR(__xludf.DUMMYFUNCTION("""COMPUTED_VALUE"""),"First submission only (before peer review)")</f>
        <v>First submission only (before peer review)</v>
      </c>
      <c r="V24" s="448"/>
      <c r="W24" s="464" t="str">
        <f ca="1">IFERROR(__xludf.DUMMYFUNCTION("""COMPUTED_VALUE"""),"Journal of Materials Chemistry. A")</f>
        <v>Journal of Materials Chemistry. A</v>
      </c>
      <c r="X24" t="str">
        <f ca="1">IFERROR(__xludf.DUMMYFUNCTION("""COMPUTED_VALUE"""),"Chemical &amp; Materials Sciences, Engineering &amp; Computer Science")</f>
        <v>Chemical &amp; Materials Sciences, Engineering &amp; Computer Science</v>
      </c>
      <c r="Y24" t="str">
        <f ca="1">IFERROR(__xludf.DUMMYFUNCTION("""COMPUTED_VALUE"""),"First submission only (before peer review)")</f>
        <v>First submission only (before peer review)</v>
      </c>
      <c r="Z24" s="448"/>
      <c r="AA24" s="464" t="str">
        <f ca="1">IFERROR(__xludf.DUMMYFUNCTION("""COMPUTED_VALUE"""),"Nature Neuroscience")</f>
        <v>Nature Neuroscience</v>
      </c>
      <c r="AB24" t="str">
        <f ca="1">IFERROR(__xludf.DUMMYFUNCTION("""COMPUTED_VALUE"""),"Health &amp; Medical Sciences")</f>
        <v>Health &amp; Medical Sciences</v>
      </c>
      <c r="AC24" t="str">
        <f ca="1">IFERROR(__xludf.DUMMYFUNCTION("""COMPUTED_VALUE"""),"First submission only (before peer review)")</f>
        <v>First submission only (before peer review)</v>
      </c>
      <c r="AD24" s="448"/>
      <c r="AE24" s="464" t="str">
        <f ca="1">IFERROR(__xludf.DUMMYFUNCTION("""COMPUTED_VALUE"""),"Noûs")</f>
        <v>Noûs</v>
      </c>
      <c r="AF24" t="str">
        <f ca="1">IFERROR(__xludf.DUMMYFUNCTION("""COMPUTED_VALUE"""),"Social Sciences, Humanities, Literature &amp; Arts")</f>
        <v>Social Sciences, Humanities, Literature &amp; Arts</v>
      </c>
      <c r="AG24" t="str">
        <f ca="1">IFERROR(__xludf.DUMMYFUNCTION("""COMPUTED_VALUE"""),"First submission only (before peer review)")</f>
        <v>First submission only (before peer review)</v>
      </c>
      <c r="AH24" s="448"/>
      <c r="AI24" s="464" t="str">
        <f ca="1">IFERROR(__xludf.DUMMYFUNCTION("""COMPUTED_VALUE"""),"Nature Reviews Genetics")</f>
        <v>Nature Reviews Genetics</v>
      </c>
      <c r="AJ24" t="str">
        <f ca="1">IFERROR(__xludf.DUMMYFUNCTION("""COMPUTED_VALUE"""),"Life Sciences &amp; Earth Sciences")</f>
        <v>Life Sciences &amp; Earth Sciences</v>
      </c>
      <c r="AK24" t="str">
        <f ca="1">IFERROR(__xludf.DUMMYFUNCTION("""COMPUTED_VALUE"""),"No preprint policy")</f>
        <v>No preprint policy</v>
      </c>
      <c r="AL24" s="448"/>
      <c r="AM24" t="str">
        <f ca="1">IFERROR(__xludf.DUMMYFUNCTION("""COMPUTED_VALUE"""),"Physical Review D")</f>
        <v>Physical Review D</v>
      </c>
      <c r="AN24" t="str">
        <f ca="1">IFERROR(__xludf.DUMMYFUNCTION("""COMPUTED_VALUE"""),"Physics &amp; Mathematics")</f>
        <v>Physics &amp; Mathematics</v>
      </c>
      <c r="AO24" t="str">
        <f ca="1">IFERROR(__xludf.DUMMYFUNCTION("""COMPUTED_VALUE"""),"No preprint policy")</f>
        <v>No preprint policy</v>
      </c>
      <c r="AP24" s="448"/>
      <c r="AQ24" t="str">
        <f ca="1">IFERROR(__xludf.DUMMYFUNCTION("""COMPUTED_VALUE"""),"Land Use Policy")</f>
        <v>Land Use Policy</v>
      </c>
      <c r="AR24" t="str">
        <f ca="1">IFERROR(__xludf.DUMMYFUNCTION("""COMPUTED_VALUE"""),"Social Sciences")</f>
        <v>Social Sciences</v>
      </c>
      <c r="AS24" t="str">
        <f ca="1">IFERROR(__xludf.DUMMYFUNCTION("""COMPUTED_VALUE"""),"After peer review (but not final, copyedited version)")</f>
        <v>After peer review (but not final, copyedited version)</v>
      </c>
    </row>
    <row r="25" spans="1:45" ht="43">
      <c r="A25" s="487"/>
      <c r="B25" s="462"/>
      <c r="C25" t="str">
        <f ca="1">Filtered!I15</f>
        <v>American Sociological Review</v>
      </c>
      <c r="D25" t="str">
        <f ca="1">Filtered!J15</f>
        <v>Social Sciences</v>
      </c>
      <c r="E25" t="str">
        <f ca="1">Filtered!AH15</f>
        <v>First submission only (before peer review)</v>
      </c>
      <c r="F25" t="b">
        <f t="shared" ca="1" si="9"/>
        <v>0</v>
      </c>
      <c r="G25" t="b">
        <f t="shared" ca="1" si="10"/>
        <v>0</v>
      </c>
      <c r="H25" t="b">
        <f t="shared" ca="1" si="11"/>
        <v>0</v>
      </c>
      <c r="I25" t="b">
        <f t="shared" ca="1" si="12"/>
        <v>0</v>
      </c>
      <c r="J25" t="b">
        <f t="shared" ca="1" si="13"/>
        <v>0</v>
      </c>
      <c r="K25" t="b">
        <f t="shared" ca="1" si="14"/>
        <v>0</v>
      </c>
      <c r="L25" t="b">
        <f t="shared" ca="1" si="15"/>
        <v>0</v>
      </c>
      <c r="M25" t="b">
        <f t="shared" ca="1" si="16"/>
        <v>1</v>
      </c>
      <c r="N25" s="448"/>
      <c r="O25" s="464" t="str">
        <f ca="1">IFERROR(__xludf.DUMMYFUNCTION("""COMPUTED_VALUE"""),"Strategic Management Journal")</f>
        <v>Strategic Management Journal</v>
      </c>
      <c r="P25" t="str">
        <f ca="1">IFERROR(__xludf.DUMMYFUNCTION("""COMPUTED_VALUE"""),"Business, Economics &amp; Management")</f>
        <v>Business, Economics &amp; Management</v>
      </c>
      <c r="Q25" t="str">
        <f ca="1">IFERROR(__xludf.DUMMYFUNCTION("""COMPUTED_VALUE"""),"No preprint policy")</f>
        <v>No preprint policy</v>
      </c>
      <c r="R25" s="448"/>
      <c r="S25" s="464" t="str">
        <f ca="1">IFERROR(__xludf.DUMMYFUNCTION("""COMPUTED_VALUE"""),"Journal of the American Chemical Society")</f>
        <v>Journal of the American Chemical Society</v>
      </c>
      <c r="T25" t="str">
        <f ca="1">IFERROR(__xludf.DUMMYFUNCTION("""COMPUTED_VALUE"""),"Chemical &amp; Materials Sciences")</f>
        <v>Chemical &amp; Materials Sciences</v>
      </c>
      <c r="U25" t="str">
        <f ca="1">IFERROR(__xludf.DUMMYFUNCTION("""COMPUTED_VALUE"""),"After peer review (but not final, copyedited version)")</f>
        <v>After peer review (but not final, copyedited version)</v>
      </c>
      <c r="V25" s="448"/>
      <c r="W25" s="464" t="str">
        <f ca="1">IFERROR(__xludf.DUMMYFUNCTION("""COMPUTED_VALUE"""),"Nano Letters")</f>
        <v>Nano Letters</v>
      </c>
      <c r="X25" t="str">
        <f ca="1">IFERROR(__xludf.DUMMYFUNCTION("""COMPUTED_VALUE"""),"Chemical &amp; Materials Sciences,
Engineering &amp; Computer Science")</f>
        <v>Chemical &amp; Materials Sciences,
Engineering &amp; Computer Science</v>
      </c>
      <c r="Y25" t="str">
        <f ca="1">IFERROR(__xludf.DUMMYFUNCTION("""COMPUTED_VALUE"""),"First submission only (before peer review)")</f>
        <v>First submission only (before peer review)</v>
      </c>
      <c r="Z25" s="448"/>
      <c r="AA25" s="464" t="str">
        <f ca="1">IFERROR(__xludf.DUMMYFUNCTION("""COMPUTED_VALUE"""),"Neuron")</f>
        <v>Neuron</v>
      </c>
      <c r="AB25" t="str">
        <f ca="1">IFERROR(__xludf.DUMMYFUNCTION("""COMPUTED_VALUE"""),"Health &amp; Medical Sciences,
Life Sciences &amp; Earth Sciences")</f>
        <v>Health &amp; Medical Sciences,
Life Sciences &amp; Earth Sciences</v>
      </c>
      <c r="AC25" t="str">
        <f ca="1">IFERROR(__xludf.DUMMYFUNCTION("""COMPUTED_VALUE"""),"First submission only (before peer review)")</f>
        <v>First submission only (before peer review)</v>
      </c>
      <c r="AD25" s="448"/>
      <c r="AE25" s="464" t="str">
        <f ca="1">IFERROR(__xludf.DUMMYFUNCTION("""COMPUTED_VALUE"""),"Philosophical Studies")</f>
        <v>Philosophical Studies</v>
      </c>
      <c r="AF25" t="str">
        <f ca="1">IFERROR(__xludf.DUMMYFUNCTION("""COMPUTED_VALUE"""),"Humanities, Literature &amp; Arts")</f>
        <v>Humanities, Literature &amp; Arts</v>
      </c>
      <c r="AG25" t="str">
        <f ca="1">IFERROR(__xludf.DUMMYFUNCTION("""COMPUTED_VALUE"""),"No preprint policy")</f>
        <v>No preprint policy</v>
      </c>
      <c r="AH25" s="448"/>
      <c r="AI25" s="464" t="str">
        <f ca="1">IFERROR(__xludf.DUMMYFUNCTION("""COMPUTED_VALUE"""),"Nature Reviews. Molecular Cell Biology")</f>
        <v>Nature Reviews. Molecular Cell Biology</v>
      </c>
      <c r="AJ25" t="str">
        <f ca="1">IFERROR(__xludf.DUMMYFUNCTION("""COMPUTED_VALUE"""),"Life Sciences &amp; Earth Sciences")</f>
        <v>Life Sciences &amp; Earth Sciences</v>
      </c>
      <c r="AK25" t="str">
        <f ca="1">IFERROR(__xludf.DUMMYFUNCTION("""COMPUTED_VALUE"""),"No preprint policy")</f>
        <v>No preprint policy</v>
      </c>
      <c r="AL25" s="448"/>
      <c r="AM25" t="str">
        <f ca="1">IFERROR(__xludf.DUMMYFUNCTION("""COMPUTED_VALUE"""),"Physical Review Letters")</f>
        <v>Physical Review Letters</v>
      </c>
      <c r="AN25" t="str">
        <f ca="1">IFERROR(__xludf.DUMMYFUNCTION("""COMPUTED_VALUE"""),"Physics &amp; Mathematics")</f>
        <v>Physics &amp; Mathematics</v>
      </c>
      <c r="AO25" t="str">
        <f ca="1">IFERROR(__xludf.DUMMYFUNCTION("""COMPUTED_VALUE"""),"No preprint policy")</f>
        <v>No preprint policy</v>
      </c>
      <c r="AP25" s="448"/>
      <c r="AQ25" t="str">
        <f ca="1">IFERROR(__xludf.DUMMYFUNCTION("""COMPUTED_VALUE"""),"New Media and Society")</f>
        <v>New Media and Society</v>
      </c>
      <c r="AR25" t="str">
        <f ca="1">IFERROR(__xludf.DUMMYFUNCTION("""COMPUTED_VALUE"""),"Social Sciences")</f>
        <v>Social Sciences</v>
      </c>
      <c r="AS25" t="str">
        <f ca="1">IFERROR(__xludf.DUMMYFUNCTION("""COMPUTED_VALUE"""),"Other: No preprint policy is stated, but links to the general Sage guidelines - """"If material has been previously published it is not generally acceptable for publication in a SAGE journal. However, there are certain circumstances where previously publi"&amp;"shed material can be considered for publication. Please refer to the guidance on the SAGE Author Gateway ... Following are examples of prior distribution that may be acceptable: Working papers or versions of the paper posted on a preprint server or a scho"&amp;"larly collaboration network (SCN) SAGE supports the early dissemination of research through preprints (the pre-peer review version of the paper, also referenced as a “working paper”), including through SAGE’s own preprint platform, Advance, and other prep"&amp;"rint platforms and SCNs, such as bioRxiV, preprints.org, ResearchGate and Academia.edu. Working papers are generally eligible for publication in a SAGE journal, subject to the policy in place for each journal."""" - so it may be that preprints are allowed"&amp;", but by no means certain for this journal")</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row>
    <row r="26" spans="1:45" ht="15.75" customHeight="1">
      <c r="A26" s="462"/>
      <c r="B26" s="462"/>
      <c r="C26" t="str">
        <f ca="1">Filtered!I16</f>
        <v>Angewandte Chemie International Edition</v>
      </c>
      <c r="D26" t="str">
        <f ca="1">Filtered!J16</f>
        <v>Chemical &amp; Materials Sciences</v>
      </c>
      <c r="E26" t="str">
        <f ca="1">Filtered!AH16</f>
        <v>First submission only (before peer review)</v>
      </c>
      <c r="F26" t="b">
        <f t="shared" ca="1" si="9"/>
        <v>0</v>
      </c>
      <c r="G26" t="b">
        <f t="shared" ca="1" si="10"/>
        <v>1</v>
      </c>
      <c r="H26" t="b">
        <f t="shared" ca="1" si="11"/>
        <v>0</v>
      </c>
      <c r="I26" t="b">
        <f t="shared" ca="1" si="12"/>
        <v>0</v>
      </c>
      <c r="J26" t="b">
        <f t="shared" ca="1" si="13"/>
        <v>0</v>
      </c>
      <c r="K26" t="b">
        <f t="shared" ca="1" si="14"/>
        <v>0</v>
      </c>
      <c r="L26" t="b">
        <f t="shared" ca="1" si="15"/>
        <v>0</v>
      </c>
      <c r="M26" t="b">
        <f t="shared" ca="1" si="16"/>
        <v>0</v>
      </c>
      <c r="N26" s="448"/>
      <c r="O26" s="464" t="str">
        <f ca="1">IFERROR(__xludf.DUMMYFUNCTION("""COMPUTED_VALUE"""),"The Journal of Finance")</f>
        <v>The Journal of Finance</v>
      </c>
      <c r="P26" t="str">
        <f ca="1">IFERROR(__xludf.DUMMYFUNCTION("""COMPUTED_VALUE"""),"Business, Economics &amp; Management")</f>
        <v>Business, Economics &amp; Management</v>
      </c>
      <c r="Q26" t="str">
        <f ca="1">IFERROR(__xludf.DUMMYFUNCTION("""COMPUTED_VALUE"""),"None ""All submitted manuscripts must be; (i) original, (ii) unpublished (including any
 online publication), """)</f>
        <v>None "All submitted manuscripts must be; (i) original, (ii) unpublished (including any
 online publication), "</v>
      </c>
      <c r="R26" s="448"/>
      <c r="S26" s="464" t="str">
        <f ca="1">IFERROR(__xludf.DUMMYFUNCTION("""COMPUTED_VALUE"""),"Nano Letters")</f>
        <v>Nano Letters</v>
      </c>
      <c r="T26" t="str">
        <f ca="1">IFERROR(__xludf.DUMMYFUNCTION("""COMPUTED_VALUE"""),"Chemical &amp; Materials Sciences,
Engineering &amp; Computer Science")</f>
        <v>Chemical &amp; Materials Sciences,
Engineering &amp; Computer Science</v>
      </c>
      <c r="U26" t="str">
        <f ca="1">IFERROR(__xludf.DUMMYFUNCTION("""COMPUTED_VALUE"""),"First submission only (before peer review)")</f>
        <v>First submission only (before peer review)</v>
      </c>
      <c r="V26" s="448"/>
      <c r="W26" s="464" t="str">
        <f ca="1">IFERROR(__xludf.DUMMYFUNCTION("""COMPUTED_VALUE"""),"Nanoscale")</f>
        <v>Nanoscale</v>
      </c>
      <c r="X26" t="str">
        <f ca="1">IFERROR(__xludf.DUMMYFUNCTION("""COMPUTED_VALUE"""),"Chemical &amp; Materials Sciences,
Engineering &amp; Computer Science")</f>
        <v>Chemical &amp; Materials Sciences,
Engineering &amp; Computer Science</v>
      </c>
      <c r="Y26" t="str">
        <f ca="1">IFERROR(__xludf.DUMMYFUNCTION("""COMPUTED_VALUE"""),"First submission only (before peer review)")</f>
        <v>First submission only (before peer review)</v>
      </c>
      <c r="Z26" s="448"/>
      <c r="AA26" s="464" t="str">
        <f ca="1">IFERROR(__xludf.DUMMYFUNCTION("""COMPUTED_VALUE"""),"PLoS One")</f>
        <v>PLoS One</v>
      </c>
      <c r="AB26" t="str">
        <f ca="1">IFERROR(__xludf.DUMMYFUNCTION("""COMPUTED_VALUE"""),"Health &amp; Medical Sciences,
Life Sciences &amp; Earth Sciences")</f>
        <v>Health &amp; Medical Sciences,
Life Sciences &amp; Earth Sciences</v>
      </c>
      <c r="AC26" t="str">
        <f ca="1">IFERROR(__xludf.DUMMYFUNCTION("""COMPUTED_VALUE"""),"First submission only (before peer review)")</f>
        <v>First submission only (before peer review)</v>
      </c>
      <c r="AD26" s="448"/>
      <c r="AE26" s="464" t="str">
        <f ca="1">IFERROR(__xludf.DUMMYFUNCTION("""COMPUTED_VALUE"""),"Public Opinion Quarterly")</f>
        <v>Public Opinion Quarterly</v>
      </c>
      <c r="AF26" t="str">
        <f ca="1">IFERROR(__xludf.DUMMYFUNCTION("""COMPUTED_VALUE"""),"Humanities, Literature &amp; Arts")</f>
        <v>Humanities, Literature &amp; Arts</v>
      </c>
      <c r="AG26" t="str">
        <f ca="1">IFERROR(__xludf.DUMMYFUNCTION("""COMPUTED_VALUE"""),"First submission only (before peer review)")</f>
        <v>First submission only (before peer review)</v>
      </c>
      <c r="AH26" s="448"/>
      <c r="AI26" s="464" t="str">
        <f ca="1">IFERROR(__xludf.DUMMYFUNCTION("""COMPUTED_VALUE"""),"Neuron")</f>
        <v>Neuron</v>
      </c>
      <c r="AJ26" t="str">
        <f ca="1">IFERROR(__xludf.DUMMYFUNCTION("""COMPUTED_VALUE"""),"Health &amp; Medical Sciences,
Life Sciences &amp; Earth Sciences")</f>
        <v>Health &amp; Medical Sciences,
Life Sciences &amp; Earth Sciences</v>
      </c>
      <c r="AK26" t="str">
        <f ca="1">IFERROR(__xludf.DUMMYFUNCTION("""COMPUTED_VALUE"""),"First submission only (before peer review)")</f>
        <v>First submission only (before peer review)</v>
      </c>
      <c r="AL26" s="448"/>
      <c r="AM26" t="str">
        <f ca="1">IFERROR(__xludf.DUMMYFUNCTION("""COMPUTED_VALUE"""),"Physical Review X")</f>
        <v>Physical Review X</v>
      </c>
      <c r="AN26" t="str">
        <f ca="1">IFERROR(__xludf.DUMMYFUNCTION("""COMPUTED_VALUE"""),"Physics &amp; Mathematics")</f>
        <v>Physics &amp; Mathematics</v>
      </c>
      <c r="AO26" t="str">
        <f ca="1">IFERROR(__xludf.DUMMYFUNCTION("""COMPUTED_VALUE"""),"No preprint policy")</f>
        <v>No preprint policy</v>
      </c>
      <c r="AP26" s="448"/>
      <c r="AQ26" t="str">
        <f ca="1">IFERROR(__xludf.DUMMYFUNCTION("""COMPUTED_VALUE"""),"Noûs")</f>
        <v>Noûs</v>
      </c>
      <c r="AR26" t="str">
        <f ca="1">IFERROR(__xludf.DUMMYFUNCTION("""COMPUTED_VALUE"""),"Social Sciences, Humanities, Literature &amp; Arts")</f>
        <v>Social Sciences, Humanities, Literature &amp; Arts</v>
      </c>
      <c r="AS26" t="str">
        <f ca="1">IFERROR(__xludf.DUMMYFUNCTION("""COMPUTED_VALUE"""),"First submission only (before peer review)")</f>
        <v>First submission only (before peer review)</v>
      </c>
    </row>
    <row r="27" spans="1:45" ht="15.75" customHeight="1">
      <c r="A27" s="462"/>
      <c r="B27" s="462"/>
      <c r="C27" t="str">
        <f ca="1">Filtered!I17</f>
        <v>Annals of Internal Medicine</v>
      </c>
      <c r="D27" t="str">
        <f ca="1">Filtered!J17</f>
        <v/>
      </c>
      <c r="E27" t="str">
        <f ca="1">Filtered!AH17</f>
        <v>No preprint policy</v>
      </c>
      <c r="F27" t="b">
        <f t="shared" ca="1" si="9"/>
        <v>0</v>
      </c>
      <c r="G27" t="b">
        <f t="shared" ca="1" si="10"/>
        <v>0</v>
      </c>
      <c r="H27" t="b">
        <f t="shared" ca="1" si="11"/>
        <v>0</v>
      </c>
      <c r="I27" t="b">
        <f t="shared" ca="1" si="12"/>
        <v>0</v>
      </c>
      <c r="J27" t="b">
        <f t="shared" ca="1" si="13"/>
        <v>0</v>
      </c>
      <c r="K27" t="b">
        <f t="shared" ca="1" si="14"/>
        <v>0</v>
      </c>
      <c r="L27" t="b">
        <f t="shared" ca="1" si="15"/>
        <v>0</v>
      </c>
      <c r="M27" t="b">
        <f t="shared" ca="1" si="16"/>
        <v>0</v>
      </c>
      <c r="N27" s="448"/>
      <c r="O27" s="464" t="str">
        <f ca="1">IFERROR(__xludf.DUMMYFUNCTION("""COMPUTED_VALUE"""),"The Quarterly Journal of Economics")</f>
        <v>The Quarterly Journal of Economics</v>
      </c>
      <c r="P27" t="str">
        <f ca="1">IFERROR(__xludf.DUMMYFUNCTION("""COMPUTED_VALUE"""),"Business, Economics &amp; Management")</f>
        <v>Business, Economics &amp; Management</v>
      </c>
      <c r="Q27" t="str">
        <f ca="1">IFERROR(__xludf.DUMMYFUNCTION("""COMPUTED_VALUE"""),"First submission only (before peer review)")</f>
        <v>First submission only (before peer review)</v>
      </c>
      <c r="R27" s="448"/>
      <c r="S27" s="464" t="str">
        <f ca="1">IFERROR(__xludf.DUMMYFUNCTION("""COMPUTED_VALUE"""),"Nanoscale")</f>
        <v>Nanoscale</v>
      </c>
      <c r="T27" t="str">
        <f ca="1">IFERROR(__xludf.DUMMYFUNCTION("""COMPUTED_VALUE"""),"Chemical &amp; Materials Sciences,
Engineering &amp; Computer Science")</f>
        <v>Chemical &amp; Materials Sciences,
Engineering &amp; Computer Science</v>
      </c>
      <c r="U27" t="str">
        <f ca="1">IFERROR(__xludf.DUMMYFUNCTION("""COMPUTED_VALUE"""),"First submission only (before peer review)")</f>
        <v>First submission only (before peer review)</v>
      </c>
      <c r="V27" s="448"/>
      <c r="W27" s="464" t="str">
        <f ca="1">IFERROR(__xludf.DUMMYFUNCTION("""COMPUTED_VALUE"""),"Nature Materials")</f>
        <v>Nature Materials</v>
      </c>
      <c r="X27" t="str">
        <f ca="1">IFERROR(__xludf.DUMMYFUNCTION("""COMPUTED_VALUE"""),"Chemical &amp; Materials Sciences,
Engineering &amp; Computer Science")</f>
        <v>Chemical &amp; Materials Sciences,
Engineering &amp; Computer Science</v>
      </c>
      <c r="Y27" t="str">
        <f ca="1">IFERROR(__xludf.DUMMYFUNCTION("""COMPUTED_VALUE"""),"First submission only (before peer review)")</f>
        <v>First submission only (before peer review)</v>
      </c>
      <c r="Z27" s="448"/>
      <c r="AA27" s="464" t="str">
        <f ca="1">IFERROR(__xludf.DUMMYFUNCTION("""COMPUTED_VALUE"""),"Proceedings of the National Academy of Sciences")</f>
        <v>Proceedings of the National Academy of Sciences</v>
      </c>
      <c r="AB27" t="str">
        <f ca="1">IFERROR(__xludf.DUMMYFUNCTION("""COMPUTED_VALUE"""),"Health &amp; Medical Sciences,
Life Sciences &amp; Earth Sciences")</f>
        <v>Health &amp; Medical Sciences,
Life Sciences &amp; Earth Sciences</v>
      </c>
      <c r="AC27" t="str">
        <f ca="1">IFERROR(__xludf.DUMMYFUNCTION("""COMPUTED_VALUE"""),"Unsure (preprints are allowed, but it's not clear what version")</f>
        <v>Unsure (preprints are allowed, but it's not clear what version</v>
      </c>
      <c r="AD27" s="448"/>
      <c r="AE27" s="464" t="str">
        <f ca="1">IFERROR(__xludf.DUMMYFUNCTION("""COMPUTED_VALUE"""),"Synthese")</f>
        <v>Synthese</v>
      </c>
      <c r="AF27" t="str">
        <f ca="1">IFERROR(__xludf.DUMMYFUNCTION("""COMPUTED_VALUE"""),"Humanities, Literature &amp; Arts")</f>
        <v>Humanities, Literature &amp; Arts</v>
      </c>
      <c r="AG27" t="str">
        <f ca="1">IFERROR(__xludf.DUMMYFUNCTION("""COMPUTED_VALUE"""),"No preprint policy")</f>
        <v>No preprint policy</v>
      </c>
      <c r="AH27" s="448"/>
      <c r="AI27" s="464" t="str">
        <f ca="1">IFERROR(__xludf.DUMMYFUNCTION("""COMPUTED_VALUE"""),"Nucleic Acids Research")</f>
        <v>Nucleic Acids Research</v>
      </c>
      <c r="AJ27" t="str">
        <f ca="1">IFERROR(__xludf.DUMMYFUNCTION("""COMPUTED_VALUE"""),"Life Sciences &amp; Earth Sciences")</f>
        <v>Life Sciences &amp; Earth Sciences</v>
      </c>
      <c r="AK27" t="str">
        <f ca="1">IFERROR(__xludf.DUMMYFUNCTION("""COMPUTED_VALUE"""),"First submission only (before peer review)")</f>
        <v>First submission only (before peer review)</v>
      </c>
      <c r="AL27" s="448"/>
      <c r="AM27" t="str">
        <f ca="1">IFERROR(__xludf.DUMMYFUNCTION("""COMPUTED_VALUE"""),"Physics Letters B")</f>
        <v>Physics Letters B</v>
      </c>
      <c r="AN27" t="str">
        <f ca="1">IFERROR(__xludf.DUMMYFUNCTION("""COMPUTED_VALUE"""),"Physics &amp; Mathematics")</f>
        <v>Physics &amp; Mathematics</v>
      </c>
      <c r="AO27" t="str">
        <f ca="1">IFERROR(__xludf.DUMMYFUNCTION("""COMPUTED_VALUE"""),"First submission only (before peer review)")</f>
        <v>First submission only (before peer review)</v>
      </c>
      <c r="AP27" s="448"/>
      <c r="AQ27" t="str">
        <f ca="1">IFERROR(__xludf.DUMMYFUNCTION("""COMPUTED_VALUE"""),"Progress in Human Geography")</f>
        <v>Progress in Human Geography</v>
      </c>
      <c r="AR27" t="str">
        <f ca="1">IFERROR(__xludf.DUMMYFUNCTION("""COMPUTED_VALUE"""),"Social Sciences")</f>
        <v>Social Sciences</v>
      </c>
      <c r="AS27" t="str">
        <f ca="1">IFERROR(__xludf.DUMMYFUNCTION("""COMPUTED_VALUE"""),"Unsure (preprints are allowed, but it's not clear what version)")</f>
        <v>Unsure (preprints are allowed, but it's not clear what version)</v>
      </c>
    </row>
    <row r="28" spans="1:45" ht="15.75" customHeight="1">
      <c r="A28" s="462"/>
      <c r="B28" s="462"/>
      <c r="C28" t="str">
        <f ca="1">Filtered!I18</f>
        <v>Annals of Oncology</v>
      </c>
      <c r="D28" t="str">
        <f ca="1">Filtered!J18</f>
        <v/>
      </c>
      <c r="E28" t="str">
        <f ca="1">Filtered!AH18</f>
        <v>First submission only (before peer review)</v>
      </c>
      <c r="F28" t="b">
        <f t="shared" ca="1" si="9"/>
        <v>0</v>
      </c>
      <c r="G28" t="b">
        <f t="shared" ca="1" si="10"/>
        <v>0</v>
      </c>
      <c r="H28" t="b">
        <f t="shared" ca="1" si="11"/>
        <v>0</v>
      </c>
      <c r="I28" t="b">
        <f t="shared" ca="1" si="12"/>
        <v>0</v>
      </c>
      <c r="J28" t="b">
        <f t="shared" ca="1" si="13"/>
        <v>0</v>
      </c>
      <c r="K28" t="b">
        <f t="shared" ca="1" si="14"/>
        <v>0</v>
      </c>
      <c r="L28" t="b">
        <f t="shared" ca="1" si="15"/>
        <v>0</v>
      </c>
      <c r="M28" t="b">
        <f t="shared" ca="1" si="16"/>
        <v>0</v>
      </c>
      <c r="N28" s="448"/>
      <c r="O28" s="464" t="str">
        <f ca="1">IFERROR(__xludf.DUMMYFUNCTION("""COMPUTED_VALUE"""),"The Review of Economic Studies")</f>
        <v>The Review of Economic Studies</v>
      </c>
      <c r="P28" t="str">
        <f ca="1">IFERROR(__xludf.DUMMYFUNCTION("""COMPUTED_VALUE"""),"Business, Economics &amp; Management")</f>
        <v>Business, Economics &amp; Management</v>
      </c>
      <c r="Q28" t="str">
        <f ca="1">IFERROR(__xludf.DUMMYFUNCTION("""COMPUTED_VALUE"""),"First submission only (before peer review)")</f>
        <v>First submission only (before peer review)</v>
      </c>
      <c r="R28" s="448"/>
      <c r="S28" s="464" t="str">
        <f ca="1">IFERROR(__xludf.DUMMYFUNCTION("""COMPUTED_VALUE"""),"Nature Chemistry")</f>
        <v>Nature Chemistry</v>
      </c>
      <c r="T28" t="str">
        <f ca="1">IFERROR(__xludf.DUMMYFUNCTION("""COMPUTED_VALUE"""),"Chemical &amp; Materials Sciences")</f>
        <v>Chemical &amp; Materials Sciences</v>
      </c>
      <c r="U28" t="str">
        <f ca="1">IFERROR(__xludf.DUMMYFUNCTION("""COMPUTED_VALUE"""),"First submission only (before peer review)")</f>
        <v>First submission only (before peer review)</v>
      </c>
      <c r="V28" s="448"/>
      <c r="W28" s="464" t="str">
        <f ca="1">IFERROR(__xludf.DUMMYFUNCTION("""COMPUTED_VALUE"""),"Nature Nanotechnology")</f>
        <v>Nature Nanotechnology</v>
      </c>
      <c r="X28" t="str">
        <f ca="1">IFERROR(__xludf.DUMMYFUNCTION("""COMPUTED_VALUE"""),"Chemical &amp; Materials Sciences,
Engineering &amp; Computer Science")</f>
        <v>Chemical &amp; Materials Sciences,
Engineering &amp; Computer Science</v>
      </c>
      <c r="Y28" t="str">
        <f ca="1">IFERROR(__xludf.DUMMYFUNCTION("""COMPUTED_VALUE"""),"First submission only (before peer review)")</f>
        <v>First submission only (before peer review)</v>
      </c>
      <c r="Z28" s="448"/>
      <c r="AA28" s="464" t="str">
        <f ca="1">IFERROR(__xludf.DUMMYFUNCTION("""COMPUTED_VALUE"""),"The Cochrane Database of Systematic Reviews")</f>
        <v>The Cochrane Database of Systematic Reviews</v>
      </c>
      <c r="AB28" t="str">
        <f ca="1">IFERROR(__xludf.DUMMYFUNCTION("""COMPUTED_VALUE"""),"Health &amp; Medical Sciences")</f>
        <v>Health &amp; Medical Sciences</v>
      </c>
      <c r="AC28" t="str">
        <f ca="1">IFERROR(__xludf.DUMMYFUNCTION("""COMPUTED_VALUE"""),"No preprint policy")</f>
        <v>No preprint policy</v>
      </c>
      <c r="AD28" s="448"/>
      <c r="AE28" s="464" t="str">
        <f ca="1">IFERROR(__xludf.DUMMYFUNCTION("""COMPUTED_VALUE"""),"System")</f>
        <v>System</v>
      </c>
      <c r="AF28" t="str">
        <f ca="1">IFERROR(__xludf.DUMMYFUNCTION("""COMPUTED_VALUE"""),"Humanities, Literature &amp; Arts")</f>
        <v>Humanities, Literature &amp; Arts</v>
      </c>
      <c r="AG28" t="str">
        <f ca="1">IFERROR(__xludf.DUMMYFUNCTION("""COMPUTED_VALUE"""),"No preprint policy")</f>
        <v>No preprint policy</v>
      </c>
      <c r="AH28" s="448"/>
      <c r="AI28" s="464" t="str">
        <f ca="1">IFERROR(__xludf.DUMMYFUNCTION("""COMPUTED_VALUE"""),"PLoS One")</f>
        <v>PLoS One</v>
      </c>
      <c r="AJ28" t="str">
        <f ca="1">IFERROR(__xludf.DUMMYFUNCTION("""COMPUTED_VALUE"""),"Health &amp; Medical Sciences,
Life Sciences &amp; Earth Sciences")</f>
        <v>Health &amp; Medical Sciences,
Life Sciences &amp; Earth Sciences</v>
      </c>
      <c r="AK28" t="str">
        <f ca="1">IFERROR(__xludf.DUMMYFUNCTION("""COMPUTED_VALUE"""),"First submission only (before peer review)")</f>
        <v>First submission only (before peer review)</v>
      </c>
      <c r="AL28" s="448"/>
      <c r="AM28" t="str">
        <f ca="1">IFERROR(__xludf.DUMMYFUNCTION("""COMPUTED_VALUE"""),"Reviews of Modern Physics")</f>
        <v>Reviews of Modern Physics</v>
      </c>
      <c r="AN28" t="str">
        <f ca="1">IFERROR(__xludf.DUMMYFUNCTION("""COMPUTED_VALUE"""),"Physics &amp; Mathematics")</f>
        <v>Physics &amp; Mathematics</v>
      </c>
      <c r="AO28" t="str">
        <f ca="1">IFERROR(__xludf.DUMMYFUNCTION("""COMPUTED_VALUE"""),"Any")</f>
        <v>Any</v>
      </c>
      <c r="AP28" s="448"/>
      <c r="AQ28" t="str">
        <f ca="1">IFERROR(__xludf.DUMMYFUNCTION("""COMPUTED_VALUE"""),"Regional Studies")</f>
        <v>Regional Studies</v>
      </c>
      <c r="AR28" t="str">
        <f ca="1">IFERROR(__xludf.DUMMYFUNCTION("""COMPUTED_VALUE"""),"Social Sciences")</f>
        <v>Social Sciences</v>
      </c>
      <c r="AS28" t="str">
        <f ca="1">IFERROR(__xludf.DUMMYFUNCTION("""COMPUTED_VALUE"""),"No preprint policy")</f>
        <v>No preprint policy</v>
      </c>
    </row>
    <row r="29" spans="1:45" ht="15.75" customHeight="1">
      <c r="A29" s="462"/>
      <c r="B29" s="462"/>
      <c r="C29" t="str">
        <f ca="1">Filtered!I19</f>
        <v>Annals of the Rheumatic Diseases</v>
      </c>
      <c r="D29" t="str">
        <f ca="1">Filtered!J19</f>
        <v/>
      </c>
      <c r="E29" t="str">
        <f ca="1">Filtered!AH19</f>
        <v>After peer review (but not final, copyedited version)</v>
      </c>
      <c r="F29" t="b">
        <f t="shared" ca="1" si="9"/>
        <v>0</v>
      </c>
      <c r="G29" t="b">
        <f t="shared" ca="1" si="10"/>
        <v>0</v>
      </c>
      <c r="H29" t="b">
        <f t="shared" ca="1" si="11"/>
        <v>0</v>
      </c>
      <c r="I29" t="b">
        <f t="shared" ca="1" si="12"/>
        <v>0</v>
      </c>
      <c r="J29" t="b">
        <f t="shared" ca="1" si="13"/>
        <v>0</v>
      </c>
      <c r="K29" t="b">
        <f t="shared" ca="1" si="14"/>
        <v>0</v>
      </c>
      <c r="L29" t="b">
        <f t="shared" ca="1" si="15"/>
        <v>0</v>
      </c>
      <c r="M29" t="b">
        <f t="shared" ca="1" si="16"/>
        <v>0</v>
      </c>
      <c r="N29" s="448"/>
      <c r="O29" s="464" t="str">
        <f ca="1">IFERROR(__xludf.DUMMYFUNCTION("""COMPUTED_VALUE"""),"The Review of Financial Studies")</f>
        <v>The Review of Financial Studies</v>
      </c>
      <c r="P29" t="str">
        <f ca="1">IFERROR(__xludf.DUMMYFUNCTION("""COMPUTED_VALUE"""),"Business, Economics &amp; Management")</f>
        <v>Business, Economics &amp; Management</v>
      </c>
      <c r="Q29" t="str">
        <f ca="1">IFERROR(__xludf.DUMMYFUNCTION("""COMPUTED_VALUE"""),"After peer review (but not final, copyedited version)")</f>
        <v>After peer review (but not final, copyedited version)</v>
      </c>
      <c r="R29" s="448"/>
      <c r="S29" s="464" t="str">
        <f ca="1">IFERROR(__xludf.DUMMYFUNCTION("""COMPUTED_VALUE"""),"Nature Materials")</f>
        <v>Nature Materials</v>
      </c>
      <c r="T29" t="str">
        <f ca="1">IFERROR(__xludf.DUMMYFUNCTION("""COMPUTED_VALUE"""),"Chemical &amp; Materials Sciences,
Engineering &amp; Computer Science")</f>
        <v>Chemical &amp; Materials Sciences,
Engineering &amp; Computer Science</v>
      </c>
      <c r="U29" t="str">
        <f ca="1">IFERROR(__xludf.DUMMYFUNCTION("""COMPUTED_VALUE"""),"First submission only (before peer review)")</f>
        <v>First submission only (before peer review)</v>
      </c>
      <c r="V29" s="448"/>
      <c r="W29" s="464" t="str">
        <f ca="1">IFERROR(__xludf.DUMMYFUNCTION("""COMPUTED_VALUE"""),"Nature Photonics")</f>
        <v>Nature Photonics</v>
      </c>
      <c r="X29" t="str">
        <f ca="1">IFERROR(__xludf.DUMMYFUNCTION("""COMPUTED_VALUE"""),"Engineering &amp; Computer Science,
Physics &amp; Mathematics")</f>
        <v>Engineering &amp; Computer Science,
Physics &amp; Mathematics</v>
      </c>
      <c r="Y29" t="str">
        <f ca="1">IFERROR(__xludf.DUMMYFUNCTION("""COMPUTED_VALUE"""),"First submission only (before peer review)")</f>
        <v>First submission only (before peer review)</v>
      </c>
      <c r="Z29" s="448"/>
      <c r="AA29" s="464" t="str">
        <f ca="1">IFERROR(__xludf.DUMMYFUNCTION("""COMPUTED_VALUE"""),"The Lancet")</f>
        <v>The Lancet</v>
      </c>
      <c r="AB29" t="str">
        <f ca="1">IFERROR(__xludf.DUMMYFUNCTION("""COMPUTED_VALUE"""),"Health &amp; Medical Sciences")</f>
        <v>Health &amp; Medical Sciences</v>
      </c>
      <c r="AC29" t="str">
        <f ca="1">IFERROR(__xludf.DUMMYFUNCTION("""COMPUTED_VALUE"""),"Unsure")</f>
        <v>Unsure</v>
      </c>
      <c r="AD29" s="448"/>
      <c r="AE29" s="464" t="str">
        <f ca="1">IFERROR(__xludf.DUMMYFUNCTION("""COMPUTED_VALUE"""),"TESOL Quarterly")</f>
        <v>TESOL Quarterly</v>
      </c>
      <c r="AF29" t="str">
        <f ca="1">IFERROR(__xludf.DUMMYFUNCTION("""COMPUTED_VALUE"""),"Humanities, Literature &amp; Arts")</f>
        <v>Humanities, Literature &amp; Arts</v>
      </c>
      <c r="AG29" t="str">
        <f ca="1">IFERROR(__xludf.DUMMYFUNCTION("""COMPUTED_VALUE"""),"No preprint policy")</f>
        <v>No preprint policy</v>
      </c>
      <c r="AH29" s="448"/>
      <c r="AI29" s="464" t="str">
        <f ca="1">IFERROR(__xludf.DUMMYFUNCTION("""COMPUTED_VALUE"""),"Proceedings of the National Academy of Sciences")</f>
        <v>Proceedings of the National Academy of Sciences</v>
      </c>
      <c r="AJ29" t="str">
        <f ca="1">IFERROR(__xludf.DUMMYFUNCTION("""COMPUTED_VALUE"""),"Health &amp; Medical Sciences,
Life Sciences &amp; Earth Sciences")</f>
        <v>Health &amp; Medical Sciences,
Life Sciences &amp; Earth Sciences</v>
      </c>
      <c r="AK29" t="str">
        <f ca="1">IFERROR(__xludf.DUMMYFUNCTION("""COMPUTED_VALUE"""),"Unsure (preprints are allowed, but it's not clear what version")</f>
        <v>Unsure (preprints are allowed, but it's not clear what version</v>
      </c>
      <c r="AL29" s="448"/>
      <c r="AM29" t="str">
        <f ca="1">IFERROR(__xludf.DUMMYFUNCTION("""COMPUTED_VALUE"""),"The Astrophysical Journal")</f>
        <v>The Astrophysical Journal</v>
      </c>
      <c r="AN29" t="str">
        <f ca="1">IFERROR(__xludf.DUMMYFUNCTION("""COMPUTED_VALUE"""),"Physics &amp; Mathematics")</f>
        <v>Physics &amp; Mathematics</v>
      </c>
      <c r="AO29" t="str">
        <f ca="1">IFERROR(__xludf.DUMMYFUNCTION("""COMPUTED_VALUE"""),"No preprint policy")</f>
        <v>No preprint policy</v>
      </c>
      <c r="AP29" s="448"/>
      <c r="AQ29" t="str">
        <f ca="1">IFERROR(__xludf.DUMMYFUNCTION("""COMPUTED_VALUE"""),"Research Policy")</f>
        <v>Research Policy</v>
      </c>
      <c r="AR29" t="str">
        <f ca="1">IFERROR(__xludf.DUMMYFUNCTION("""COMPUTED_VALUE"""),"Social Sciences")</f>
        <v>Social Sciences</v>
      </c>
      <c r="AS29" t="str">
        <f ca="1">IFERROR(__xludf.DUMMYFUNCTION("""COMPUTED_VALUE"""),"First submission only (before peer review)")</f>
        <v>First submission only (before peer review)</v>
      </c>
    </row>
    <row r="30" spans="1:45" ht="15.75" customHeight="1">
      <c r="A30" s="462"/>
      <c r="B30" s="462"/>
      <c r="C30" t="str">
        <f ca="1">Filtered!I20</f>
        <v>Annals of Tourism Research</v>
      </c>
      <c r="D30" t="str">
        <f ca="1">Filtered!J20</f>
        <v>Social Sciences</v>
      </c>
      <c r="E30" t="str">
        <f ca="1">Filtered!AH20</f>
        <v>Any</v>
      </c>
      <c r="F30" t="b">
        <f t="shared" ca="1" si="9"/>
        <v>0</v>
      </c>
      <c r="G30" t="b">
        <f t="shared" ca="1" si="10"/>
        <v>0</v>
      </c>
      <c r="H30" t="b">
        <f t="shared" ca="1" si="11"/>
        <v>0</v>
      </c>
      <c r="I30" t="b">
        <f t="shared" ca="1" si="12"/>
        <v>0</v>
      </c>
      <c r="J30" t="b">
        <f t="shared" ca="1" si="13"/>
        <v>0</v>
      </c>
      <c r="K30" t="b">
        <f t="shared" ca="1" si="14"/>
        <v>0</v>
      </c>
      <c r="L30" t="b">
        <f t="shared" ca="1" si="15"/>
        <v>0</v>
      </c>
      <c r="M30" t="b">
        <f t="shared" ca="1" si="16"/>
        <v>1</v>
      </c>
      <c r="N30" s="448"/>
      <c r="O30" s="464" t="str">
        <f ca="1">IFERROR(__xludf.DUMMYFUNCTION("""COMPUTED_VALUE"""),"Tourism Management")</f>
        <v>Tourism Management</v>
      </c>
      <c r="P30" t="str">
        <f ca="1">IFERROR(__xludf.DUMMYFUNCTION("""COMPUTED_VALUE"""),"Business, Economics &amp; Management")</f>
        <v>Business, Economics &amp; Management</v>
      </c>
      <c r="Q30" t="str">
        <f ca="1">IFERROR(__xludf.DUMMYFUNCTION("""COMPUTED_VALUE"""),"First submission only (before peer review)")</f>
        <v>First submission only (before peer review)</v>
      </c>
      <c r="R30" s="448"/>
      <c r="S30" s="464" t="str">
        <f ca="1">IFERROR(__xludf.DUMMYFUNCTION("""COMPUTED_VALUE"""),"Nature Nanotechnology")</f>
        <v>Nature Nanotechnology</v>
      </c>
      <c r="T30" t="str">
        <f ca="1">IFERROR(__xludf.DUMMYFUNCTION("""COMPUTED_VALUE"""),"Chemical &amp; Materials Sciences,
Engineering &amp; Computer Science")</f>
        <v>Chemical &amp; Materials Sciences,
Engineering &amp; Computer Science</v>
      </c>
      <c r="U30" t="str">
        <f ca="1">IFERROR(__xludf.DUMMYFUNCTION("""COMPUTED_VALUE"""),"First submission only (before peer review)")</f>
        <v>First submission only (before peer review)</v>
      </c>
      <c r="V30" s="448"/>
      <c r="W30" s="464" t="str">
        <f ca="1">IFERROR(__xludf.DUMMYFUNCTION("""COMPUTED_VALUE"""),"Neural Information Processing Systems (NIPS)")</f>
        <v>Neural Information Processing Systems (NIPS)</v>
      </c>
      <c r="X30" t="str">
        <f ca="1">IFERROR(__xludf.DUMMYFUNCTION("""COMPUTED_VALUE"""),"Engineering &amp; Computer Science")</f>
        <v>Engineering &amp; Computer Science</v>
      </c>
      <c r="Y30" t="str">
        <f ca="1">IFERROR(__xludf.DUMMYFUNCTION("""COMPUTED_VALUE"""),"Unclear")</f>
        <v>Unclear</v>
      </c>
      <c r="Z30" s="448"/>
      <c r="AA30" s="464" t="str">
        <f ca="1">IFERROR(__xludf.DUMMYFUNCTION("""COMPUTED_VALUE"""),"The Lancet Oncology")</f>
        <v>The Lancet Oncology</v>
      </c>
      <c r="AB30" t="str">
        <f ca="1">IFERROR(__xludf.DUMMYFUNCTION("""COMPUTED_VALUE"""),"Health &amp; Medical Sciences")</f>
        <v>Health &amp; Medical Sciences</v>
      </c>
      <c r="AC30" t="str">
        <f ca="1">IFERROR(__xludf.DUMMYFUNCTION("""COMPUTED_VALUE"""),"First submission only")</f>
        <v>First submission only</v>
      </c>
      <c r="AD30" s="448"/>
      <c r="AE30" s="464" t="str">
        <f ca="1">IFERROR(__xludf.DUMMYFUNCTION("""COMPUTED_VALUE"""),"The China Quarterly")</f>
        <v>The China Quarterly</v>
      </c>
      <c r="AF30" t="str">
        <f ca="1">IFERROR(__xludf.DUMMYFUNCTION("""COMPUTED_VALUE"""),"Humanities, Literature &amp; Arts")</f>
        <v>Humanities, Literature &amp; Arts</v>
      </c>
      <c r="AG30" t="str">
        <f ca="1">IFERROR(__xludf.DUMMYFUNCTION("""COMPUTED_VALUE"""),"No preprint policy")</f>
        <v>No preprint policy</v>
      </c>
      <c r="AH30" s="448"/>
      <c r="AI30" s="464" t="str">
        <f ca="1">IFERROR(__xludf.DUMMYFUNCTION("""COMPUTED_VALUE"""),"Science")</f>
        <v>Science</v>
      </c>
      <c r="AJ30" t="str">
        <f ca="1">IFERROR(__xludf.DUMMYFUNCTION("""COMPUTED_VALUE"""),"Life Sciences &amp; Earth Sciences")</f>
        <v>Life Sciences &amp; Earth Sciences</v>
      </c>
      <c r="AK30" t="str">
        <f ca="1">IFERROR(__xludf.DUMMYFUNCTION("""COMPUTED_VALUE"""),"First submission only (before peer review)")</f>
        <v>First submission only (before peer review)</v>
      </c>
      <c r="AL30" s="448"/>
      <c r="AM30" t="str">
        <f ca="1">IFERROR(__xludf.DUMMYFUNCTION("""COMPUTED_VALUE"""),"The European Physical Journal C")</f>
        <v>The European Physical Journal C</v>
      </c>
      <c r="AN30" t="str">
        <f ca="1">IFERROR(__xludf.DUMMYFUNCTION("""COMPUTED_VALUE"""),"Physics &amp; Mathematics")</f>
        <v>Physics &amp; Mathematics</v>
      </c>
      <c r="AO30" t="str">
        <f ca="1">IFERROR(__xludf.DUMMYFUNCTION("""COMPUTED_VALUE"""),"Any (OA) or After peer review (non-OA)")</f>
        <v>Any (OA) or After peer review (non-OA)</v>
      </c>
      <c r="AP30" s="448"/>
      <c r="AQ30" t="str">
        <f ca="1">IFERROR(__xludf.DUMMYFUNCTION("""COMPUTED_VALUE"""),"Social Science &amp; Medicine")</f>
        <v>Social Science &amp; Medicine</v>
      </c>
      <c r="AR30" t="str">
        <f ca="1">IFERROR(__xludf.DUMMYFUNCTION("""COMPUTED_VALUE"""),"Social Sciences")</f>
        <v>Social Sciences</v>
      </c>
      <c r="AS30" t="str">
        <f ca="1">IFERROR(__xludf.DUMMYFUNCTION("""COMPUTED_VALUE"""),"First submission only")</f>
        <v>First submission only</v>
      </c>
    </row>
    <row r="31" spans="1:45" ht="15.75" customHeight="1">
      <c r="A31" s="462"/>
      <c r="B31" s="462"/>
      <c r="C31" t="str">
        <f ca="1">Filtered!I21</f>
        <v>Applied Energy</v>
      </c>
      <c r="D31" t="str">
        <f ca="1">Filtered!J21</f>
        <v/>
      </c>
      <c r="E31" t="str">
        <f ca="1">Filtered!AH21</f>
        <v>Any</v>
      </c>
      <c r="F31" t="b">
        <f t="shared" ca="1" si="9"/>
        <v>0</v>
      </c>
      <c r="G31" t="b">
        <f t="shared" ca="1" si="10"/>
        <v>0</v>
      </c>
      <c r="H31" t="b">
        <f t="shared" ca="1" si="11"/>
        <v>0</v>
      </c>
      <c r="I31" t="b">
        <f t="shared" ca="1" si="12"/>
        <v>0</v>
      </c>
      <c r="J31" t="b">
        <f t="shared" ca="1" si="13"/>
        <v>0</v>
      </c>
      <c r="K31" t="b">
        <f t="shared" ca="1" si="14"/>
        <v>0</v>
      </c>
      <c r="L31" t="b">
        <f t="shared" ca="1" si="15"/>
        <v>0</v>
      </c>
      <c r="M31" t="b">
        <f t="shared" ca="1" si="16"/>
        <v>0</v>
      </c>
      <c r="N31" s="448"/>
      <c r="O31" s="464" t="str">
        <f ca="1">IFERROR(__xludf.DUMMYFUNCTION("""COMPUTED_VALUE"""),"World Development")</f>
        <v>World Development</v>
      </c>
      <c r="P31" t="str">
        <f ca="1">IFERROR(__xludf.DUMMYFUNCTION("""COMPUTED_VALUE"""),"Business, Economics &amp; Management")</f>
        <v>Business, Economics &amp; Management</v>
      </c>
      <c r="Q31" t="str">
        <f ca="1">IFERROR(__xludf.DUMMYFUNCTION("""COMPUTED_VALUE"""),"Unsure (preprints are allowed, but it's not clear what version)")</f>
        <v>Unsure (preprints are allowed, but it's not clear what version)</v>
      </c>
      <c r="R31" s="448"/>
      <c r="S31" s="464" t="str">
        <f ca="1">IFERROR(__xludf.DUMMYFUNCTION("""COMPUTED_VALUE"""),"The Journal of Physical Chemistry Letters")</f>
        <v>The Journal of Physical Chemistry Letters</v>
      </c>
      <c r="T31" t="str">
        <f ca="1">IFERROR(__xludf.DUMMYFUNCTION("""COMPUTED_VALUE"""),"Physics &amp; Mathematics, Chemical &amp; Materials Sciences")</f>
        <v>Physics &amp; Mathematics, Chemical &amp; Materials Sciences</v>
      </c>
      <c r="U31" t="str">
        <f ca="1">IFERROR(__xludf.DUMMYFUNCTION("""COMPUTED_VALUE"""),"First submission only")</f>
        <v>First submission only</v>
      </c>
      <c r="V31" s="448"/>
      <c r="W31" s="464" t="str">
        <f ca="1">IFERROR(__xludf.DUMMYFUNCTION("""COMPUTED_VALUE"""),"Renewable and Sustainable Energy Reviews")</f>
        <v>Renewable and Sustainable Energy Reviews</v>
      </c>
      <c r="X31" t="str">
        <f ca="1">IFERROR(__xludf.DUMMYFUNCTION("""COMPUTED_VALUE"""),"Engineering &amp; Computer Science")</f>
        <v>Engineering &amp; Computer Science</v>
      </c>
      <c r="Y31" t="str">
        <f ca="1">IFERROR(__xludf.DUMMYFUNCTION("""COMPUTED_VALUE"""),"Unsure (preprints are allowed, but it's not clear what version)")</f>
        <v>Unsure (preprints are allowed, but it's not clear what version)</v>
      </c>
      <c r="Z31" s="448"/>
      <c r="AA31" s="464" t="str">
        <f ca="1">IFERROR(__xludf.DUMMYFUNCTION("""COMPUTED_VALUE"""),"The New England Journal of Medicine")</f>
        <v>The New England Journal of Medicine</v>
      </c>
      <c r="AB31" t="str">
        <f ca="1">IFERROR(__xludf.DUMMYFUNCTION("""COMPUTED_VALUE"""),"Health &amp; Medical Sciences")</f>
        <v>Health &amp; Medical Sciences</v>
      </c>
      <c r="AC31" t="str">
        <f ca="1">IFERROR(__xludf.DUMMYFUNCTION("""COMPUTED_VALUE"""),"None (preprints not allowed)")</f>
        <v>None (preprints not allowed)</v>
      </c>
      <c r="AD31" s="448"/>
      <c r="AE31" s="464" t="str">
        <f ca="1">IFERROR(__xludf.DUMMYFUNCTION("""COMPUTED_VALUE"""),"The Modern Language Journal")</f>
        <v>The Modern Language Journal</v>
      </c>
      <c r="AF31" t="str">
        <f ca="1">IFERROR(__xludf.DUMMYFUNCTION("""COMPUTED_VALUE"""),"Humanities, Literature &amp; Arts")</f>
        <v>Humanities, Literature &amp; Arts</v>
      </c>
      <c r="AG31" t="str">
        <f ca="1">IFERROR(__xludf.DUMMYFUNCTION("""COMPUTED_VALUE"""),"No preprint policy")</f>
        <v>No preprint policy</v>
      </c>
      <c r="AH31" s="448"/>
      <c r="AI31" s="464" t="str">
        <f ca="1">IFERROR(__xludf.DUMMYFUNCTION("""COMPUTED_VALUE"""),"Scientific Reports")</f>
        <v>Scientific Reports</v>
      </c>
      <c r="AJ31" t="str">
        <f ca="1">IFERROR(__xludf.DUMMYFUNCTION("""COMPUTED_VALUE"""),"Life Sciences &amp; Earth Sciences")</f>
        <v>Life Sciences &amp; Earth Sciences</v>
      </c>
      <c r="AK31" t="str">
        <f ca="1">IFERROR(__xludf.DUMMYFUNCTION("""COMPUTED_VALUE"""),"Any")</f>
        <v>Any</v>
      </c>
      <c r="AL31" s="448"/>
      <c r="AM31" t="str">
        <f ca="1">IFERROR(__xludf.DUMMYFUNCTION("""COMPUTED_VALUE"""),"The Journal of Physical Chemistry Letters")</f>
        <v>The Journal of Physical Chemistry Letters</v>
      </c>
      <c r="AN31" t="str">
        <f ca="1">IFERROR(__xludf.DUMMYFUNCTION("""COMPUTED_VALUE"""),"Physics &amp; Mathematics, Chemical &amp; Materials Sciences")</f>
        <v>Physics &amp; Mathematics, Chemical &amp; Materials Sciences</v>
      </c>
      <c r="AO31" t="str">
        <f ca="1">IFERROR(__xludf.DUMMYFUNCTION("""COMPUTED_VALUE"""),"First submission only")</f>
        <v>First submission only</v>
      </c>
      <c r="AP31" s="448"/>
      <c r="AQ31" t="str">
        <f ca="1">IFERROR(__xludf.DUMMYFUNCTION("""COMPUTED_VALUE"""),"Teaching and Teacher Education")</f>
        <v>Teaching and Teacher Education</v>
      </c>
      <c r="AR31" t="str">
        <f ca="1">IFERROR(__xludf.DUMMYFUNCTION("""COMPUTED_VALUE"""),"Social Sciences")</f>
        <v>Social Sciences</v>
      </c>
      <c r="AS31" t="str">
        <f ca="1">IFERROR(__xludf.DUMMYFUNCTION("""COMPUTED_VALUE"""),"First submission only")</f>
        <v>First submission only</v>
      </c>
    </row>
    <row r="32" spans="1:45" ht="13">
      <c r="A32" s="462"/>
      <c r="B32" s="462"/>
      <c r="C32" t="str">
        <f ca="1">Filtered!I22</f>
        <v>Applied Linguistics</v>
      </c>
      <c r="D32" t="str">
        <f ca="1">Filtered!J22</f>
        <v>Humanities, Literature &amp; Arts</v>
      </c>
      <c r="E32" t="str">
        <f ca="1">Filtered!AH22</f>
        <v>Unsure (preprint can be posted)</v>
      </c>
      <c r="F32" t="b">
        <f t="shared" ca="1" si="9"/>
        <v>0</v>
      </c>
      <c r="G32" t="b">
        <f t="shared" ca="1" si="10"/>
        <v>0</v>
      </c>
      <c r="H32" t="b">
        <f t="shared" ca="1" si="11"/>
        <v>0</v>
      </c>
      <c r="I32" t="b">
        <f t="shared" ca="1" si="12"/>
        <v>0</v>
      </c>
      <c r="J32" t="b">
        <f t="shared" ca="1" si="13"/>
        <v>1</v>
      </c>
      <c r="K32" t="b">
        <f t="shared" ca="1" si="14"/>
        <v>0</v>
      </c>
      <c r="L32" t="b">
        <f t="shared" ca="1" si="15"/>
        <v>0</v>
      </c>
      <c r="M32" t="b">
        <f t="shared" ca="1" si="16"/>
        <v>0</v>
      </c>
      <c r="N32" s="448"/>
      <c r="O32" s="464"/>
      <c r="R32" s="448"/>
      <c r="S32" s="464"/>
      <c r="V32" s="448"/>
      <c r="W32" s="464"/>
      <c r="Z32" s="448"/>
      <c r="AA32" s="464"/>
      <c r="AD32" s="448"/>
      <c r="AE32" s="464"/>
      <c r="AH32" s="448"/>
      <c r="AI32" s="464"/>
      <c r="AL32" s="448"/>
      <c r="AP32" s="448"/>
    </row>
    <row r="33" spans="1:42" ht="13">
      <c r="A33" s="462"/>
      <c r="B33" s="462"/>
      <c r="C33" t="str">
        <f ca="1">Filtered!I23</f>
        <v>Applied Physics Letters</v>
      </c>
      <c r="D33" t="str">
        <f ca="1">Filtered!J23</f>
        <v/>
      </c>
      <c r="E33" t="str">
        <f ca="1">Filtered!AH23</f>
        <v>No preprint policy</v>
      </c>
      <c r="F33" t="b">
        <f t="shared" ca="1" si="9"/>
        <v>0</v>
      </c>
      <c r="G33" t="b">
        <f t="shared" ca="1" si="10"/>
        <v>0</v>
      </c>
      <c r="H33" t="b">
        <f t="shared" ca="1" si="11"/>
        <v>0</v>
      </c>
      <c r="I33" t="b">
        <f t="shared" ca="1" si="12"/>
        <v>0</v>
      </c>
      <c r="J33" t="b">
        <f t="shared" ca="1" si="13"/>
        <v>0</v>
      </c>
      <c r="K33" t="b">
        <f t="shared" ca="1" si="14"/>
        <v>0</v>
      </c>
      <c r="L33" t="b">
        <f t="shared" ca="1" si="15"/>
        <v>0</v>
      </c>
      <c r="M33" t="b">
        <f t="shared" ca="1" si="16"/>
        <v>0</v>
      </c>
      <c r="N33" s="448"/>
      <c r="O33" s="464"/>
      <c r="R33" s="448"/>
      <c r="S33" s="464"/>
      <c r="V33" s="448"/>
      <c r="W33" s="464"/>
      <c r="Z33" s="448"/>
      <c r="AA33" s="464"/>
      <c r="AD33" s="448"/>
      <c r="AE33" s="464"/>
      <c r="AH33" s="448"/>
      <c r="AI33" s="464"/>
      <c r="AL33" s="448"/>
      <c r="AP33" s="448"/>
    </row>
    <row r="34" spans="1:42" ht="13">
      <c r="A34" s="462"/>
      <c r="B34" s="462"/>
      <c r="C34" t="str">
        <f ca="1">Filtered!I24</f>
        <v>Astronomy &amp; Astrophysics</v>
      </c>
      <c r="D34" t="str">
        <f ca="1">Filtered!J24</f>
        <v>Physics &amp; Mathematics</v>
      </c>
      <c r="E34" t="str">
        <f ca="1">Filtered!AH24</f>
        <v>Unsure</v>
      </c>
      <c r="F34" t="b">
        <f t="shared" ca="1" si="9"/>
        <v>0</v>
      </c>
      <c r="G34" t="b">
        <f t="shared" ca="1" si="10"/>
        <v>0</v>
      </c>
      <c r="H34" t="b">
        <f t="shared" ca="1" si="11"/>
        <v>0</v>
      </c>
      <c r="I34" t="b">
        <f t="shared" ca="1" si="12"/>
        <v>0</v>
      </c>
      <c r="J34" t="b">
        <f t="shared" ca="1" si="13"/>
        <v>0</v>
      </c>
      <c r="K34" t="b">
        <f t="shared" ca="1" si="14"/>
        <v>0</v>
      </c>
      <c r="L34" t="b">
        <f t="shared" ca="1" si="15"/>
        <v>1</v>
      </c>
      <c r="M34" t="b">
        <f t="shared" ca="1" si="16"/>
        <v>0</v>
      </c>
      <c r="N34" s="448"/>
      <c r="O34" s="464"/>
      <c r="R34" s="448"/>
      <c r="S34" s="464"/>
      <c r="V34" s="448"/>
      <c r="W34" s="464"/>
      <c r="Z34" s="448"/>
      <c r="AA34" s="464"/>
      <c r="AD34" s="448"/>
      <c r="AE34" s="464"/>
      <c r="AH34" s="448"/>
      <c r="AI34" s="464"/>
      <c r="AL34" s="448"/>
      <c r="AP34" s="448"/>
    </row>
    <row r="35" spans="1:42" ht="13">
      <c r="A35" s="462"/>
      <c r="B35" s="462"/>
      <c r="C35" t="str">
        <f ca="1">Filtered!I25</f>
        <v>Biomaterials</v>
      </c>
      <c r="D35" t="str">
        <f ca="1">Filtered!J25</f>
        <v/>
      </c>
      <c r="E35" t="str">
        <f ca="1">Filtered!AH25</f>
        <v>Any (arXiv &amp; RePEc)</v>
      </c>
      <c r="F35" t="b">
        <f t="shared" ca="1" si="9"/>
        <v>0</v>
      </c>
      <c r="G35" t="b">
        <f t="shared" ca="1" si="10"/>
        <v>0</v>
      </c>
      <c r="H35" t="b">
        <f t="shared" ca="1" si="11"/>
        <v>0</v>
      </c>
      <c r="I35" t="b">
        <f t="shared" ca="1" si="12"/>
        <v>0</v>
      </c>
      <c r="J35" t="b">
        <f t="shared" ca="1" si="13"/>
        <v>0</v>
      </c>
      <c r="K35" t="b">
        <f t="shared" ca="1" si="14"/>
        <v>0</v>
      </c>
      <c r="L35" t="b">
        <f t="shared" ca="1" si="15"/>
        <v>0</v>
      </c>
      <c r="M35" t="b">
        <f t="shared" ca="1" si="16"/>
        <v>0</v>
      </c>
      <c r="N35" s="448"/>
      <c r="O35" s="464"/>
      <c r="R35" s="448"/>
      <c r="S35" s="464"/>
      <c r="V35" s="448"/>
      <c r="W35" s="464"/>
      <c r="Z35" s="448"/>
      <c r="AA35" s="464"/>
      <c r="AD35" s="448"/>
      <c r="AE35" s="464"/>
      <c r="AH35" s="448"/>
      <c r="AI35" s="464"/>
      <c r="AL35" s="448"/>
      <c r="AP35" s="448"/>
    </row>
    <row r="36" spans="1:42" ht="13">
      <c r="A36" s="462"/>
      <c r="B36" s="462"/>
      <c r="C36" t="str">
        <f ca="1">Filtered!I26</f>
        <v>Blood</v>
      </c>
      <c r="D36" t="str">
        <f ca="1">Filtered!J26</f>
        <v>Health &amp; Medical Sciences</v>
      </c>
      <c r="E36" t="str">
        <f ca="1">Filtered!AH26</f>
        <v>First submission only (before peer review)</v>
      </c>
      <c r="F36" t="b">
        <f t="shared" ca="1" si="9"/>
        <v>0</v>
      </c>
      <c r="G36" t="b">
        <f t="shared" ca="1" si="10"/>
        <v>0</v>
      </c>
      <c r="H36" t="b">
        <f t="shared" ca="1" si="11"/>
        <v>0</v>
      </c>
      <c r="I36" t="b">
        <f t="shared" ca="1" si="12"/>
        <v>1</v>
      </c>
      <c r="J36" t="b">
        <f t="shared" ca="1" si="13"/>
        <v>0</v>
      </c>
      <c r="K36" t="b">
        <f t="shared" ca="1" si="14"/>
        <v>0</v>
      </c>
      <c r="L36" t="b">
        <f t="shared" ca="1" si="15"/>
        <v>0</v>
      </c>
      <c r="M36" t="b">
        <f t="shared" ca="1" si="16"/>
        <v>0</v>
      </c>
      <c r="N36" s="448"/>
      <c r="O36" s="464"/>
      <c r="R36" s="448"/>
      <c r="S36" s="464"/>
      <c r="V36" s="448"/>
      <c r="W36" s="464"/>
      <c r="Z36" s="448"/>
      <c r="AA36" s="464"/>
      <c r="AD36" s="448"/>
      <c r="AE36" s="464"/>
      <c r="AH36" s="448"/>
      <c r="AI36" s="464"/>
      <c r="AL36" s="448"/>
      <c r="AP36" s="448"/>
    </row>
    <row r="37" spans="1:42" ht="13">
      <c r="A37" s="462"/>
      <c r="B37" s="462"/>
      <c r="C37" t="str">
        <f ca="1">Filtered!I27</f>
        <v>BMJ</v>
      </c>
      <c r="D37" t="str">
        <f ca="1">Filtered!J27</f>
        <v>Health &amp; Medical Sciences</v>
      </c>
      <c r="E37" t="str">
        <f ca="1">Filtered!AH27</f>
        <v>Any</v>
      </c>
      <c r="F37" t="b">
        <f t="shared" ca="1" si="9"/>
        <v>0</v>
      </c>
      <c r="G37" t="b">
        <f t="shared" ca="1" si="10"/>
        <v>0</v>
      </c>
      <c r="H37" t="b">
        <f t="shared" ca="1" si="11"/>
        <v>0</v>
      </c>
      <c r="I37" t="b">
        <f t="shared" ca="1" si="12"/>
        <v>1</v>
      </c>
      <c r="J37" t="b">
        <f t="shared" ca="1" si="13"/>
        <v>0</v>
      </c>
      <c r="K37" t="b">
        <f t="shared" ca="1" si="14"/>
        <v>0</v>
      </c>
      <c r="L37" t="b">
        <f t="shared" ca="1" si="15"/>
        <v>0</v>
      </c>
      <c r="M37" t="b">
        <f t="shared" ca="1" si="16"/>
        <v>0</v>
      </c>
      <c r="N37" s="448"/>
      <c r="O37" s="464"/>
      <c r="R37" s="448"/>
      <c r="S37" s="464"/>
      <c r="V37" s="448"/>
      <c r="W37" s="464"/>
      <c r="Z37" s="448"/>
      <c r="AA37" s="464"/>
      <c r="AD37" s="448"/>
      <c r="AE37" s="464"/>
      <c r="AH37" s="448"/>
      <c r="AI37" s="464"/>
      <c r="AL37" s="448"/>
      <c r="AP37" s="448"/>
    </row>
    <row r="38" spans="1:42" ht="13">
      <c r="A38" s="462"/>
      <c r="B38" s="462"/>
      <c r="C38" t="str">
        <f ca="1">Filtered!I28</f>
        <v>Cancer Cell</v>
      </c>
      <c r="D38" t="str">
        <f ca="1">Filtered!J28</f>
        <v/>
      </c>
      <c r="E38" t="str">
        <f ca="1">Filtered!AH28</f>
        <v>First submission only (before peer review)</v>
      </c>
      <c r="F38" t="b">
        <f t="shared" ca="1" si="9"/>
        <v>0</v>
      </c>
      <c r="G38" t="b">
        <f t="shared" ca="1" si="10"/>
        <v>0</v>
      </c>
      <c r="H38" t="b">
        <f t="shared" ca="1" si="11"/>
        <v>0</v>
      </c>
      <c r="I38" t="b">
        <f t="shared" ca="1" si="12"/>
        <v>0</v>
      </c>
      <c r="J38" t="b">
        <f t="shared" ca="1" si="13"/>
        <v>0</v>
      </c>
      <c r="K38" t="b">
        <f t="shared" ca="1" si="14"/>
        <v>0</v>
      </c>
      <c r="L38" t="b">
        <f t="shared" ca="1" si="15"/>
        <v>0</v>
      </c>
      <c r="M38" t="b">
        <f t="shared" ca="1" si="16"/>
        <v>0</v>
      </c>
      <c r="N38" s="448"/>
      <c r="O38" s="464"/>
      <c r="R38" s="448"/>
      <c r="S38" s="464"/>
      <c r="V38" s="448"/>
      <c r="W38" s="464"/>
      <c r="Z38" s="448"/>
      <c r="AA38" s="464"/>
      <c r="AD38" s="448"/>
      <c r="AE38" s="464"/>
      <c r="AH38" s="448"/>
      <c r="AI38" s="464"/>
      <c r="AL38" s="448"/>
      <c r="AP38" s="448"/>
    </row>
    <row r="39" spans="1:42" ht="13">
      <c r="A39" s="462"/>
      <c r="B39" s="462"/>
      <c r="C39" t="str">
        <f ca="1">Filtered!I29</f>
        <v>Cancer Research</v>
      </c>
      <c r="D39" t="str">
        <f ca="1">Filtered!J29</f>
        <v/>
      </c>
      <c r="E39" t="str">
        <f ca="1">Filtered!AH29</f>
        <v>First submission only (before peer review)</v>
      </c>
      <c r="F39" t="b">
        <f t="shared" ca="1" si="9"/>
        <v>0</v>
      </c>
      <c r="G39" t="b">
        <f t="shared" ca="1" si="10"/>
        <v>0</v>
      </c>
      <c r="H39" t="b">
        <f t="shared" ca="1" si="11"/>
        <v>0</v>
      </c>
      <c r="I39" t="b">
        <f t="shared" ca="1" si="12"/>
        <v>0</v>
      </c>
      <c r="J39" t="b">
        <f t="shared" ca="1" si="13"/>
        <v>0</v>
      </c>
      <c r="K39" t="b">
        <f t="shared" ca="1" si="14"/>
        <v>0</v>
      </c>
      <c r="L39" t="b">
        <f t="shared" ca="1" si="15"/>
        <v>0</v>
      </c>
      <c r="M39" t="b">
        <f t="shared" ca="1" si="16"/>
        <v>0</v>
      </c>
      <c r="N39" s="448"/>
      <c r="O39" s="464"/>
      <c r="R39" s="448"/>
      <c r="S39" s="464"/>
      <c r="V39" s="448"/>
      <c r="W39" s="464"/>
      <c r="Z39" s="448"/>
      <c r="AA39" s="464"/>
      <c r="AD39" s="448"/>
      <c r="AE39" s="464"/>
      <c r="AH39" s="448"/>
      <c r="AI39" s="464"/>
      <c r="AL39" s="448"/>
      <c r="AP39" s="448"/>
    </row>
    <row r="40" spans="1:42" ht="13">
      <c r="A40" s="462"/>
      <c r="B40" s="462"/>
      <c r="C40" t="str">
        <f ca="1">Filtered!I30</f>
        <v>Cell</v>
      </c>
      <c r="D40" t="str">
        <f ca="1">Filtered!J30</f>
        <v>Health &amp; Medical Sciences, Life Sciences &amp; Earth Sciences</v>
      </c>
      <c r="E40" t="str">
        <f ca="1">Filtered!AH30</f>
        <v>First submission only (before peer review)</v>
      </c>
      <c r="F40" t="b">
        <f t="shared" ca="1" si="9"/>
        <v>0</v>
      </c>
      <c r="G40" t="b">
        <f t="shared" ca="1" si="10"/>
        <v>0</v>
      </c>
      <c r="H40" t="b">
        <f t="shared" ca="1" si="11"/>
        <v>0</v>
      </c>
      <c r="I40" t="b">
        <f t="shared" ca="1" si="12"/>
        <v>1</v>
      </c>
      <c r="J40" t="b">
        <f t="shared" ca="1" si="13"/>
        <v>0</v>
      </c>
      <c r="K40" t="b">
        <f t="shared" ca="1" si="14"/>
        <v>1</v>
      </c>
      <c r="L40" t="b">
        <f t="shared" ca="1" si="15"/>
        <v>0</v>
      </c>
      <c r="M40" t="b">
        <f t="shared" ca="1" si="16"/>
        <v>0</v>
      </c>
      <c r="N40" s="448"/>
      <c r="O40" s="464"/>
      <c r="R40" s="448"/>
      <c r="S40" s="464"/>
      <c r="V40" s="448"/>
      <c r="W40" s="464"/>
      <c r="Z40" s="448"/>
      <c r="AA40" s="464"/>
      <c r="AD40" s="448"/>
      <c r="AE40" s="464"/>
      <c r="AH40" s="448"/>
      <c r="AI40" s="464"/>
      <c r="AL40" s="448"/>
      <c r="AP40" s="448"/>
    </row>
    <row r="41" spans="1:42" ht="13">
      <c r="A41" s="462"/>
      <c r="B41" s="462"/>
      <c r="C41" t="str">
        <f ca="1">Filtered!I31</f>
        <v>Cell Metabolism</v>
      </c>
      <c r="D41" t="str">
        <f ca="1">Filtered!J31</f>
        <v>Life Sciences &amp; Earth Sciences</v>
      </c>
      <c r="E41" t="str">
        <f ca="1">Filtered!AH31</f>
        <v>First submission only (before peer review)</v>
      </c>
      <c r="F41" t="b">
        <f t="shared" ca="1" si="9"/>
        <v>0</v>
      </c>
      <c r="G41" t="b">
        <f t="shared" ca="1" si="10"/>
        <v>0</v>
      </c>
      <c r="H41" t="b">
        <f t="shared" ca="1" si="11"/>
        <v>0</v>
      </c>
      <c r="I41" t="b">
        <f t="shared" ca="1" si="12"/>
        <v>0</v>
      </c>
      <c r="J41" t="b">
        <f t="shared" ca="1" si="13"/>
        <v>0</v>
      </c>
      <c r="K41" t="b">
        <f t="shared" ca="1" si="14"/>
        <v>1</v>
      </c>
      <c r="L41" t="b">
        <f t="shared" ca="1" si="15"/>
        <v>0</v>
      </c>
      <c r="M41" t="b">
        <f t="shared" ca="1" si="16"/>
        <v>0</v>
      </c>
      <c r="N41" s="448"/>
      <c r="O41" s="464"/>
      <c r="R41" s="448"/>
      <c r="S41" s="464"/>
      <c r="V41" s="448"/>
      <c r="W41" s="464"/>
      <c r="Z41" s="448"/>
      <c r="AA41" s="464"/>
      <c r="AD41" s="448"/>
      <c r="AE41" s="464"/>
      <c r="AH41" s="448"/>
      <c r="AI41" s="464"/>
      <c r="AL41" s="448"/>
      <c r="AP41" s="448"/>
    </row>
    <row r="42" spans="1:42" ht="13">
      <c r="A42" s="462"/>
      <c r="B42" s="462"/>
      <c r="C42" t="str">
        <f ca="1">Filtered!I32</f>
        <v>Cell Stem Cell</v>
      </c>
      <c r="D42" t="str">
        <f ca="1">Filtered!J32</f>
        <v>Life Sciences &amp; Earth Sciences</v>
      </c>
      <c r="E42" t="str">
        <f ca="1">Filtered!AH32</f>
        <v>First submission only (before peer review)</v>
      </c>
      <c r="F42" t="b">
        <f t="shared" ca="1" si="9"/>
        <v>0</v>
      </c>
      <c r="G42" t="b">
        <f t="shared" ca="1" si="10"/>
        <v>0</v>
      </c>
      <c r="H42" t="b">
        <f t="shared" ca="1" si="11"/>
        <v>0</v>
      </c>
      <c r="I42" t="b">
        <f t="shared" ca="1" si="12"/>
        <v>0</v>
      </c>
      <c r="J42" t="b">
        <f t="shared" ca="1" si="13"/>
        <v>0</v>
      </c>
      <c r="K42" t="b">
        <f t="shared" ca="1" si="14"/>
        <v>1</v>
      </c>
      <c r="L42" t="b">
        <f t="shared" ca="1" si="15"/>
        <v>0</v>
      </c>
      <c r="M42" t="b">
        <f t="shared" ca="1" si="16"/>
        <v>0</v>
      </c>
      <c r="N42" s="448"/>
      <c r="O42" s="464"/>
      <c r="R42" s="448"/>
      <c r="S42" s="464"/>
      <c r="V42" s="448"/>
      <c r="W42" s="464"/>
      <c r="Z42" s="448"/>
      <c r="AA42" s="464"/>
      <c r="AD42" s="448"/>
      <c r="AE42" s="464"/>
      <c r="AH42" s="448"/>
      <c r="AI42" s="464"/>
      <c r="AL42" s="448"/>
      <c r="AP42" s="448"/>
    </row>
    <row r="43" spans="1:42" ht="13">
      <c r="A43" s="462"/>
      <c r="B43" s="462"/>
      <c r="C43" t="str">
        <f ca="1">Filtered!I33</f>
        <v>Chemical communications (Cambridge, England)</v>
      </c>
      <c r="D43" t="str">
        <f ca="1">Filtered!J33</f>
        <v>Chemical &amp; Materials Sciences</v>
      </c>
      <c r="E43" t="str">
        <f ca="1">Filtered!AH33</f>
        <v>Unsure (preprints are allowed, but it's not clear what version)</v>
      </c>
      <c r="F43" t="b">
        <f t="shared" ca="1" si="9"/>
        <v>0</v>
      </c>
      <c r="G43" t="b">
        <f t="shared" ca="1" si="10"/>
        <v>1</v>
      </c>
      <c r="H43" t="b">
        <f t="shared" ca="1" si="11"/>
        <v>0</v>
      </c>
      <c r="I43" t="b">
        <f t="shared" ca="1" si="12"/>
        <v>0</v>
      </c>
      <c r="J43" t="b">
        <f t="shared" ca="1" si="13"/>
        <v>0</v>
      </c>
      <c r="K43" t="b">
        <f t="shared" ca="1" si="14"/>
        <v>0</v>
      </c>
      <c r="L43" t="b">
        <f t="shared" ca="1" si="15"/>
        <v>0</v>
      </c>
      <c r="M43" t="b">
        <f t="shared" ca="1" si="16"/>
        <v>0</v>
      </c>
      <c r="N43" s="448"/>
      <c r="O43" s="464"/>
      <c r="R43" s="448"/>
      <c r="S43" s="464"/>
      <c r="V43" s="448"/>
      <c r="W43" s="464"/>
      <c r="Z43" s="448"/>
      <c r="AA43" s="464"/>
      <c r="AD43" s="448"/>
      <c r="AE43" s="464"/>
      <c r="AH43" s="448"/>
      <c r="AI43" s="464"/>
      <c r="AL43" s="448"/>
      <c r="AP43" s="448"/>
    </row>
    <row r="44" spans="1:42" ht="13">
      <c r="A44" s="462"/>
      <c r="B44" s="462"/>
      <c r="C44" t="str">
        <f ca="1">Filtered!I34</f>
        <v>Chemical Reviews</v>
      </c>
      <c r="D44" t="str">
        <f ca="1">Filtered!J34</f>
        <v>Chemical &amp; Materials Sciences</v>
      </c>
      <c r="E44" t="str">
        <f ca="1">Filtered!AH34</f>
        <v>Other</v>
      </c>
      <c r="F44" t="b">
        <f t="shared" ca="1" si="9"/>
        <v>0</v>
      </c>
      <c r="G44" t="b">
        <f t="shared" ca="1" si="10"/>
        <v>1</v>
      </c>
      <c r="H44" t="b">
        <f t="shared" ca="1" si="11"/>
        <v>0</v>
      </c>
      <c r="I44" t="b">
        <f t="shared" ca="1" si="12"/>
        <v>0</v>
      </c>
      <c r="J44" t="b">
        <f t="shared" ca="1" si="13"/>
        <v>0</v>
      </c>
      <c r="K44" t="b">
        <f t="shared" ca="1" si="14"/>
        <v>0</v>
      </c>
      <c r="L44" t="b">
        <f t="shared" ca="1" si="15"/>
        <v>0</v>
      </c>
      <c r="M44" t="b">
        <f t="shared" ca="1" si="16"/>
        <v>0</v>
      </c>
      <c r="N44" s="448"/>
      <c r="O44" s="464"/>
      <c r="R44" s="448"/>
      <c r="S44" s="464"/>
      <c r="V44" s="448"/>
      <c r="W44" s="464"/>
      <c r="Z44" s="448"/>
      <c r="AA44" s="464"/>
      <c r="AD44" s="448"/>
      <c r="AE44" s="464"/>
      <c r="AH44" s="448"/>
      <c r="AI44" s="464"/>
      <c r="AL44" s="448"/>
      <c r="AP44" s="448"/>
    </row>
    <row r="45" spans="1:42" ht="13">
      <c r="A45" s="462"/>
      <c r="B45" s="462"/>
      <c r="C45" t="str">
        <f ca="1">Filtered!I35</f>
        <v>Chemical Society reviews</v>
      </c>
      <c r="D45" t="str">
        <f ca="1">Filtered!J35</f>
        <v>Chemical &amp; Materials Sciences</v>
      </c>
      <c r="E45" t="str">
        <f ca="1">Filtered!AH35</f>
        <v>First submission only (before peer review)</v>
      </c>
      <c r="F45" t="b">
        <f t="shared" ca="1" si="9"/>
        <v>0</v>
      </c>
      <c r="G45" t="b">
        <f t="shared" ca="1" si="10"/>
        <v>1</v>
      </c>
      <c r="H45" t="b">
        <f t="shared" ca="1" si="11"/>
        <v>0</v>
      </c>
      <c r="I45" t="b">
        <f t="shared" ca="1" si="12"/>
        <v>0</v>
      </c>
      <c r="J45" t="b">
        <f t="shared" ca="1" si="13"/>
        <v>0</v>
      </c>
      <c r="K45" t="b">
        <f t="shared" ca="1" si="14"/>
        <v>0</v>
      </c>
      <c r="L45" t="b">
        <f t="shared" ca="1" si="15"/>
        <v>0</v>
      </c>
      <c r="M45" t="b">
        <f t="shared" ca="1" si="16"/>
        <v>0</v>
      </c>
      <c r="N45" s="448"/>
      <c r="O45" s="464"/>
      <c r="R45" s="448"/>
      <c r="S45" s="464"/>
      <c r="V45" s="448"/>
      <c r="W45" s="464"/>
      <c r="Z45" s="448"/>
      <c r="AA45" s="464"/>
      <c r="AD45" s="448"/>
      <c r="AE45" s="464"/>
      <c r="AH45" s="448"/>
      <c r="AI45" s="464"/>
      <c r="AL45" s="448"/>
      <c r="AP45" s="448"/>
    </row>
    <row r="46" spans="1:42" ht="13">
      <c r="A46" s="462"/>
      <c r="B46" s="462"/>
      <c r="C46" t="str">
        <f ca="1">Filtered!I36</f>
        <v>Chemistry of Materials</v>
      </c>
      <c r="D46" t="str">
        <f ca="1">Filtered!J36</f>
        <v>Chemical &amp; Materials Sciences,
Engineering &amp; Computer Science</v>
      </c>
      <c r="E46" t="str">
        <f ca="1">Filtered!AH36</f>
        <v>First submission only (before peer review)</v>
      </c>
      <c r="F46" t="b">
        <f t="shared" ca="1" si="9"/>
        <v>0</v>
      </c>
      <c r="G46" t="b">
        <f t="shared" ca="1" si="10"/>
        <v>1</v>
      </c>
      <c r="H46" t="b">
        <f t="shared" ca="1" si="11"/>
        <v>1</v>
      </c>
      <c r="I46" t="b">
        <f t="shared" ca="1" si="12"/>
        <v>0</v>
      </c>
      <c r="J46" t="b">
        <f t="shared" ca="1" si="13"/>
        <v>0</v>
      </c>
      <c r="K46" t="b">
        <f t="shared" ca="1" si="14"/>
        <v>0</v>
      </c>
      <c r="L46" t="b">
        <f t="shared" ca="1" si="15"/>
        <v>0</v>
      </c>
      <c r="M46" t="b">
        <f t="shared" ca="1" si="16"/>
        <v>0</v>
      </c>
      <c r="N46" s="448"/>
      <c r="O46" s="464"/>
      <c r="R46" s="448"/>
      <c r="S46" s="464"/>
      <c r="V46" s="448"/>
      <c r="W46" s="464"/>
      <c r="Z46" s="448"/>
      <c r="AA46" s="464"/>
      <c r="AD46" s="448"/>
      <c r="AE46" s="464"/>
      <c r="AH46" s="448"/>
      <c r="AI46" s="464"/>
      <c r="AL46" s="448"/>
      <c r="AP46" s="448"/>
    </row>
    <row r="47" spans="1:42" ht="13">
      <c r="A47" s="462"/>
      <c r="B47" s="462"/>
      <c r="C47" t="str">
        <f ca="1">Filtered!I37</f>
        <v>Circulation</v>
      </c>
      <c r="D47" t="str">
        <f ca="1">Filtered!J37</f>
        <v>Health &amp; Medical Sciences</v>
      </c>
      <c r="E47" t="str">
        <f ca="1">Filtered!AH37</f>
        <v>First submission only (before peer review)</v>
      </c>
      <c r="F47" t="b">
        <f t="shared" ca="1" si="9"/>
        <v>0</v>
      </c>
      <c r="G47" t="b">
        <f t="shared" ca="1" si="10"/>
        <v>0</v>
      </c>
      <c r="H47" t="b">
        <f t="shared" ca="1" si="11"/>
        <v>0</v>
      </c>
      <c r="I47" t="b">
        <f t="shared" ca="1" si="12"/>
        <v>1</v>
      </c>
      <c r="J47" t="b">
        <f t="shared" ca="1" si="13"/>
        <v>0</v>
      </c>
      <c r="K47" t="b">
        <f t="shared" ca="1" si="14"/>
        <v>0</v>
      </c>
      <c r="L47" t="b">
        <f t="shared" ca="1" si="15"/>
        <v>0</v>
      </c>
      <c r="M47" t="b">
        <f t="shared" ca="1" si="16"/>
        <v>0</v>
      </c>
      <c r="N47" s="448"/>
      <c r="O47" s="464"/>
      <c r="R47" s="448"/>
      <c r="S47" s="464"/>
      <c r="V47" s="448"/>
      <c r="W47" s="464"/>
      <c r="Z47" s="448"/>
      <c r="AA47" s="464"/>
      <c r="AD47" s="448"/>
      <c r="AE47" s="464"/>
      <c r="AH47" s="448"/>
      <c r="AI47" s="464"/>
      <c r="AL47" s="448"/>
      <c r="AP47" s="448"/>
    </row>
    <row r="48" spans="1:42" ht="13">
      <c r="A48" s="462"/>
      <c r="B48" s="462"/>
      <c r="C48" t="str">
        <f ca="1">Filtered!I38</f>
        <v>Circulation Research</v>
      </c>
      <c r="D48" t="str">
        <f ca="1">Filtered!J38</f>
        <v/>
      </c>
      <c r="E48" t="str">
        <f ca="1">Filtered!AH38</f>
        <v>First submission only (before peer review)</v>
      </c>
      <c r="F48" t="b">
        <f t="shared" ca="1" si="9"/>
        <v>0</v>
      </c>
      <c r="G48" t="b">
        <f t="shared" ca="1" si="10"/>
        <v>0</v>
      </c>
      <c r="H48" t="b">
        <f t="shared" ca="1" si="11"/>
        <v>0</v>
      </c>
      <c r="I48" t="b">
        <f t="shared" ca="1" si="12"/>
        <v>0</v>
      </c>
      <c r="J48" t="b">
        <f t="shared" ca="1" si="13"/>
        <v>0</v>
      </c>
      <c r="K48" t="b">
        <f t="shared" ca="1" si="14"/>
        <v>0</v>
      </c>
      <c r="L48" t="b">
        <f t="shared" ca="1" si="15"/>
        <v>0</v>
      </c>
      <c r="M48" t="b">
        <f t="shared" ca="1" si="16"/>
        <v>0</v>
      </c>
      <c r="N48" s="448"/>
      <c r="O48" s="464"/>
      <c r="R48" s="448"/>
      <c r="S48" s="464"/>
      <c r="V48" s="448"/>
      <c r="W48" s="464"/>
      <c r="Z48" s="448"/>
      <c r="AA48" s="464"/>
      <c r="AD48" s="448"/>
      <c r="AE48" s="464"/>
      <c r="AH48" s="448"/>
      <c r="AI48" s="464"/>
      <c r="AL48" s="448"/>
      <c r="AP48" s="448"/>
    </row>
    <row r="49" spans="1:42" ht="13">
      <c r="A49" s="462"/>
      <c r="B49" s="462"/>
      <c r="C49" t="str">
        <f ca="1">Filtered!I39</f>
        <v>Clinical Cancer Research</v>
      </c>
      <c r="D49" t="str">
        <f ca="1">Filtered!J39</f>
        <v/>
      </c>
      <c r="E49" t="str">
        <f ca="1">Filtered!AH39</f>
        <v>First submission only (before peer review)</v>
      </c>
      <c r="F49" t="b">
        <f t="shared" ca="1" si="9"/>
        <v>0</v>
      </c>
      <c r="G49" t="b">
        <f t="shared" ca="1" si="10"/>
        <v>0</v>
      </c>
      <c r="H49" t="b">
        <f t="shared" ca="1" si="11"/>
        <v>0</v>
      </c>
      <c r="I49" t="b">
        <f t="shared" ca="1" si="12"/>
        <v>0</v>
      </c>
      <c r="J49" t="b">
        <f t="shared" ca="1" si="13"/>
        <v>0</v>
      </c>
      <c r="K49" t="b">
        <f t="shared" ca="1" si="14"/>
        <v>0</v>
      </c>
      <c r="L49" t="b">
        <f t="shared" ca="1" si="15"/>
        <v>0</v>
      </c>
      <c r="M49" t="b">
        <f t="shared" ca="1" si="16"/>
        <v>0</v>
      </c>
      <c r="N49" s="448"/>
      <c r="O49" s="464"/>
      <c r="R49" s="448"/>
      <c r="S49" s="464"/>
      <c r="V49" s="448"/>
      <c r="W49" s="464"/>
      <c r="Z49" s="448"/>
      <c r="AA49" s="464"/>
      <c r="AD49" s="448"/>
      <c r="AE49" s="464"/>
      <c r="AH49" s="448"/>
      <c r="AI49" s="464"/>
      <c r="AL49" s="448"/>
      <c r="AP49" s="448"/>
    </row>
    <row r="50" spans="1:42" ht="13">
      <c r="A50" s="462"/>
      <c r="B50" s="462"/>
      <c r="C50" t="str">
        <f ca="1">Filtered!I40</f>
        <v>Computers &amp; Education</v>
      </c>
      <c r="D50" t="str">
        <f ca="1">Filtered!J40</f>
        <v/>
      </c>
      <c r="E50" t="str">
        <f ca="1">Filtered!AH40</f>
        <v>Any</v>
      </c>
      <c r="F50" t="b">
        <f t="shared" ca="1" si="9"/>
        <v>0</v>
      </c>
      <c r="G50" t="b">
        <f t="shared" ca="1" si="10"/>
        <v>0</v>
      </c>
      <c r="H50" t="b">
        <f t="shared" ca="1" si="11"/>
        <v>0</v>
      </c>
      <c r="I50" t="b">
        <f t="shared" ca="1" si="12"/>
        <v>0</v>
      </c>
      <c r="J50" t="b">
        <f t="shared" ca="1" si="13"/>
        <v>0</v>
      </c>
      <c r="K50" t="b">
        <f t="shared" ca="1" si="14"/>
        <v>0</v>
      </c>
      <c r="L50" t="b">
        <f t="shared" ca="1" si="15"/>
        <v>0</v>
      </c>
      <c r="M50" t="b">
        <f t="shared" ca="1" si="16"/>
        <v>0</v>
      </c>
      <c r="N50" s="448"/>
      <c r="O50" s="464"/>
      <c r="R50" s="448"/>
      <c r="S50" s="464"/>
      <c r="V50" s="448"/>
      <c r="W50" s="464"/>
      <c r="Z50" s="448"/>
      <c r="AA50" s="464"/>
      <c r="AD50" s="448"/>
      <c r="AE50" s="464"/>
      <c r="AH50" s="448"/>
      <c r="AI50" s="464"/>
      <c r="AL50" s="448"/>
      <c r="AP50" s="448"/>
    </row>
    <row r="51" spans="1:42" ht="13">
      <c r="A51" s="462"/>
      <c r="B51" s="462"/>
      <c r="C51" t="str">
        <f ca="1">Filtered!I41</f>
        <v>Diabetes Care</v>
      </c>
      <c r="D51" t="str">
        <f ca="1">Filtered!J41</f>
        <v/>
      </c>
      <c r="E51" t="str">
        <f ca="1">Filtered!AH41</f>
        <v>Unsure (preprints are allowed, but it's not clear what version)</v>
      </c>
      <c r="F51" t="b">
        <f t="shared" ca="1" si="9"/>
        <v>0</v>
      </c>
      <c r="G51" t="b">
        <f t="shared" ca="1" si="10"/>
        <v>0</v>
      </c>
      <c r="H51" t="b">
        <f t="shared" ca="1" si="11"/>
        <v>0</v>
      </c>
      <c r="I51" t="b">
        <f t="shared" ca="1" si="12"/>
        <v>0</v>
      </c>
      <c r="J51" t="b">
        <f t="shared" ca="1" si="13"/>
        <v>0</v>
      </c>
      <c r="K51" t="b">
        <f t="shared" ca="1" si="14"/>
        <v>0</v>
      </c>
      <c r="L51" t="b">
        <f t="shared" ca="1" si="15"/>
        <v>0</v>
      </c>
      <c r="M51" t="b">
        <f t="shared" ca="1" si="16"/>
        <v>0</v>
      </c>
      <c r="N51" s="448"/>
      <c r="O51" s="464"/>
      <c r="R51" s="448"/>
      <c r="S51" s="464"/>
      <c r="V51" s="448"/>
      <c r="W51" s="464"/>
      <c r="Z51" s="448"/>
      <c r="AA51" s="464"/>
      <c r="AD51" s="448"/>
      <c r="AE51" s="464"/>
      <c r="AH51" s="448"/>
      <c r="AI51" s="464"/>
      <c r="AL51" s="448"/>
      <c r="AP51" s="448"/>
    </row>
    <row r="52" spans="1:42" ht="13">
      <c r="A52" s="462"/>
      <c r="B52" s="462"/>
      <c r="C52" t="str">
        <f ca="1">Filtered!I42</f>
        <v>Digital Journalism</v>
      </c>
      <c r="D52" t="str">
        <f ca="1">Filtered!J42</f>
        <v>Humanities, Literature &amp; Arts</v>
      </c>
      <c r="E52" t="str">
        <f ca="1">Filtered!AH42</f>
        <v>No preprint policy</v>
      </c>
      <c r="F52" t="b">
        <f t="shared" ca="1" si="9"/>
        <v>0</v>
      </c>
      <c r="G52" t="b">
        <f t="shared" ca="1" si="10"/>
        <v>0</v>
      </c>
      <c r="H52" t="b">
        <f t="shared" ca="1" si="11"/>
        <v>0</v>
      </c>
      <c r="I52" t="b">
        <f t="shared" ca="1" si="12"/>
        <v>0</v>
      </c>
      <c r="J52" t="b">
        <f t="shared" ca="1" si="13"/>
        <v>1</v>
      </c>
      <c r="K52" t="b">
        <f t="shared" ca="1" si="14"/>
        <v>0</v>
      </c>
      <c r="L52" t="b">
        <f t="shared" ca="1" si="15"/>
        <v>0</v>
      </c>
      <c r="M52" t="b">
        <f t="shared" ca="1" si="16"/>
        <v>0</v>
      </c>
      <c r="N52" s="448"/>
      <c r="O52" s="464"/>
      <c r="R52" s="448"/>
      <c r="S52" s="464"/>
      <c r="V52" s="448"/>
      <c r="W52" s="464"/>
      <c r="Z52" s="448"/>
      <c r="AA52" s="464"/>
      <c r="AD52" s="448"/>
      <c r="AE52" s="464"/>
      <c r="AH52" s="448"/>
      <c r="AI52" s="464"/>
      <c r="AL52" s="448"/>
      <c r="AP52" s="448"/>
    </row>
    <row r="53" spans="1:42" ht="13">
      <c r="A53" s="462"/>
      <c r="B53" s="462"/>
      <c r="C53" t="str">
        <f ca="1">Filtered!I43</f>
        <v>Econometrica</v>
      </c>
      <c r="D53" t="str">
        <f ca="1">Filtered!J43</f>
        <v>Business, Economics &amp; Management</v>
      </c>
      <c r="E53" t="str">
        <f ca="1">Filtered!AH43</f>
        <v>Other (references prior publication, but not preprints specifically; "in any case this will be decided on a case-by-case basis")</v>
      </c>
      <c r="F53" t="b">
        <f t="shared" ca="1" si="9"/>
        <v>1</v>
      </c>
      <c r="G53" t="b">
        <f t="shared" ca="1" si="10"/>
        <v>0</v>
      </c>
      <c r="H53" t="b">
        <f t="shared" ca="1" si="11"/>
        <v>0</v>
      </c>
      <c r="I53" t="b">
        <f t="shared" ca="1" si="12"/>
        <v>0</v>
      </c>
      <c r="J53" t="b">
        <f t="shared" ca="1" si="13"/>
        <v>0</v>
      </c>
      <c r="K53" t="b">
        <f t="shared" ca="1" si="14"/>
        <v>0</v>
      </c>
      <c r="L53" t="b">
        <f t="shared" ca="1" si="15"/>
        <v>0</v>
      </c>
      <c r="M53" t="b">
        <f t="shared" ca="1" si="16"/>
        <v>0</v>
      </c>
      <c r="N53" s="448"/>
      <c r="O53" s="464"/>
      <c r="R53" s="448"/>
      <c r="S53" s="464"/>
      <c r="V53" s="448"/>
      <c r="W53" s="464"/>
      <c r="Z53" s="448"/>
      <c r="AA53" s="464"/>
      <c r="AD53" s="448"/>
      <c r="AE53" s="464"/>
      <c r="AH53" s="448"/>
      <c r="AI53" s="464"/>
      <c r="AL53" s="448"/>
      <c r="AP53" s="448"/>
    </row>
    <row r="54" spans="1:42" ht="13">
      <c r="A54" s="462"/>
      <c r="B54" s="462"/>
      <c r="C54" t="str">
        <f ca="1">Filtered!I44</f>
        <v>Energy and Environmental Science</v>
      </c>
      <c r="D54" t="str">
        <f ca="1">Filtered!J44</f>
        <v>Chemical &amp; Materials Sciences, Engineering &amp; Computer Science</v>
      </c>
      <c r="E54" t="str">
        <f ca="1">Filtered!AH44</f>
        <v>First submission only (before peer review)</v>
      </c>
      <c r="F54" t="b">
        <f t="shared" ca="1" si="9"/>
        <v>0</v>
      </c>
      <c r="G54" t="b">
        <f t="shared" ca="1" si="10"/>
        <v>1</v>
      </c>
      <c r="H54" t="b">
        <f t="shared" ca="1" si="11"/>
        <v>1</v>
      </c>
      <c r="I54" t="b">
        <f t="shared" ca="1" si="12"/>
        <v>0</v>
      </c>
      <c r="J54" t="b">
        <f t="shared" ca="1" si="13"/>
        <v>0</v>
      </c>
      <c r="K54" t="b">
        <f t="shared" ca="1" si="14"/>
        <v>0</v>
      </c>
      <c r="L54" t="b">
        <f t="shared" ca="1" si="15"/>
        <v>0</v>
      </c>
      <c r="M54" t="b">
        <f t="shared" ca="1" si="16"/>
        <v>0</v>
      </c>
      <c r="N54" s="448"/>
      <c r="O54" s="464"/>
      <c r="R54" s="448"/>
      <c r="S54" s="464"/>
      <c r="V54" s="448"/>
      <c r="W54" s="464"/>
      <c r="Z54" s="448"/>
      <c r="AA54" s="464"/>
      <c r="AD54" s="448"/>
      <c r="AE54" s="464"/>
      <c r="AH54" s="448"/>
      <c r="AI54" s="464"/>
      <c r="AL54" s="448"/>
      <c r="AP54" s="448"/>
    </row>
    <row r="55" spans="1:42" ht="13">
      <c r="A55" s="462"/>
      <c r="B55" s="462"/>
      <c r="C55" t="str">
        <f ca="1">Filtered!I45</f>
        <v>Environmental Science &amp; Technology</v>
      </c>
      <c r="D55" t="str">
        <f ca="1">Filtered!J45</f>
        <v>Life Sciences &amp; Earth Sciences</v>
      </c>
      <c r="E55" t="str">
        <f ca="1">Filtered!AH45</f>
        <v>Unsure (preprints are allowed, but it's not clear what version)</v>
      </c>
      <c r="F55" t="b">
        <f t="shared" ca="1" si="9"/>
        <v>0</v>
      </c>
      <c r="G55" t="b">
        <f t="shared" ca="1" si="10"/>
        <v>0</v>
      </c>
      <c r="H55" t="b">
        <f t="shared" ca="1" si="11"/>
        <v>0</v>
      </c>
      <c r="I55" t="b">
        <f t="shared" ca="1" si="12"/>
        <v>0</v>
      </c>
      <c r="J55" t="b">
        <f t="shared" ca="1" si="13"/>
        <v>0</v>
      </c>
      <c r="K55" t="b">
        <f t="shared" ca="1" si="14"/>
        <v>1</v>
      </c>
      <c r="L55" t="b">
        <f t="shared" ca="1" si="15"/>
        <v>0</v>
      </c>
      <c r="M55" t="b">
        <f t="shared" ca="1" si="16"/>
        <v>0</v>
      </c>
      <c r="N55" s="448"/>
      <c r="O55" s="464"/>
      <c r="R55" s="448"/>
      <c r="S55" s="464"/>
      <c r="V55" s="448"/>
      <c r="W55" s="464"/>
      <c r="Z55" s="448"/>
      <c r="AA55" s="464"/>
      <c r="AD55" s="448"/>
      <c r="AE55" s="464"/>
      <c r="AH55" s="448"/>
      <c r="AI55" s="464"/>
      <c r="AL55" s="448"/>
      <c r="AP55" s="448"/>
    </row>
    <row r="56" spans="1:42" ht="13">
      <c r="A56" s="462"/>
      <c r="B56" s="462"/>
      <c r="C56" t="str">
        <f ca="1">Filtered!I46</f>
        <v>European Heart Journal</v>
      </c>
      <c r="D56" t="str">
        <f ca="1">Filtered!J46</f>
        <v>Health &amp; Medical Sciences</v>
      </c>
      <c r="E56" t="str">
        <f ca="1">Filtered!AH46</f>
        <v>First submission only (before peer review)</v>
      </c>
      <c r="F56" t="b">
        <f t="shared" ca="1" si="9"/>
        <v>0</v>
      </c>
      <c r="G56" t="b">
        <f t="shared" ca="1" si="10"/>
        <v>0</v>
      </c>
      <c r="H56" t="b">
        <f t="shared" ca="1" si="11"/>
        <v>0</v>
      </c>
      <c r="I56" t="b">
        <f t="shared" ca="1" si="12"/>
        <v>1</v>
      </c>
      <c r="J56" t="b">
        <f t="shared" ca="1" si="13"/>
        <v>0</v>
      </c>
      <c r="K56" t="b">
        <f t="shared" ca="1" si="14"/>
        <v>0</v>
      </c>
      <c r="L56" t="b">
        <f t="shared" ca="1" si="15"/>
        <v>0</v>
      </c>
      <c r="M56" t="b">
        <f t="shared" ca="1" si="16"/>
        <v>0</v>
      </c>
      <c r="N56" s="448"/>
      <c r="O56" s="464"/>
      <c r="R56" s="448"/>
      <c r="S56" s="464"/>
      <c r="V56" s="448"/>
      <c r="W56" s="464"/>
      <c r="Z56" s="448"/>
      <c r="AA56" s="464"/>
      <c r="AD56" s="448"/>
      <c r="AE56" s="464"/>
      <c r="AH56" s="448"/>
      <c r="AI56" s="464"/>
      <c r="AL56" s="448"/>
      <c r="AP56" s="448"/>
    </row>
    <row r="57" spans="1:42" ht="13">
      <c r="A57" s="462"/>
      <c r="B57" s="462"/>
      <c r="C57" t="str">
        <f ca="1">Filtered!I47</f>
        <v>European Urology</v>
      </c>
      <c r="D57" t="str">
        <f ca="1">Filtered!J47</f>
        <v/>
      </c>
      <c r="E57" t="str">
        <f ca="1">Filtered!AH47</f>
        <v>No preprint policy</v>
      </c>
      <c r="F57" t="b">
        <f t="shared" ca="1" si="9"/>
        <v>0</v>
      </c>
      <c r="G57" t="b">
        <f t="shared" ca="1" si="10"/>
        <v>0</v>
      </c>
      <c r="H57" t="b">
        <f t="shared" ca="1" si="11"/>
        <v>0</v>
      </c>
      <c r="I57" t="b">
        <f t="shared" ca="1" si="12"/>
        <v>0</v>
      </c>
      <c r="J57" t="b">
        <f t="shared" ca="1" si="13"/>
        <v>0</v>
      </c>
      <c r="K57" t="b">
        <f t="shared" ca="1" si="14"/>
        <v>0</v>
      </c>
      <c r="L57" t="b">
        <f t="shared" ca="1" si="15"/>
        <v>0</v>
      </c>
      <c r="M57" t="b">
        <f t="shared" ca="1" si="16"/>
        <v>0</v>
      </c>
      <c r="N57" s="448"/>
      <c r="O57" s="464"/>
      <c r="R57" s="448"/>
      <c r="S57" s="464"/>
      <c r="V57" s="448"/>
      <c r="W57" s="464"/>
      <c r="Z57" s="448"/>
      <c r="AA57" s="464"/>
      <c r="AD57" s="448"/>
      <c r="AE57" s="464"/>
      <c r="AH57" s="448"/>
      <c r="AI57" s="464"/>
      <c r="AL57" s="448"/>
      <c r="AP57" s="448"/>
    </row>
    <row r="58" spans="1:42" ht="13">
      <c r="A58" s="462"/>
      <c r="B58" s="462"/>
      <c r="C58" t="str">
        <f ca="1">Filtered!I48</f>
        <v>Gastroenterology</v>
      </c>
      <c r="D58" t="str">
        <f ca="1">Filtered!J48</f>
        <v>Health &amp; Medical Sciences</v>
      </c>
      <c r="E58" t="str">
        <f ca="1">Filtered!AH48</f>
        <v>No preprint policy</v>
      </c>
      <c r="F58" t="b">
        <f t="shared" ca="1" si="9"/>
        <v>0</v>
      </c>
      <c r="G58" t="b">
        <f t="shared" ca="1" si="10"/>
        <v>0</v>
      </c>
      <c r="H58" t="b">
        <f t="shared" ca="1" si="11"/>
        <v>0</v>
      </c>
      <c r="I58" t="b">
        <f t="shared" ca="1" si="12"/>
        <v>1</v>
      </c>
      <c r="J58" t="b">
        <f t="shared" ca="1" si="13"/>
        <v>0</v>
      </c>
      <c r="K58" t="b">
        <f t="shared" ca="1" si="14"/>
        <v>0</v>
      </c>
      <c r="L58" t="b">
        <f t="shared" ca="1" si="15"/>
        <v>0</v>
      </c>
      <c r="M58" t="b">
        <f t="shared" ca="1" si="16"/>
        <v>0</v>
      </c>
      <c r="N58" s="448"/>
      <c r="O58" s="464"/>
      <c r="R58" s="448"/>
      <c r="S58" s="464"/>
      <c r="V58" s="448"/>
      <c r="W58" s="464"/>
      <c r="Z58" s="448"/>
      <c r="AA58" s="464"/>
      <c r="AD58" s="448"/>
      <c r="AE58" s="464"/>
      <c r="AH58" s="448"/>
      <c r="AI58" s="464"/>
      <c r="AL58" s="448"/>
      <c r="AP58" s="448"/>
    </row>
    <row r="59" spans="1:42" ht="13">
      <c r="A59" s="462"/>
      <c r="B59" s="462"/>
      <c r="C59" t="str">
        <f ca="1">Filtered!I49</f>
        <v>Gender &amp; Society</v>
      </c>
      <c r="D59" t="str">
        <f ca="1">Filtered!J49</f>
        <v>Humanities, Literature &amp; Arts</v>
      </c>
      <c r="E59" t="str">
        <f ca="1">Filtered!AH49</f>
        <v>After peer review (but not final, copyedited version)</v>
      </c>
      <c r="F59" t="b">
        <f t="shared" ca="1" si="9"/>
        <v>0</v>
      </c>
      <c r="G59" t="b">
        <f t="shared" ca="1" si="10"/>
        <v>0</v>
      </c>
      <c r="H59" t="b">
        <f t="shared" ca="1" si="11"/>
        <v>0</v>
      </c>
      <c r="I59" t="b">
        <f t="shared" ca="1" si="12"/>
        <v>0</v>
      </c>
      <c r="J59" t="b">
        <f t="shared" ca="1" si="13"/>
        <v>1</v>
      </c>
      <c r="K59" t="b">
        <f t="shared" ca="1" si="14"/>
        <v>0</v>
      </c>
      <c r="L59" t="b">
        <f t="shared" ca="1" si="15"/>
        <v>0</v>
      </c>
      <c r="M59" t="b">
        <f t="shared" ca="1" si="16"/>
        <v>0</v>
      </c>
      <c r="N59" s="448"/>
      <c r="O59" s="464"/>
      <c r="R59" s="448"/>
      <c r="S59" s="464"/>
      <c r="V59" s="448"/>
      <c r="W59" s="464"/>
      <c r="Z59" s="448"/>
      <c r="AA59" s="464"/>
      <c r="AD59" s="448"/>
      <c r="AE59" s="464"/>
      <c r="AH59" s="448"/>
      <c r="AI59" s="464"/>
      <c r="AL59" s="448"/>
      <c r="AP59" s="448"/>
    </row>
    <row r="60" spans="1:42" ht="13">
      <c r="A60" s="462"/>
      <c r="B60" s="462"/>
      <c r="C60" t="str">
        <f ca="1">Filtered!I50</f>
        <v>Geophysical Research Letters</v>
      </c>
      <c r="D60" t="str">
        <f ca="1">Filtered!J50</f>
        <v>Physics &amp; Mathematics</v>
      </c>
      <c r="E60" t="str">
        <f ca="1">Filtered!AH50</f>
        <v>After peer review (but not final, copyedited version)</v>
      </c>
      <c r="F60" t="b">
        <f t="shared" ca="1" si="9"/>
        <v>0</v>
      </c>
      <c r="G60" t="b">
        <f t="shared" ca="1" si="10"/>
        <v>0</v>
      </c>
      <c r="H60" t="b">
        <f t="shared" ca="1" si="11"/>
        <v>0</v>
      </c>
      <c r="I60" t="b">
        <f t="shared" ca="1" si="12"/>
        <v>0</v>
      </c>
      <c r="J60" t="b">
        <f t="shared" ca="1" si="13"/>
        <v>0</v>
      </c>
      <c r="K60" t="b">
        <f t="shared" ca="1" si="14"/>
        <v>0</v>
      </c>
      <c r="L60" t="b">
        <f t="shared" ca="1" si="15"/>
        <v>1</v>
      </c>
      <c r="M60" t="b">
        <f t="shared" ca="1" si="16"/>
        <v>0</v>
      </c>
      <c r="N60" s="448"/>
      <c r="O60" s="464"/>
      <c r="R60" s="448"/>
      <c r="S60" s="464"/>
      <c r="V60" s="448"/>
      <c r="W60" s="464"/>
      <c r="Z60" s="448"/>
      <c r="AA60" s="464"/>
      <c r="AD60" s="448"/>
      <c r="AE60" s="464"/>
      <c r="AH60" s="448"/>
      <c r="AI60" s="464"/>
      <c r="AL60" s="448"/>
      <c r="AP60" s="448"/>
    </row>
    <row r="61" spans="1:42" ht="13">
      <c r="A61" s="462"/>
      <c r="B61" s="462"/>
      <c r="C61" t="str">
        <f ca="1">Filtered!I51</f>
        <v>Global Environmental Change</v>
      </c>
      <c r="D61" t="str">
        <f ca="1">Filtered!J51</f>
        <v>Social Sciences</v>
      </c>
      <c r="E61" t="str">
        <f ca="1">Filtered!AH51</f>
        <v>Unsure (preprints are allowed, but it's not clear what version) - accepted version can be posted to arXiv &amp; RePEc</v>
      </c>
      <c r="F61" t="b">
        <f t="shared" ca="1" si="9"/>
        <v>0</v>
      </c>
      <c r="G61" t="b">
        <f t="shared" ca="1" si="10"/>
        <v>0</v>
      </c>
      <c r="H61" t="b">
        <f t="shared" ca="1" si="11"/>
        <v>0</v>
      </c>
      <c r="I61" t="b">
        <f t="shared" ca="1" si="12"/>
        <v>0</v>
      </c>
      <c r="J61" t="b">
        <f t="shared" ca="1" si="13"/>
        <v>0</v>
      </c>
      <c r="K61" t="b">
        <f t="shared" ca="1" si="14"/>
        <v>0</v>
      </c>
      <c r="L61" t="b">
        <f t="shared" ca="1" si="15"/>
        <v>0</v>
      </c>
      <c r="M61" t="b">
        <f t="shared" ca="1" si="16"/>
        <v>1</v>
      </c>
      <c r="N61" s="448"/>
      <c r="O61" s="464"/>
      <c r="R61" s="448"/>
      <c r="S61" s="464"/>
      <c r="V61" s="448"/>
      <c r="W61" s="464"/>
      <c r="Z61" s="448"/>
      <c r="AA61" s="464"/>
      <c r="AD61" s="448"/>
      <c r="AE61" s="464"/>
      <c r="AH61" s="448"/>
      <c r="AI61" s="464"/>
      <c r="AL61" s="448"/>
      <c r="AP61" s="448"/>
    </row>
    <row r="62" spans="1:42" ht="13">
      <c r="A62" s="462"/>
      <c r="B62" s="462"/>
      <c r="C62" t="str">
        <f ca="1">Filtered!I52</f>
        <v>Government Information Quarterly</v>
      </c>
      <c r="D62" t="str">
        <f ca="1">Filtered!J52</f>
        <v>Social Sciences</v>
      </c>
      <c r="E62" t="str">
        <f ca="1">Filtered!AH52</f>
        <v>Unsure (preprints are allowed, but it's not clear what version) - accepted version can be posted to arXiv &amp; RePEc</v>
      </c>
      <c r="F62" t="b">
        <f t="shared" ca="1" si="9"/>
        <v>0</v>
      </c>
      <c r="G62" t="b">
        <f t="shared" ca="1" si="10"/>
        <v>0</v>
      </c>
      <c r="H62" t="b">
        <f t="shared" ca="1" si="11"/>
        <v>0</v>
      </c>
      <c r="I62" t="b">
        <f t="shared" ca="1" si="12"/>
        <v>0</v>
      </c>
      <c r="J62" t="b">
        <f t="shared" ca="1" si="13"/>
        <v>0</v>
      </c>
      <c r="K62" t="b">
        <f t="shared" ca="1" si="14"/>
        <v>0</v>
      </c>
      <c r="L62" t="b">
        <f t="shared" ca="1" si="15"/>
        <v>0</v>
      </c>
      <c r="M62" t="b">
        <f t="shared" ca="1" si="16"/>
        <v>1</v>
      </c>
      <c r="N62" s="448"/>
      <c r="O62" s="464"/>
      <c r="R62" s="448"/>
      <c r="S62" s="464"/>
      <c r="V62" s="448"/>
      <c r="W62" s="464"/>
      <c r="Z62" s="448"/>
      <c r="AA62" s="464"/>
      <c r="AD62" s="448"/>
      <c r="AE62" s="464"/>
      <c r="AH62" s="448"/>
      <c r="AI62" s="464"/>
      <c r="AL62" s="448"/>
      <c r="AP62" s="448"/>
    </row>
    <row r="63" spans="1:42" ht="13">
      <c r="A63" s="462"/>
      <c r="B63" s="462"/>
      <c r="C63" t="str">
        <f ca="1">Filtered!I53</f>
        <v>Gut</v>
      </c>
      <c r="D63" t="str">
        <f ca="1">Filtered!J53</f>
        <v/>
      </c>
      <c r="E63" t="str">
        <f ca="1">Filtered!AH53</f>
        <v>After peer review (but not final version): "BMJ does not recommend that Author Accepted Manuscripts are placed on preprint servers."</v>
      </c>
      <c r="F63" t="b">
        <f t="shared" ca="1" si="9"/>
        <v>0</v>
      </c>
      <c r="G63" t="b">
        <f t="shared" ca="1" si="10"/>
        <v>0</v>
      </c>
      <c r="H63" t="b">
        <f t="shared" ca="1" si="11"/>
        <v>0</v>
      </c>
      <c r="I63" t="b">
        <f t="shared" ca="1" si="12"/>
        <v>0</v>
      </c>
      <c r="J63" t="b">
        <f t="shared" ca="1" si="13"/>
        <v>0</v>
      </c>
      <c r="K63" t="b">
        <f t="shared" ca="1" si="14"/>
        <v>0</v>
      </c>
      <c r="L63" t="b">
        <f t="shared" ca="1" si="15"/>
        <v>0</v>
      </c>
      <c r="M63" t="b">
        <f t="shared" ca="1" si="16"/>
        <v>0</v>
      </c>
      <c r="N63" s="448"/>
      <c r="O63" s="464"/>
      <c r="R63" s="448"/>
      <c r="S63" s="464"/>
      <c r="V63" s="448"/>
      <c r="W63" s="464"/>
      <c r="Z63" s="448"/>
      <c r="AA63" s="464"/>
      <c r="AD63" s="448"/>
      <c r="AE63" s="464"/>
      <c r="AH63" s="448"/>
      <c r="AI63" s="464"/>
      <c r="AL63" s="448"/>
      <c r="AP63" s="448"/>
    </row>
    <row r="64" spans="1:42" ht="13">
      <c r="A64" s="462"/>
      <c r="B64" s="462"/>
      <c r="C64" t="str">
        <f ca="1">Filtered!I54</f>
        <v>Health Affairs</v>
      </c>
      <c r="D64" t="str">
        <f ca="1">Filtered!J54</f>
        <v>Social Sciences</v>
      </c>
      <c r="E64" t="str">
        <f ca="1">Filtered!AH54</f>
        <v>Unsure (preprints are allowed, but not sure what version)</v>
      </c>
      <c r="F64" t="b">
        <f t="shared" ca="1" si="9"/>
        <v>0</v>
      </c>
      <c r="G64" t="b">
        <f t="shared" ca="1" si="10"/>
        <v>0</v>
      </c>
      <c r="H64" t="b">
        <f t="shared" ca="1" si="11"/>
        <v>0</v>
      </c>
      <c r="I64" t="b">
        <f t="shared" ca="1" si="12"/>
        <v>0</v>
      </c>
      <c r="J64" t="b">
        <f t="shared" ca="1" si="13"/>
        <v>0</v>
      </c>
      <c r="K64" t="b">
        <f t="shared" ca="1" si="14"/>
        <v>0</v>
      </c>
      <c r="L64" t="b">
        <f t="shared" ca="1" si="15"/>
        <v>0</v>
      </c>
      <c r="M64" t="b">
        <f t="shared" ca="1" si="16"/>
        <v>1</v>
      </c>
      <c r="N64" s="448"/>
      <c r="O64" s="464"/>
      <c r="R64" s="448"/>
      <c r="S64" s="464"/>
      <c r="V64" s="448"/>
      <c r="W64" s="464"/>
      <c r="Z64" s="448"/>
      <c r="AA64" s="464"/>
      <c r="AD64" s="448"/>
      <c r="AE64" s="464"/>
      <c r="AH64" s="448"/>
      <c r="AI64" s="464"/>
      <c r="AL64" s="448"/>
      <c r="AP64" s="448"/>
    </row>
    <row r="65" spans="1:42" ht="13">
      <c r="A65" s="462"/>
      <c r="B65" s="462"/>
      <c r="C65" t="str">
        <f ca="1">Filtered!I55</f>
        <v>Hepatology</v>
      </c>
      <c r="D65" t="str">
        <f ca="1">Filtered!J55</f>
        <v/>
      </c>
      <c r="E65" t="str">
        <f ca="1">Filtered!AH55</f>
        <v>First submission only (before peer review)</v>
      </c>
      <c r="F65" t="b">
        <f t="shared" ca="1" si="9"/>
        <v>0</v>
      </c>
      <c r="G65" t="b">
        <f t="shared" ca="1" si="10"/>
        <v>0</v>
      </c>
      <c r="H65" t="b">
        <f t="shared" ca="1" si="11"/>
        <v>0</v>
      </c>
      <c r="I65" t="b">
        <f t="shared" ca="1" si="12"/>
        <v>0</v>
      </c>
      <c r="J65" t="b">
        <f t="shared" ca="1" si="13"/>
        <v>0</v>
      </c>
      <c r="K65" t="b">
        <f t="shared" ca="1" si="14"/>
        <v>0</v>
      </c>
      <c r="L65" t="b">
        <f t="shared" ca="1" si="15"/>
        <v>0</v>
      </c>
      <c r="M65" t="b">
        <f t="shared" ca="1" si="16"/>
        <v>0</v>
      </c>
      <c r="N65" s="448"/>
      <c r="O65" s="464"/>
      <c r="R65" s="448"/>
      <c r="S65" s="464"/>
      <c r="V65" s="448"/>
      <c r="W65" s="464"/>
      <c r="Z65" s="448"/>
      <c r="AA65" s="464"/>
      <c r="AD65" s="448"/>
      <c r="AE65" s="464"/>
      <c r="AH65" s="448"/>
      <c r="AI65" s="464"/>
      <c r="AL65" s="448"/>
      <c r="AP65" s="448"/>
    </row>
    <row r="66" spans="1:42" ht="13">
      <c r="A66" s="462"/>
      <c r="B66" s="462"/>
      <c r="C66" t="str">
        <f ca="1">Filtered!I56</f>
        <v>IEEE Communications Magazine</v>
      </c>
      <c r="D66" t="str">
        <f ca="1">Filtered!J56</f>
        <v/>
      </c>
      <c r="E66" t="str">
        <f ca="1">Filtered!AH56</f>
        <v>First submission only (before peer review)</v>
      </c>
      <c r="F66" t="b">
        <f t="shared" ca="1" si="9"/>
        <v>0</v>
      </c>
      <c r="G66" t="b">
        <f t="shared" ca="1" si="10"/>
        <v>0</v>
      </c>
      <c r="H66" t="b">
        <f t="shared" ca="1" si="11"/>
        <v>0</v>
      </c>
      <c r="I66" t="b">
        <f t="shared" ca="1" si="12"/>
        <v>0</v>
      </c>
      <c r="J66" t="b">
        <f t="shared" ca="1" si="13"/>
        <v>0</v>
      </c>
      <c r="K66" t="b">
        <f t="shared" ca="1" si="14"/>
        <v>0</v>
      </c>
      <c r="L66" t="b">
        <f t="shared" ca="1" si="15"/>
        <v>0</v>
      </c>
      <c r="M66" t="b">
        <f t="shared" ca="1" si="16"/>
        <v>0</v>
      </c>
      <c r="N66" s="448"/>
      <c r="O66" s="464"/>
      <c r="R66" s="448"/>
      <c r="S66" s="464"/>
      <c r="V66" s="448"/>
      <c r="W66" s="464"/>
      <c r="Z66" s="448"/>
      <c r="AA66" s="464"/>
      <c r="AD66" s="448"/>
      <c r="AE66" s="464"/>
      <c r="AH66" s="448"/>
      <c r="AI66" s="464"/>
      <c r="AL66" s="448"/>
      <c r="AP66" s="448"/>
    </row>
    <row r="67" spans="1:42" ht="13">
      <c r="A67" s="462"/>
      <c r="B67" s="462"/>
      <c r="C67" t="str">
        <f ca="1">Filtered!I57</f>
        <v>IEEE Communications Surveys &amp; Tutorials</v>
      </c>
      <c r="D67" t="str">
        <f ca="1">Filtered!J57</f>
        <v>Engineering &amp; Computer Science</v>
      </c>
      <c r="E67" t="str">
        <f ca="1">Filtered!AH57</f>
        <v>First submission only (before peer review)</v>
      </c>
      <c r="F67" t="b">
        <f t="shared" ca="1" si="9"/>
        <v>0</v>
      </c>
      <c r="G67" t="b">
        <f t="shared" ca="1" si="10"/>
        <v>0</v>
      </c>
      <c r="H67" t="b">
        <f t="shared" ca="1" si="11"/>
        <v>1</v>
      </c>
      <c r="I67" t="b">
        <f t="shared" ca="1" si="12"/>
        <v>0</v>
      </c>
      <c r="J67" t="b">
        <f t="shared" ca="1" si="13"/>
        <v>0</v>
      </c>
      <c r="K67" t="b">
        <f t="shared" ca="1" si="14"/>
        <v>0</v>
      </c>
      <c r="L67" t="b">
        <f t="shared" ca="1" si="15"/>
        <v>0</v>
      </c>
      <c r="M67" t="b">
        <f t="shared" ca="1" si="16"/>
        <v>0</v>
      </c>
      <c r="N67" s="448"/>
      <c r="O67" s="464"/>
      <c r="R67" s="448"/>
      <c r="S67" s="464"/>
      <c r="V67" s="448"/>
      <c r="W67" s="464"/>
      <c r="Z67" s="448"/>
      <c r="AA67" s="464"/>
      <c r="AD67" s="448"/>
      <c r="AE67" s="464"/>
      <c r="AH67" s="448"/>
      <c r="AI67" s="464"/>
      <c r="AL67" s="448"/>
      <c r="AP67" s="448"/>
    </row>
    <row r="68" spans="1:42" ht="13">
      <c r="A68" s="462"/>
      <c r="B68" s="462"/>
      <c r="C68" t="str">
        <f ca="1">Filtered!I58</f>
        <v>IEEE Conference on Computer Vision and Pattern Recognition, CVPR</v>
      </c>
      <c r="D68" t="str">
        <f ca="1">Filtered!J58</f>
        <v>Engineering &amp; Computer Science</v>
      </c>
      <c r="E68" t="str">
        <f ca="1">Filtered!AH58</f>
        <v>Unsure (preprints are allowed, but it's not clear what version)</v>
      </c>
      <c r="F68" t="b">
        <f t="shared" ca="1" si="9"/>
        <v>0</v>
      </c>
      <c r="G68" t="b">
        <f t="shared" ca="1" si="10"/>
        <v>0</v>
      </c>
      <c r="H68" t="b">
        <f t="shared" ca="1" si="11"/>
        <v>1</v>
      </c>
      <c r="I68" t="b">
        <f t="shared" ca="1" si="12"/>
        <v>0</v>
      </c>
      <c r="J68" t="b">
        <f t="shared" ca="1" si="13"/>
        <v>0</v>
      </c>
      <c r="K68" t="b">
        <f t="shared" ca="1" si="14"/>
        <v>0</v>
      </c>
      <c r="L68" t="b">
        <f t="shared" ca="1" si="15"/>
        <v>0</v>
      </c>
      <c r="M68" t="b">
        <f t="shared" ca="1" si="16"/>
        <v>0</v>
      </c>
      <c r="N68" s="448"/>
      <c r="O68" s="464"/>
      <c r="R68" s="448"/>
      <c r="S68" s="464"/>
      <c r="V68" s="448"/>
      <c r="W68" s="464"/>
      <c r="Z68" s="448"/>
      <c r="AA68" s="464"/>
      <c r="AD68" s="448"/>
      <c r="AE68" s="464"/>
      <c r="AH68" s="448"/>
      <c r="AI68" s="464"/>
      <c r="AL68" s="448"/>
      <c r="AP68" s="448"/>
    </row>
    <row r="69" spans="1:42" ht="13">
      <c r="A69" s="462"/>
      <c r="B69" s="462"/>
      <c r="C69" t="str">
        <f ca="1">Filtered!I59</f>
        <v>IEEE International Conference on Computer Vision</v>
      </c>
      <c r="D69" t="str">
        <f ca="1">Filtered!J59</f>
        <v>Engineering &amp; Computer Science</v>
      </c>
      <c r="E69" t="str">
        <f ca="1">Filtered!AH59</f>
        <v>Any</v>
      </c>
      <c r="F69" t="b">
        <f t="shared" ca="1" si="9"/>
        <v>0</v>
      </c>
      <c r="G69" t="b">
        <f t="shared" ca="1" si="10"/>
        <v>0</v>
      </c>
      <c r="H69" t="b">
        <f t="shared" ca="1" si="11"/>
        <v>1</v>
      </c>
      <c r="I69" t="b">
        <f t="shared" ca="1" si="12"/>
        <v>0</v>
      </c>
      <c r="J69" t="b">
        <f t="shared" ca="1" si="13"/>
        <v>0</v>
      </c>
      <c r="K69" t="b">
        <f t="shared" ca="1" si="14"/>
        <v>0</v>
      </c>
      <c r="L69" t="b">
        <f t="shared" ca="1" si="15"/>
        <v>0</v>
      </c>
      <c r="M69" t="b">
        <f t="shared" ca="1" si="16"/>
        <v>0</v>
      </c>
      <c r="N69" s="448"/>
      <c r="O69" s="464"/>
      <c r="R69" s="448"/>
      <c r="S69" s="464"/>
      <c r="V69" s="448"/>
      <c r="W69" s="464"/>
      <c r="Z69" s="448"/>
      <c r="AA69" s="464"/>
      <c r="AD69" s="448"/>
      <c r="AE69" s="464"/>
      <c r="AH69" s="448"/>
      <c r="AI69" s="464"/>
      <c r="AL69" s="448"/>
      <c r="AP69" s="448"/>
    </row>
    <row r="70" spans="1:42" ht="13">
      <c r="A70" s="462"/>
      <c r="B70" s="462"/>
      <c r="C70" t="str">
        <f ca="1">Filtered!I60</f>
        <v>IEEE Transactions on Automatic Control</v>
      </c>
      <c r="D70" t="str">
        <f ca="1">Filtered!J60</f>
        <v>Physics &amp; Mathematics</v>
      </c>
      <c r="E70" t="str">
        <f ca="1">Filtered!AH60</f>
        <v>First submission only (before peer review)</v>
      </c>
      <c r="F70" t="b">
        <f t="shared" ca="1" si="9"/>
        <v>0</v>
      </c>
      <c r="G70" t="b">
        <f t="shared" ca="1" si="10"/>
        <v>0</v>
      </c>
      <c r="H70" t="b">
        <f t="shared" ca="1" si="11"/>
        <v>0</v>
      </c>
      <c r="I70" t="b">
        <f t="shared" ca="1" si="12"/>
        <v>0</v>
      </c>
      <c r="J70" t="b">
        <f t="shared" ca="1" si="13"/>
        <v>0</v>
      </c>
      <c r="K70" t="b">
        <f t="shared" ca="1" si="14"/>
        <v>0</v>
      </c>
      <c r="L70" t="b">
        <f t="shared" ca="1" si="15"/>
        <v>1</v>
      </c>
      <c r="M70" t="b">
        <f t="shared" ca="1" si="16"/>
        <v>0</v>
      </c>
      <c r="N70" s="448"/>
      <c r="O70" s="464"/>
      <c r="R70" s="448"/>
      <c r="S70" s="464"/>
      <c r="V70" s="448"/>
      <c r="W70" s="464"/>
      <c r="Z70" s="448"/>
      <c r="AA70" s="464"/>
      <c r="AD70" s="448"/>
      <c r="AE70" s="464"/>
      <c r="AH70" s="448"/>
      <c r="AI70" s="464"/>
      <c r="AL70" s="448"/>
      <c r="AP70" s="448"/>
    </row>
    <row r="71" spans="1:42" ht="13">
      <c r="A71" s="462"/>
      <c r="B71" s="462"/>
      <c r="C71" t="str">
        <f ca="1">Filtered!I61</f>
        <v>IEEE Transactions on Industrial Electronics</v>
      </c>
      <c r="D71" t="str">
        <f ca="1">Filtered!J61</f>
        <v>Engineering &amp; Computer Science</v>
      </c>
      <c r="E71" t="str">
        <f ca="1">Filtered!AH61</f>
        <v>Any except for the final published article (IEEE must be listed as copyright holder for classroom use/use in own dissertation)</v>
      </c>
      <c r="F71" t="b">
        <f t="shared" ca="1" si="9"/>
        <v>0</v>
      </c>
      <c r="G71" t="b">
        <f t="shared" ca="1" si="10"/>
        <v>0</v>
      </c>
      <c r="H71" t="b">
        <f t="shared" ca="1" si="11"/>
        <v>1</v>
      </c>
      <c r="I71" t="b">
        <f t="shared" ca="1" si="12"/>
        <v>0</v>
      </c>
      <c r="J71" t="b">
        <f t="shared" ca="1" si="13"/>
        <v>0</v>
      </c>
      <c r="K71" t="b">
        <f t="shared" ca="1" si="14"/>
        <v>0</v>
      </c>
      <c r="L71" t="b">
        <f t="shared" ca="1" si="15"/>
        <v>0</v>
      </c>
      <c r="M71" t="b">
        <f t="shared" ca="1" si="16"/>
        <v>0</v>
      </c>
      <c r="N71" s="448"/>
      <c r="O71" s="464"/>
      <c r="R71" s="448"/>
      <c r="S71" s="464"/>
      <c r="V71" s="448"/>
      <c r="W71" s="464"/>
      <c r="Z71" s="448"/>
      <c r="AA71" s="464"/>
      <c r="AD71" s="448"/>
      <c r="AE71" s="464"/>
      <c r="AH71" s="448"/>
      <c r="AI71" s="464"/>
      <c r="AL71" s="448"/>
      <c r="AP71" s="448"/>
    </row>
    <row r="72" spans="1:42" ht="13">
      <c r="A72" s="462"/>
      <c r="B72" s="462"/>
      <c r="C72" t="str">
        <f ca="1">Filtered!I62</f>
        <v>IEEE Transactions on Pattern Analysis and Machine Intelligence</v>
      </c>
      <c r="D72" t="str">
        <f ca="1">Filtered!J62</f>
        <v/>
      </c>
      <c r="E72" t="str">
        <f ca="1">Filtered!AH62</f>
        <v>First submission only (before peer review)</v>
      </c>
      <c r="F72" t="b">
        <f t="shared" ca="1" si="9"/>
        <v>0</v>
      </c>
      <c r="G72" t="b">
        <f t="shared" ca="1" si="10"/>
        <v>0</v>
      </c>
      <c r="H72" t="b">
        <f t="shared" ca="1" si="11"/>
        <v>0</v>
      </c>
      <c r="I72" t="b">
        <f t="shared" ca="1" si="12"/>
        <v>0</v>
      </c>
      <c r="J72" t="b">
        <f t="shared" ca="1" si="13"/>
        <v>0</v>
      </c>
      <c r="K72" t="b">
        <f t="shared" ca="1" si="14"/>
        <v>0</v>
      </c>
      <c r="L72" t="b">
        <f t="shared" ca="1" si="15"/>
        <v>0</v>
      </c>
      <c r="M72" t="b">
        <f t="shared" ca="1" si="16"/>
        <v>0</v>
      </c>
      <c r="N72" s="448"/>
      <c r="O72" s="464"/>
      <c r="R72" s="448"/>
      <c r="S72" s="464"/>
      <c r="V72" s="448"/>
      <c r="W72" s="464"/>
      <c r="Z72" s="448"/>
      <c r="AA72" s="464"/>
      <c r="AD72" s="448"/>
      <c r="AE72" s="464"/>
      <c r="AH72" s="448"/>
      <c r="AI72" s="464"/>
      <c r="AL72" s="448"/>
      <c r="AP72" s="448"/>
    </row>
    <row r="73" spans="1:42" ht="13">
      <c r="A73" s="462"/>
      <c r="B73" s="462"/>
      <c r="C73" t="str">
        <f ca="1">Filtered!I63</f>
        <v>IEEE Transactions on Power Electronics</v>
      </c>
      <c r="D73" t="str">
        <f ca="1">Filtered!J63</f>
        <v>Engineering &amp; Computer Science</v>
      </c>
      <c r="E73" t="str">
        <f ca="1">Filtered!AH63</f>
        <v>First submission only (before peer review)</v>
      </c>
      <c r="F73" t="b">
        <f t="shared" ca="1" si="9"/>
        <v>0</v>
      </c>
      <c r="G73" t="b">
        <f t="shared" ca="1" si="10"/>
        <v>0</v>
      </c>
      <c r="H73" t="b">
        <f t="shared" ca="1" si="11"/>
        <v>1</v>
      </c>
      <c r="I73" t="b">
        <f t="shared" ca="1" si="12"/>
        <v>0</v>
      </c>
      <c r="J73" t="b">
        <f t="shared" ca="1" si="13"/>
        <v>0</v>
      </c>
      <c r="K73" t="b">
        <f t="shared" ca="1" si="14"/>
        <v>0</v>
      </c>
      <c r="L73" t="b">
        <f t="shared" ca="1" si="15"/>
        <v>0</v>
      </c>
      <c r="M73" t="b">
        <f t="shared" ca="1" si="16"/>
        <v>0</v>
      </c>
      <c r="N73" s="448"/>
      <c r="O73" s="464"/>
      <c r="R73" s="448"/>
      <c r="S73" s="464"/>
      <c r="V73" s="448"/>
      <c r="W73" s="464"/>
      <c r="Z73" s="448"/>
      <c r="AA73" s="464"/>
      <c r="AD73" s="448"/>
      <c r="AE73" s="464"/>
      <c r="AH73" s="448"/>
      <c r="AI73" s="464"/>
      <c r="AL73" s="448"/>
      <c r="AP73" s="448"/>
    </row>
    <row r="74" spans="1:42" ht="13">
      <c r="A74" s="462"/>
      <c r="B74" s="462"/>
      <c r="C74" t="str">
        <f ca="1">Filtered!I64</f>
        <v>IEEE Transactions on Signal Processing</v>
      </c>
      <c r="D74" t="str">
        <f ca="1">Filtered!J64</f>
        <v>Physics &amp; Mathematics</v>
      </c>
      <c r="E74" t="str">
        <f ca="1">Filtered!AH64</f>
        <v>First submission only (before peer review)</v>
      </c>
      <c r="F74" t="b">
        <f t="shared" ca="1" si="9"/>
        <v>0</v>
      </c>
      <c r="G74" t="b">
        <f t="shared" ca="1" si="10"/>
        <v>0</v>
      </c>
      <c r="H74" t="b">
        <f t="shared" ca="1" si="11"/>
        <v>0</v>
      </c>
      <c r="I74" t="b">
        <f t="shared" ca="1" si="12"/>
        <v>0</v>
      </c>
      <c r="J74" t="b">
        <f t="shared" ca="1" si="13"/>
        <v>0</v>
      </c>
      <c r="K74" t="b">
        <f t="shared" ca="1" si="14"/>
        <v>0</v>
      </c>
      <c r="L74" t="b">
        <f t="shared" ca="1" si="15"/>
        <v>1</v>
      </c>
      <c r="M74" t="b">
        <f t="shared" ca="1" si="16"/>
        <v>0</v>
      </c>
      <c r="N74" s="448"/>
      <c r="O74" s="464"/>
      <c r="R74" s="448"/>
      <c r="S74" s="464"/>
      <c r="V74" s="448"/>
      <c r="W74" s="464"/>
      <c r="Z74" s="448"/>
      <c r="AA74" s="464"/>
      <c r="AD74" s="448"/>
      <c r="AE74" s="464"/>
      <c r="AH74" s="448"/>
      <c r="AI74" s="464"/>
      <c r="AL74" s="448"/>
      <c r="AP74" s="448"/>
    </row>
    <row r="75" spans="1:42" ht="13">
      <c r="A75" s="462"/>
      <c r="B75" s="462"/>
      <c r="C75" t="str">
        <f ca="1">Filtered!I65</f>
        <v>Immunity</v>
      </c>
      <c r="D75" t="str">
        <f ca="1">Filtered!J65</f>
        <v>Health &amp; Medical Sciences</v>
      </c>
      <c r="E75" t="str">
        <f ca="1">Filtered!AH65</f>
        <v>First submission only (before peer review)</v>
      </c>
      <c r="F75" t="b">
        <f t="shared" ca="1" si="9"/>
        <v>0</v>
      </c>
      <c r="G75" t="b">
        <f t="shared" ca="1" si="10"/>
        <v>0</v>
      </c>
      <c r="H75" t="b">
        <f t="shared" ca="1" si="11"/>
        <v>0</v>
      </c>
      <c r="I75" t="b">
        <f t="shared" ca="1" si="12"/>
        <v>1</v>
      </c>
      <c r="J75" t="b">
        <f t="shared" ca="1" si="13"/>
        <v>0</v>
      </c>
      <c r="K75" t="b">
        <f t="shared" ca="1" si="14"/>
        <v>0</v>
      </c>
      <c r="L75" t="b">
        <f t="shared" ca="1" si="15"/>
        <v>0</v>
      </c>
      <c r="M75" t="b">
        <f t="shared" ca="1" si="16"/>
        <v>0</v>
      </c>
      <c r="N75" s="448"/>
      <c r="O75" s="464"/>
      <c r="R75" s="448"/>
      <c r="S75" s="464"/>
      <c r="V75" s="448"/>
      <c r="W75" s="464"/>
      <c r="Z75" s="448"/>
      <c r="AA75" s="464"/>
      <c r="AD75" s="448"/>
      <c r="AE75" s="464"/>
      <c r="AH75" s="448"/>
      <c r="AI75" s="464"/>
      <c r="AL75" s="448"/>
      <c r="AP75" s="448"/>
    </row>
    <row r="76" spans="1:42" ht="13">
      <c r="A76" s="462"/>
      <c r="B76" s="462"/>
      <c r="C76" t="str">
        <f ca="1">Filtered!I66</f>
        <v>International Journal of Communication</v>
      </c>
      <c r="D76" t="str">
        <f ca="1">Filtered!J66</f>
        <v>Humanities, Literature &amp; Arts</v>
      </c>
      <c r="E76" t="str">
        <f ca="1">Filtered!AH66</f>
        <v>No preprint policy</v>
      </c>
      <c r="F76" t="b">
        <f t="shared" ca="1" si="9"/>
        <v>0</v>
      </c>
      <c r="G76" t="b">
        <f t="shared" ca="1" si="10"/>
        <v>0</v>
      </c>
      <c r="H76" t="b">
        <f t="shared" ca="1" si="11"/>
        <v>0</v>
      </c>
      <c r="I76" t="b">
        <f t="shared" ca="1" si="12"/>
        <v>0</v>
      </c>
      <c r="J76" t="b">
        <f t="shared" ca="1" si="13"/>
        <v>1</v>
      </c>
      <c r="K76" t="b">
        <f t="shared" ca="1" si="14"/>
        <v>0</v>
      </c>
      <c r="L76" t="b">
        <f t="shared" ca="1" si="15"/>
        <v>0</v>
      </c>
      <c r="M76" t="b">
        <f t="shared" ca="1" si="16"/>
        <v>0</v>
      </c>
      <c r="N76" s="448"/>
      <c r="O76" s="464"/>
      <c r="R76" s="448"/>
      <c r="S76" s="464"/>
      <c r="V76" s="448"/>
      <c r="W76" s="464"/>
      <c r="Z76" s="448"/>
      <c r="AA76" s="464"/>
      <c r="AD76" s="448"/>
      <c r="AE76" s="464"/>
      <c r="AH76" s="448"/>
      <c r="AI76" s="464"/>
      <c r="AL76" s="448"/>
      <c r="AP76" s="448"/>
    </row>
    <row r="77" spans="1:42" ht="13">
      <c r="A77" s="462"/>
      <c r="B77" s="462"/>
      <c r="C77" t="str">
        <f ca="1">Filtered!I67</f>
        <v>International Journal of Production Economics</v>
      </c>
      <c r="D77" t="str">
        <f ca="1">Filtered!J67</f>
        <v>Business, Economics &amp; Management</v>
      </c>
      <c r="E77" t="str">
        <f ca="1">Filtered!AH67</f>
        <v>Unsure (preprints are allowed, but it's not clear what version)</v>
      </c>
      <c r="F77" t="b">
        <f t="shared" ca="1" si="9"/>
        <v>1</v>
      </c>
      <c r="G77" t="b">
        <f t="shared" ca="1" si="10"/>
        <v>0</v>
      </c>
      <c r="H77" t="b">
        <f t="shared" ca="1" si="11"/>
        <v>0</v>
      </c>
      <c r="I77" t="b">
        <f t="shared" ca="1" si="12"/>
        <v>0</v>
      </c>
      <c r="J77" t="b">
        <f t="shared" ca="1" si="13"/>
        <v>0</v>
      </c>
      <c r="K77" t="b">
        <f t="shared" ca="1" si="14"/>
        <v>0</v>
      </c>
      <c r="L77" t="b">
        <f t="shared" ca="1" si="15"/>
        <v>0</v>
      </c>
      <c r="M77" t="b">
        <f t="shared" ca="1" si="16"/>
        <v>0</v>
      </c>
      <c r="N77" s="448"/>
      <c r="O77" s="464"/>
      <c r="R77" s="448"/>
      <c r="S77" s="464"/>
      <c r="V77" s="448"/>
      <c r="W77" s="464"/>
      <c r="Z77" s="448"/>
      <c r="AA77" s="464"/>
      <c r="AD77" s="448"/>
      <c r="AE77" s="464"/>
      <c r="AH77" s="448"/>
      <c r="AI77" s="464"/>
      <c r="AL77" s="448"/>
      <c r="AP77" s="448"/>
    </row>
    <row r="78" spans="1:42" ht="13">
      <c r="A78" s="462"/>
      <c r="B78" s="462"/>
      <c r="C78" t="str">
        <f ca="1">Filtered!I68</f>
        <v>Journal of the American Medical Association</v>
      </c>
      <c r="D78" t="str">
        <f ca="1">Filtered!J68</f>
        <v>Health &amp; Medical Sciences</v>
      </c>
      <c r="E78" t="str">
        <f ca="1">Filtered!AH68</f>
        <v>None (preprints not allowed)</v>
      </c>
      <c r="F78" t="b">
        <f t="shared" ca="1" si="9"/>
        <v>0</v>
      </c>
      <c r="G78" t="b">
        <f t="shared" ca="1" si="10"/>
        <v>0</v>
      </c>
      <c r="H78" t="b">
        <f t="shared" ca="1" si="11"/>
        <v>0</v>
      </c>
      <c r="I78" t="b">
        <f t="shared" ca="1" si="12"/>
        <v>1</v>
      </c>
      <c r="J78" t="b">
        <f t="shared" ca="1" si="13"/>
        <v>0</v>
      </c>
      <c r="K78" t="b">
        <f t="shared" ca="1" si="14"/>
        <v>0</v>
      </c>
      <c r="L78" t="b">
        <f t="shared" ca="1" si="15"/>
        <v>0</v>
      </c>
      <c r="M78" t="b">
        <f t="shared" ca="1" si="16"/>
        <v>0</v>
      </c>
      <c r="N78" s="448"/>
      <c r="O78" s="464"/>
      <c r="R78" s="448"/>
      <c r="S78" s="464"/>
      <c r="V78" s="448"/>
      <c r="W78" s="464"/>
      <c r="Z78" s="448"/>
      <c r="AA78" s="464"/>
      <c r="AD78" s="448"/>
      <c r="AE78" s="464"/>
      <c r="AH78" s="448"/>
      <c r="AI78" s="464"/>
      <c r="AL78" s="448"/>
      <c r="AP78" s="448"/>
    </row>
    <row r="79" spans="1:42" ht="13">
      <c r="A79" s="462"/>
      <c r="B79" s="462"/>
      <c r="C79" t="str">
        <f ca="1">Filtered!I69</f>
        <v>Journal of Allergy and Clinical Immunology</v>
      </c>
      <c r="D79" t="str">
        <f ca="1">Filtered!J69</f>
        <v/>
      </c>
      <c r="E79" t="str">
        <f ca="1">Filtered!AH69</f>
        <v>Unsure</v>
      </c>
      <c r="F79" t="b">
        <f t="shared" ca="1" si="9"/>
        <v>0</v>
      </c>
      <c r="G79" t="b">
        <f t="shared" ca="1" si="10"/>
        <v>0</v>
      </c>
      <c r="H79" t="b">
        <f t="shared" ca="1" si="11"/>
        <v>0</v>
      </c>
      <c r="I79" t="b">
        <f t="shared" ca="1" si="12"/>
        <v>0</v>
      </c>
      <c r="J79" t="b">
        <f t="shared" ca="1" si="13"/>
        <v>0</v>
      </c>
      <c r="K79" t="b">
        <f t="shared" ca="1" si="14"/>
        <v>0</v>
      </c>
      <c r="L79" t="b">
        <f t="shared" ca="1" si="15"/>
        <v>0</v>
      </c>
      <c r="M79" t="b">
        <f t="shared" ca="1" si="16"/>
        <v>0</v>
      </c>
      <c r="N79" s="448"/>
      <c r="O79" s="464"/>
      <c r="R79" s="448"/>
      <c r="S79" s="464"/>
      <c r="V79" s="448"/>
      <c r="W79" s="464"/>
      <c r="Z79" s="448"/>
      <c r="AA79" s="464"/>
      <c r="AD79" s="448"/>
      <c r="AE79" s="464"/>
      <c r="AH79" s="448"/>
      <c r="AI79" s="464"/>
      <c r="AL79" s="448"/>
      <c r="AP79" s="448"/>
    </row>
    <row r="80" spans="1:42" ht="13">
      <c r="A80" s="462"/>
      <c r="B80" s="462"/>
      <c r="C80" t="str">
        <f ca="1">Filtered!I70</f>
        <v>Journal of Banking &amp; Finance</v>
      </c>
      <c r="D80" t="str">
        <f ca="1">Filtered!J70</f>
        <v>Business, Economics &amp; Management</v>
      </c>
      <c r="E80" t="str">
        <f ca="1">Filtered!AH70</f>
        <v>No preprint policy</v>
      </c>
      <c r="F80" t="b">
        <f t="shared" ca="1" si="9"/>
        <v>1</v>
      </c>
      <c r="G80" t="b">
        <f t="shared" ca="1" si="10"/>
        <v>0</v>
      </c>
      <c r="H80" t="b">
        <f t="shared" ca="1" si="11"/>
        <v>0</v>
      </c>
      <c r="I80" t="b">
        <f t="shared" ca="1" si="12"/>
        <v>0</v>
      </c>
      <c r="J80" t="b">
        <f t="shared" ca="1" si="13"/>
        <v>0</v>
      </c>
      <c r="K80" t="b">
        <f t="shared" ca="1" si="14"/>
        <v>0</v>
      </c>
      <c r="L80" t="b">
        <f t="shared" ca="1" si="15"/>
        <v>0</v>
      </c>
      <c r="M80" t="b">
        <f t="shared" ca="1" si="16"/>
        <v>0</v>
      </c>
      <c r="N80" s="448"/>
      <c r="O80" s="464"/>
      <c r="R80" s="448"/>
      <c r="S80" s="464"/>
      <c r="V80" s="448"/>
      <c r="W80" s="464"/>
      <c r="Z80" s="448"/>
      <c r="AA80" s="464"/>
      <c r="AD80" s="448"/>
      <c r="AE80" s="464"/>
      <c r="AH80" s="448"/>
      <c r="AI80" s="464"/>
      <c r="AL80" s="448"/>
      <c r="AP80" s="448"/>
    </row>
    <row r="81" spans="1:42" ht="13">
      <c r="A81" s="462"/>
      <c r="B81" s="462"/>
      <c r="C81" t="str">
        <f ca="1">Filtered!I71</f>
        <v>Journal of Business Ethics</v>
      </c>
      <c r="D81" t="str">
        <f ca="1">Filtered!J71</f>
        <v>Business, Economics &amp; Management,
Social Sciences</v>
      </c>
      <c r="E81" t="str">
        <f ca="1">Filtered!AH71</f>
        <v>No preprint policy</v>
      </c>
      <c r="F81" t="b">
        <f t="shared" ca="1" si="9"/>
        <v>1</v>
      </c>
      <c r="G81" t="b">
        <f t="shared" ca="1" si="10"/>
        <v>0</v>
      </c>
      <c r="H81" t="b">
        <f t="shared" ca="1" si="11"/>
        <v>0</v>
      </c>
      <c r="I81" t="b">
        <f t="shared" ca="1" si="12"/>
        <v>0</v>
      </c>
      <c r="J81" t="b">
        <f t="shared" ca="1" si="13"/>
        <v>0</v>
      </c>
      <c r="K81" t="b">
        <f t="shared" ca="1" si="14"/>
        <v>0</v>
      </c>
      <c r="L81" t="b">
        <f t="shared" ca="1" si="15"/>
        <v>0</v>
      </c>
      <c r="M81" t="b">
        <f t="shared" ca="1" si="16"/>
        <v>1</v>
      </c>
      <c r="N81" s="448"/>
      <c r="O81" s="464"/>
      <c r="R81" s="448"/>
      <c r="S81" s="464"/>
      <c r="V81" s="448"/>
      <c r="W81" s="464"/>
      <c r="Z81" s="448"/>
      <c r="AA81" s="464"/>
      <c r="AD81" s="448"/>
      <c r="AE81" s="464"/>
      <c r="AH81" s="448"/>
      <c r="AI81" s="464"/>
      <c r="AL81" s="448"/>
      <c r="AP81" s="448"/>
    </row>
    <row r="82" spans="1:42" ht="13">
      <c r="A82" s="462"/>
      <c r="B82" s="462"/>
      <c r="C82" t="str">
        <f ca="1">Filtered!I72</f>
        <v>Journal of Business Research</v>
      </c>
      <c r="D82" t="str">
        <f ca="1">Filtered!J72</f>
        <v>Business, Economics &amp; Management</v>
      </c>
      <c r="E82" t="str">
        <f ca="1">Filtered!AH72</f>
        <v>Unsure</v>
      </c>
      <c r="F82" t="b">
        <f t="shared" ca="1" si="9"/>
        <v>1</v>
      </c>
      <c r="G82" t="b">
        <f t="shared" ca="1" si="10"/>
        <v>0</v>
      </c>
      <c r="H82" t="b">
        <f t="shared" ca="1" si="11"/>
        <v>0</v>
      </c>
      <c r="I82" t="b">
        <f t="shared" ca="1" si="12"/>
        <v>0</v>
      </c>
      <c r="J82" t="b">
        <f t="shared" ca="1" si="13"/>
        <v>0</v>
      </c>
      <c r="K82" t="b">
        <f t="shared" ca="1" si="14"/>
        <v>0</v>
      </c>
      <c r="L82" t="b">
        <f t="shared" ca="1" si="15"/>
        <v>0</v>
      </c>
      <c r="M82" t="b">
        <f t="shared" ca="1" si="16"/>
        <v>0</v>
      </c>
      <c r="N82" s="448"/>
      <c r="O82" s="464"/>
      <c r="R82" s="448"/>
      <c r="S82" s="464"/>
      <c r="V82" s="448"/>
      <c r="W82" s="464"/>
      <c r="Z82" s="448"/>
      <c r="AA82" s="464"/>
      <c r="AD82" s="448"/>
      <c r="AE82" s="464"/>
      <c r="AH82" s="448"/>
      <c r="AI82" s="464"/>
      <c r="AL82" s="448"/>
      <c r="AP82" s="448"/>
    </row>
    <row r="83" spans="1:42" ht="13">
      <c r="A83" s="462"/>
      <c r="B83" s="462"/>
      <c r="C83" t="str">
        <f ca="1">Filtered!I73</f>
        <v>Journal of Cleaner Production</v>
      </c>
      <c r="D83" t="str">
        <f ca="1">Filtered!J73</f>
        <v/>
      </c>
      <c r="E83" t="str">
        <f ca="1">Filtered!AH73</f>
        <v>Authors can share their preprint anywhere at any time.</v>
      </c>
      <c r="F83" t="b">
        <f t="shared" ca="1" si="9"/>
        <v>0</v>
      </c>
      <c r="G83" t="b">
        <f t="shared" ca="1" si="10"/>
        <v>0</v>
      </c>
      <c r="H83" t="b">
        <f t="shared" ca="1" si="11"/>
        <v>0</v>
      </c>
      <c r="I83" t="b">
        <f t="shared" ca="1" si="12"/>
        <v>0</v>
      </c>
      <c r="J83" t="b">
        <f t="shared" ca="1" si="13"/>
        <v>0</v>
      </c>
      <c r="K83" t="b">
        <f t="shared" ca="1" si="14"/>
        <v>0</v>
      </c>
      <c r="L83" t="b">
        <f t="shared" ca="1" si="15"/>
        <v>0</v>
      </c>
      <c r="M83" t="b">
        <f t="shared" ca="1" si="16"/>
        <v>0</v>
      </c>
      <c r="N83" s="448"/>
      <c r="O83" s="464"/>
      <c r="R83" s="448"/>
      <c r="S83" s="464"/>
      <c r="V83" s="448"/>
      <c r="W83" s="464"/>
      <c r="Z83" s="448"/>
      <c r="AA83" s="464"/>
      <c r="AD83" s="448"/>
      <c r="AE83" s="464"/>
      <c r="AH83" s="448"/>
      <c r="AI83" s="464"/>
      <c r="AL83" s="448"/>
      <c r="AP83" s="448"/>
    </row>
    <row r="84" spans="1:42" ht="13">
      <c r="A84" s="462"/>
      <c r="B84" s="462"/>
      <c r="C84" t="str">
        <f ca="1">Filtered!I74</f>
        <v>Journal of Clinical Oncology</v>
      </c>
      <c r="D84" t="str">
        <f ca="1">Filtered!J74</f>
        <v>Health &amp; Medical Sciences</v>
      </c>
      <c r="E84" t="str">
        <f ca="1">Filtered!AH74</f>
        <v>First submission only (before peer review)</v>
      </c>
      <c r="F84" t="b">
        <f t="shared" ca="1" si="9"/>
        <v>0</v>
      </c>
      <c r="G84" t="b">
        <f t="shared" ca="1" si="10"/>
        <v>0</v>
      </c>
      <c r="H84" t="b">
        <f t="shared" ca="1" si="11"/>
        <v>0</v>
      </c>
      <c r="I84" t="b">
        <f t="shared" ca="1" si="12"/>
        <v>1</v>
      </c>
      <c r="J84" t="b">
        <f t="shared" ca="1" si="13"/>
        <v>0</v>
      </c>
      <c r="K84" t="b">
        <f t="shared" ca="1" si="14"/>
        <v>0</v>
      </c>
      <c r="L84" t="b">
        <f t="shared" ca="1" si="15"/>
        <v>0</v>
      </c>
      <c r="M84" t="b">
        <f t="shared" ca="1" si="16"/>
        <v>0</v>
      </c>
      <c r="N84" s="448"/>
      <c r="O84" s="464"/>
      <c r="R84" s="448"/>
      <c r="S84" s="464"/>
      <c r="V84" s="448"/>
      <c r="W84" s="464"/>
      <c r="Z84" s="448"/>
      <c r="AA84" s="464"/>
      <c r="AD84" s="448"/>
      <c r="AE84" s="464"/>
      <c r="AH84" s="448"/>
      <c r="AI84" s="464"/>
      <c r="AL84" s="448"/>
      <c r="AP84" s="448"/>
    </row>
    <row r="85" spans="1:42" ht="13">
      <c r="A85" s="462"/>
      <c r="B85" s="462"/>
      <c r="C85" t="str">
        <f ca="1">Filtered!I75</f>
        <v>Journal of Communication</v>
      </c>
      <c r="D85" t="str">
        <f ca="1">Filtered!J75</f>
        <v>Humanities, Literature &amp; Arts</v>
      </c>
      <c r="E85" t="str">
        <f ca="1">Filtered!AH75</f>
        <v>First submission only (before peer review)</v>
      </c>
      <c r="F85" t="b">
        <f t="shared" ca="1" si="9"/>
        <v>0</v>
      </c>
      <c r="G85" t="b">
        <f t="shared" ca="1" si="10"/>
        <v>0</v>
      </c>
      <c r="H85" t="b">
        <f t="shared" ca="1" si="11"/>
        <v>0</v>
      </c>
      <c r="I85" t="b">
        <f t="shared" ca="1" si="12"/>
        <v>0</v>
      </c>
      <c r="J85" t="b">
        <f t="shared" ca="1" si="13"/>
        <v>1</v>
      </c>
      <c r="K85" t="b">
        <f t="shared" ca="1" si="14"/>
        <v>0</v>
      </c>
      <c r="L85" t="b">
        <f t="shared" ca="1" si="15"/>
        <v>0</v>
      </c>
      <c r="M85" t="b">
        <f t="shared" ca="1" si="16"/>
        <v>0</v>
      </c>
      <c r="N85" s="448"/>
      <c r="O85" s="464"/>
      <c r="R85" s="448"/>
      <c r="S85" s="464"/>
      <c r="V85" s="448"/>
      <c r="W85" s="464"/>
      <c r="Z85" s="448"/>
      <c r="AA85" s="464"/>
      <c r="AD85" s="448"/>
      <c r="AE85" s="464"/>
      <c r="AH85" s="448"/>
      <c r="AI85" s="464"/>
      <c r="AL85" s="448"/>
      <c r="AP85" s="448"/>
    </row>
    <row r="86" spans="1:42" ht="13">
      <c r="A86" s="462"/>
      <c r="B86" s="462"/>
      <c r="C86" t="str">
        <f ca="1">Filtered!I76</f>
        <v>Journal of Cosmology and Astroparticle Physics</v>
      </c>
      <c r="D86" t="str">
        <f ca="1">Filtered!J76</f>
        <v>Physics &amp; Mathematics</v>
      </c>
      <c r="E86" t="str">
        <f ca="1">Filtered!AH76</f>
        <v>Any</v>
      </c>
      <c r="F86" t="b">
        <f t="shared" ca="1" si="9"/>
        <v>0</v>
      </c>
      <c r="G86" t="b">
        <f t="shared" ca="1" si="10"/>
        <v>0</v>
      </c>
      <c r="H86" t="b">
        <f t="shared" ca="1" si="11"/>
        <v>0</v>
      </c>
      <c r="I86" t="b">
        <f t="shared" ca="1" si="12"/>
        <v>0</v>
      </c>
      <c r="J86" t="b">
        <f t="shared" ca="1" si="13"/>
        <v>0</v>
      </c>
      <c r="K86" t="b">
        <f t="shared" ca="1" si="14"/>
        <v>0</v>
      </c>
      <c r="L86" t="b">
        <f t="shared" ca="1" si="15"/>
        <v>1</v>
      </c>
      <c r="M86" t="b">
        <f t="shared" ca="1" si="16"/>
        <v>0</v>
      </c>
      <c r="N86" s="448"/>
      <c r="O86" s="464"/>
      <c r="R86" s="448"/>
      <c r="S86" s="464"/>
      <c r="V86" s="448"/>
      <c r="W86" s="464"/>
      <c r="Z86" s="448"/>
      <c r="AA86" s="464"/>
      <c r="AD86" s="448"/>
      <c r="AE86" s="464"/>
      <c r="AH86" s="448"/>
      <c r="AI86" s="464"/>
      <c r="AL86" s="448"/>
      <c r="AP86" s="448"/>
    </row>
    <row r="87" spans="1:42" ht="13">
      <c r="A87" s="462"/>
      <c r="B87" s="462"/>
      <c r="C87" t="str">
        <f ca="1">Filtered!I77</f>
        <v>Journal of Economic Perspectives</v>
      </c>
      <c r="D87" t="str">
        <f ca="1">Filtered!J77</f>
        <v>Business, Economics &amp; Management</v>
      </c>
      <c r="E87" t="str">
        <f ca="1">Filtered!AH77</f>
        <v>No preprint policy</v>
      </c>
      <c r="F87" t="b">
        <f t="shared" ca="1" si="9"/>
        <v>1</v>
      </c>
      <c r="G87" t="b">
        <f t="shared" ca="1" si="10"/>
        <v>0</v>
      </c>
      <c r="H87" t="b">
        <f t="shared" ca="1" si="11"/>
        <v>0</v>
      </c>
      <c r="I87" t="b">
        <f t="shared" ca="1" si="12"/>
        <v>0</v>
      </c>
      <c r="J87" t="b">
        <f t="shared" ca="1" si="13"/>
        <v>0</v>
      </c>
      <c r="K87" t="b">
        <f t="shared" ca="1" si="14"/>
        <v>0</v>
      </c>
      <c r="L87" t="b">
        <f t="shared" ca="1" si="15"/>
        <v>0</v>
      </c>
      <c r="M87" t="b">
        <f t="shared" ca="1" si="16"/>
        <v>0</v>
      </c>
      <c r="N87" s="448"/>
      <c r="O87" s="464"/>
      <c r="R87" s="448"/>
      <c r="S87" s="464"/>
      <c r="V87" s="448"/>
      <c r="W87" s="464"/>
      <c r="Z87" s="448"/>
      <c r="AA87" s="464"/>
      <c r="AD87" s="448"/>
      <c r="AE87" s="464"/>
      <c r="AH87" s="448"/>
      <c r="AI87" s="464"/>
      <c r="AL87" s="448"/>
      <c r="AP87" s="448"/>
    </row>
    <row r="88" spans="1:42" ht="13">
      <c r="A88" s="462"/>
      <c r="B88" s="462"/>
      <c r="C88" t="str">
        <f ca="1">Filtered!I78</f>
        <v>Journal of Educational Psychology</v>
      </c>
      <c r="D88" t="str">
        <f ca="1">Filtered!J78</f>
        <v>Social Sciences</v>
      </c>
      <c r="E88" t="str">
        <f ca="1">Filtered!AH78</f>
        <v>Unsure</v>
      </c>
      <c r="F88" t="b">
        <f t="shared" ca="1" si="9"/>
        <v>0</v>
      </c>
      <c r="G88" t="b">
        <f t="shared" ca="1" si="10"/>
        <v>0</v>
      </c>
      <c r="H88" t="b">
        <f t="shared" ca="1" si="11"/>
        <v>0</v>
      </c>
      <c r="I88" t="b">
        <f t="shared" ca="1" si="12"/>
        <v>0</v>
      </c>
      <c r="J88" t="b">
        <f t="shared" ca="1" si="13"/>
        <v>0</v>
      </c>
      <c r="K88" t="b">
        <f t="shared" ca="1" si="14"/>
        <v>0</v>
      </c>
      <c r="L88" t="b">
        <f t="shared" ca="1" si="15"/>
        <v>0</v>
      </c>
      <c r="M88" t="b">
        <f t="shared" ca="1" si="16"/>
        <v>1</v>
      </c>
      <c r="N88" s="448"/>
      <c r="O88" s="464"/>
      <c r="R88" s="448"/>
      <c r="S88" s="464"/>
      <c r="V88" s="448"/>
      <c r="W88" s="464"/>
      <c r="Z88" s="448"/>
      <c r="AA88" s="464"/>
      <c r="AD88" s="448"/>
      <c r="AE88" s="464"/>
      <c r="AH88" s="448"/>
      <c r="AI88" s="464"/>
      <c r="AL88" s="448"/>
      <c r="AP88" s="448"/>
    </row>
    <row r="89" spans="1:42" ht="13">
      <c r="A89" s="462"/>
      <c r="B89" s="462"/>
      <c r="C89" t="str">
        <f ca="1">Filtered!I79</f>
        <v>Journal of Financial Economics</v>
      </c>
      <c r="D89" t="str">
        <f ca="1">Filtered!J79</f>
        <v>Business, Economics &amp; Management</v>
      </c>
      <c r="E89" t="str">
        <f ca="1">Filtered!AH79</f>
        <v>After peer review (but not final, copyedited version)</v>
      </c>
      <c r="F89" t="b">
        <f t="shared" ca="1" si="9"/>
        <v>1</v>
      </c>
      <c r="G89" t="b">
        <f t="shared" ca="1" si="10"/>
        <v>0</v>
      </c>
      <c r="H89" t="b">
        <f t="shared" ca="1" si="11"/>
        <v>0</v>
      </c>
      <c r="I89" t="b">
        <f t="shared" ca="1" si="12"/>
        <v>0</v>
      </c>
      <c r="J89" t="b">
        <f t="shared" ca="1" si="13"/>
        <v>0</v>
      </c>
      <c r="K89" t="b">
        <f t="shared" ca="1" si="14"/>
        <v>0</v>
      </c>
      <c r="L89" t="b">
        <f t="shared" ca="1" si="15"/>
        <v>0</v>
      </c>
      <c r="M89" t="b">
        <f t="shared" ca="1" si="16"/>
        <v>0</v>
      </c>
      <c r="N89" s="448"/>
      <c r="O89" s="464"/>
      <c r="R89" s="448"/>
      <c r="S89" s="464"/>
      <c r="V89" s="448"/>
      <c r="W89" s="464"/>
      <c r="Z89" s="448"/>
      <c r="AA89" s="464"/>
      <c r="AD89" s="448"/>
      <c r="AE89" s="464"/>
      <c r="AH89" s="448"/>
      <c r="AI89" s="464"/>
      <c r="AL89" s="448"/>
      <c r="AP89" s="448"/>
    </row>
    <row r="90" spans="1:42" ht="13">
      <c r="A90" s="462"/>
      <c r="B90" s="462"/>
      <c r="C90" t="str">
        <f ca="1">Filtered!I80</f>
        <v>Journal of Geophysical Research</v>
      </c>
      <c r="D90" t="str">
        <f ca="1">Filtered!J80</f>
        <v>Physics &amp; Mathematics</v>
      </c>
      <c r="E90" t="str">
        <f ca="1">Filtered!AH80</f>
        <v>After peer review (but not final, copyedited version)</v>
      </c>
      <c r="F90" t="b">
        <f t="shared" ca="1" si="9"/>
        <v>0</v>
      </c>
      <c r="G90" t="b">
        <f t="shared" ca="1" si="10"/>
        <v>0</v>
      </c>
      <c r="H90" t="b">
        <f t="shared" ca="1" si="11"/>
        <v>0</v>
      </c>
      <c r="I90" t="b">
        <f t="shared" ca="1" si="12"/>
        <v>0</v>
      </c>
      <c r="J90" t="b">
        <f t="shared" ca="1" si="13"/>
        <v>0</v>
      </c>
      <c r="K90" t="b">
        <f t="shared" ca="1" si="14"/>
        <v>0</v>
      </c>
      <c r="L90" t="b">
        <f t="shared" ca="1" si="15"/>
        <v>1</v>
      </c>
      <c r="M90" t="b">
        <f t="shared" ca="1" si="16"/>
        <v>0</v>
      </c>
      <c r="N90" s="448"/>
      <c r="O90" s="464"/>
      <c r="R90" s="448"/>
      <c r="S90" s="464"/>
      <c r="V90" s="448"/>
      <c r="W90" s="464"/>
      <c r="Z90" s="448"/>
      <c r="AA90" s="464"/>
      <c r="AD90" s="448"/>
      <c r="AE90" s="464"/>
      <c r="AH90" s="448"/>
      <c r="AI90" s="464"/>
      <c r="AL90" s="448"/>
      <c r="AP90" s="448"/>
    </row>
    <row r="91" spans="1:42" ht="13">
      <c r="A91" s="462"/>
      <c r="B91" s="462"/>
      <c r="C91" t="str">
        <f ca="1">Filtered!I81</f>
        <v>Journal of Hepatology</v>
      </c>
      <c r="D91" t="str">
        <f ca="1">Filtered!J81</f>
        <v/>
      </c>
      <c r="E91" t="str">
        <f ca="1">Filtered!AH81</f>
        <v>After peer review (but not final, copyedited version)</v>
      </c>
      <c r="F91" t="b">
        <f t="shared" ca="1" si="9"/>
        <v>0</v>
      </c>
      <c r="G91" t="b">
        <f t="shared" ca="1" si="10"/>
        <v>0</v>
      </c>
      <c r="H91" t="b">
        <f t="shared" ca="1" si="11"/>
        <v>0</v>
      </c>
      <c r="I91" t="b">
        <f t="shared" ca="1" si="12"/>
        <v>0</v>
      </c>
      <c r="J91" t="b">
        <f t="shared" ca="1" si="13"/>
        <v>0</v>
      </c>
      <c r="K91" t="b">
        <f t="shared" ca="1" si="14"/>
        <v>0</v>
      </c>
      <c r="L91" t="b">
        <f t="shared" ca="1" si="15"/>
        <v>0</v>
      </c>
      <c r="M91" t="b">
        <f t="shared" ca="1" si="16"/>
        <v>0</v>
      </c>
      <c r="N91" s="448"/>
      <c r="O91" s="464"/>
      <c r="R91" s="448"/>
      <c r="S91" s="464"/>
      <c r="V91" s="448"/>
      <c r="W91" s="464"/>
      <c r="Z91" s="448"/>
      <c r="AA91" s="464"/>
      <c r="AD91" s="448"/>
      <c r="AE91" s="464"/>
      <c r="AH91" s="448"/>
      <c r="AI91" s="464"/>
      <c r="AL91" s="448"/>
      <c r="AP91" s="448"/>
    </row>
    <row r="92" spans="1:42" ht="13">
      <c r="A92" s="462"/>
      <c r="B92" s="462"/>
      <c r="C92" t="str">
        <f ca="1">Filtered!I82</f>
        <v>Journal of High Energy Physics</v>
      </c>
      <c r="D92" t="str">
        <f ca="1">Filtered!J82</f>
        <v>Physics &amp; Mathematics</v>
      </c>
      <c r="E92" t="str">
        <f ca="1">Filtered!AH82</f>
        <v>Any</v>
      </c>
      <c r="F92" t="b">
        <f t="shared" ca="1" si="9"/>
        <v>0</v>
      </c>
      <c r="G92" t="b">
        <f t="shared" ca="1" si="10"/>
        <v>0</v>
      </c>
      <c r="H92" t="b">
        <f t="shared" ca="1" si="11"/>
        <v>0</v>
      </c>
      <c r="I92" t="b">
        <f t="shared" ca="1" si="12"/>
        <v>0</v>
      </c>
      <c r="J92" t="b">
        <f t="shared" ca="1" si="13"/>
        <v>0</v>
      </c>
      <c r="K92" t="b">
        <f t="shared" ca="1" si="14"/>
        <v>0</v>
      </c>
      <c r="L92" t="b">
        <f t="shared" ca="1" si="15"/>
        <v>1</v>
      </c>
      <c r="M92" t="b">
        <f t="shared" ca="1" si="16"/>
        <v>0</v>
      </c>
      <c r="N92" s="448"/>
      <c r="O92" s="464"/>
      <c r="R92" s="448"/>
      <c r="S92" s="464"/>
      <c r="V92" s="448"/>
      <c r="W92" s="464"/>
      <c r="Z92" s="448"/>
      <c r="AA92" s="464"/>
      <c r="AD92" s="448"/>
      <c r="AE92" s="464"/>
      <c r="AH92" s="448"/>
      <c r="AI92" s="464"/>
      <c r="AL92" s="448"/>
      <c r="AP92" s="448"/>
    </row>
    <row r="93" spans="1:42" ht="13">
      <c r="A93" s="462"/>
      <c r="B93" s="462"/>
      <c r="C93" t="str">
        <f ca="1">Filtered!I83</f>
        <v>Journal of Management</v>
      </c>
      <c r="D93" t="str">
        <f ca="1">Filtered!J83</f>
        <v>Business, Economics &amp; Management</v>
      </c>
      <c r="E93" t="str">
        <f ca="1">Filtered!AH83</f>
        <v>First submission only (before peer review)</v>
      </c>
      <c r="F93" t="b">
        <f t="shared" ca="1" si="9"/>
        <v>1</v>
      </c>
      <c r="G93" t="b">
        <f t="shared" ca="1" si="10"/>
        <v>0</v>
      </c>
      <c r="H93" t="b">
        <f t="shared" ca="1" si="11"/>
        <v>0</v>
      </c>
      <c r="I93" t="b">
        <f t="shared" ca="1" si="12"/>
        <v>0</v>
      </c>
      <c r="J93" t="b">
        <f t="shared" ca="1" si="13"/>
        <v>0</v>
      </c>
      <c r="K93" t="b">
        <f t="shared" ca="1" si="14"/>
        <v>0</v>
      </c>
      <c r="L93" t="b">
        <f t="shared" ca="1" si="15"/>
        <v>0</v>
      </c>
      <c r="M93" t="b">
        <f t="shared" ca="1" si="16"/>
        <v>0</v>
      </c>
      <c r="N93" s="448"/>
      <c r="O93" s="464"/>
      <c r="R93" s="448"/>
      <c r="S93" s="464"/>
      <c r="V93" s="448"/>
      <c r="W93" s="464"/>
      <c r="Z93" s="448"/>
      <c r="AA93" s="464"/>
      <c r="AD93" s="448"/>
      <c r="AE93" s="464"/>
      <c r="AH93" s="448"/>
      <c r="AI93" s="464"/>
      <c r="AL93" s="448"/>
      <c r="AP93" s="448"/>
    </row>
    <row r="94" spans="1:42" ht="13">
      <c r="A94" s="462"/>
      <c r="B94" s="462"/>
      <c r="C94" t="str">
        <f ca="1">Filtered!I84</f>
        <v>Journal of Materials Chemistry. A</v>
      </c>
      <c r="D94" t="str">
        <f ca="1">Filtered!J84</f>
        <v>Chemical &amp; Materials Sciences, Engineering &amp; Computer Science</v>
      </c>
      <c r="E94" t="str">
        <f ca="1">Filtered!AH84</f>
        <v>First submission only (before peer review)</v>
      </c>
      <c r="F94" t="b">
        <f t="shared" ca="1" si="9"/>
        <v>0</v>
      </c>
      <c r="G94" t="b">
        <f t="shared" ca="1" si="10"/>
        <v>1</v>
      </c>
      <c r="H94" t="b">
        <f t="shared" ca="1" si="11"/>
        <v>1</v>
      </c>
      <c r="I94" t="b">
        <f t="shared" ca="1" si="12"/>
        <v>0</v>
      </c>
      <c r="J94" t="b">
        <f t="shared" ca="1" si="13"/>
        <v>0</v>
      </c>
      <c r="K94" t="b">
        <f t="shared" ca="1" si="14"/>
        <v>0</v>
      </c>
      <c r="L94" t="b">
        <f t="shared" ca="1" si="15"/>
        <v>0</v>
      </c>
      <c r="M94" t="b">
        <f t="shared" ca="1" si="16"/>
        <v>0</v>
      </c>
      <c r="N94" s="448"/>
      <c r="O94" s="464"/>
      <c r="R94" s="448"/>
      <c r="S94" s="464"/>
      <c r="V94" s="448"/>
      <c r="W94" s="464"/>
      <c r="Z94" s="448"/>
      <c r="AA94" s="464"/>
      <c r="AD94" s="448"/>
      <c r="AE94" s="464"/>
      <c r="AH94" s="448"/>
      <c r="AI94" s="464"/>
      <c r="AL94" s="448"/>
      <c r="AP94" s="448"/>
    </row>
    <row r="95" spans="1:42" ht="13">
      <c r="A95" s="462"/>
      <c r="B95" s="462"/>
      <c r="C95" t="str">
        <f ca="1">Filtered!I85</f>
        <v>Journal of Pragmatics</v>
      </c>
      <c r="D95" t="str">
        <f ca="1">Filtered!J85</f>
        <v>Humanities, Literature &amp; Arts</v>
      </c>
      <c r="E95" t="str">
        <f ca="1">Filtered!AH85</f>
        <v>After peer review (but not final, copyedited version)</v>
      </c>
      <c r="F95" t="b">
        <f t="shared" ca="1" si="9"/>
        <v>0</v>
      </c>
      <c r="G95" t="b">
        <f t="shared" ca="1" si="10"/>
        <v>0</v>
      </c>
      <c r="H95" t="b">
        <f t="shared" ca="1" si="11"/>
        <v>0</v>
      </c>
      <c r="I95" t="b">
        <f t="shared" ca="1" si="12"/>
        <v>0</v>
      </c>
      <c r="J95" t="b">
        <f t="shared" ca="1" si="13"/>
        <v>1</v>
      </c>
      <c r="K95" t="b">
        <f t="shared" ca="1" si="14"/>
        <v>0</v>
      </c>
      <c r="L95" t="b">
        <f t="shared" ca="1" si="15"/>
        <v>0</v>
      </c>
      <c r="M95" t="b">
        <f t="shared" ca="1" si="16"/>
        <v>0</v>
      </c>
      <c r="N95" s="448"/>
      <c r="O95" s="464"/>
      <c r="R95" s="448"/>
      <c r="S95" s="464"/>
      <c r="V95" s="448"/>
      <c r="W95" s="464"/>
      <c r="Z95" s="448"/>
      <c r="AA95" s="464"/>
      <c r="AD95" s="448"/>
      <c r="AE95" s="464"/>
      <c r="AH95" s="448"/>
      <c r="AI95" s="464"/>
      <c r="AL95" s="448"/>
      <c r="AP95" s="448"/>
    </row>
    <row r="96" spans="1:42" ht="13">
      <c r="A96" s="462"/>
      <c r="B96" s="462"/>
      <c r="C96" t="str">
        <f ca="1">Filtered!I86</f>
        <v>Journal of the American Chemical Society</v>
      </c>
      <c r="D96" t="str">
        <f ca="1">Filtered!J86</f>
        <v>Chemical &amp; Materials Sciences</v>
      </c>
      <c r="E96" t="str">
        <f ca="1">Filtered!AH86</f>
        <v>After peer review (but not final, copyedited version)</v>
      </c>
      <c r="F96" t="b">
        <f t="shared" ca="1" si="9"/>
        <v>0</v>
      </c>
      <c r="G96" t="b">
        <f t="shared" ca="1" si="10"/>
        <v>1</v>
      </c>
      <c r="H96" t="b">
        <f t="shared" ca="1" si="11"/>
        <v>0</v>
      </c>
      <c r="I96" t="b">
        <f t="shared" ca="1" si="12"/>
        <v>0</v>
      </c>
      <c r="J96" t="b">
        <f t="shared" ca="1" si="13"/>
        <v>0</v>
      </c>
      <c r="K96" t="b">
        <f t="shared" ca="1" si="14"/>
        <v>0</v>
      </c>
      <c r="L96" t="b">
        <f t="shared" ca="1" si="15"/>
        <v>0</v>
      </c>
      <c r="M96" t="b">
        <f t="shared" ca="1" si="16"/>
        <v>0</v>
      </c>
      <c r="N96" s="448"/>
      <c r="O96" s="464"/>
      <c r="R96" s="448"/>
      <c r="S96" s="464"/>
      <c r="V96" s="448"/>
      <c r="W96" s="464"/>
      <c r="Z96" s="448"/>
      <c r="AA96" s="464"/>
      <c r="AD96" s="448"/>
      <c r="AE96" s="464"/>
      <c r="AH96" s="448"/>
      <c r="AI96" s="464"/>
      <c r="AL96" s="448"/>
      <c r="AP96" s="448"/>
    </row>
    <row r="97" spans="1:42" ht="13">
      <c r="A97" s="462"/>
      <c r="B97" s="462"/>
      <c r="C97" t="str">
        <f ca="1">Filtered!I87</f>
        <v>Journal of the American College of Cardiology</v>
      </c>
      <c r="D97" t="str">
        <f ca="1">Filtered!J87</f>
        <v>Health &amp; Medical Sciences</v>
      </c>
      <c r="E97" t="str">
        <f ca="1">Filtered!AH87</f>
        <v>None (preprints are not allowed)</v>
      </c>
      <c r="F97" t="b">
        <f t="shared" ca="1" si="9"/>
        <v>0</v>
      </c>
      <c r="G97" t="b">
        <f t="shared" ca="1" si="10"/>
        <v>0</v>
      </c>
      <c r="H97" t="b">
        <f t="shared" ca="1" si="11"/>
        <v>0</v>
      </c>
      <c r="I97" t="b">
        <f t="shared" ca="1" si="12"/>
        <v>1</v>
      </c>
      <c r="J97" t="b">
        <f t="shared" ca="1" si="13"/>
        <v>0</v>
      </c>
      <c r="K97" t="b">
        <f t="shared" ca="1" si="14"/>
        <v>0</v>
      </c>
      <c r="L97" t="b">
        <f t="shared" ca="1" si="15"/>
        <v>0</v>
      </c>
      <c r="M97" t="b">
        <f t="shared" ca="1" si="16"/>
        <v>0</v>
      </c>
      <c r="N97" s="448"/>
      <c r="O97" s="464"/>
      <c r="R97" s="448"/>
      <c r="S97" s="464"/>
      <c r="V97" s="448"/>
      <c r="W97" s="464"/>
      <c r="Z97" s="448"/>
      <c r="AA97" s="464"/>
      <c r="AD97" s="448"/>
      <c r="AE97" s="464"/>
      <c r="AH97" s="448"/>
      <c r="AI97" s="464"/>
      <c r="AL97" s="448"/>
      <c r="AP97" s="448"/>
    </row>
    <row r="98" spans="1:42" ht="13">
      <c r="A98" s="462"/>
      <c r="B98" s="462"/>
      <c r="C98" t="str">
        <f ca="1">Filtered!I88</f>
        <v>Journal of Youth and Adolescence</v>
      </c>
      <c r="D98" t="str">
        <f ca="1">Filtered!J88</f>
        <v>Social Sciences</v>
      </c>
      <c r="E98" t="str">
        <f ca="1">Filtered!AH88</f>
        <v>No preprint policy</v>
      </c>
      <c r="F98" t="b">
        <f t="shared" ca="1" si="9"/>
        <v>0</v>
      </c>
      <c r="G98" t="b">
        <f t="shared" ca="1" si="10"/>
        <v>0</v>
      </c>
      <c r="H98" t="b">
        <f t="shared" ca="1" si="11"/>
        <v>0</v>
      </c>
      <c r="I98" t="b">
        <f t="shared" ca="1" si="12"/>
        <v>0</v>
      </c>
      <c r="J98" t="b">
        <f t="shared" ca="1" si="13"/>
        <v>0</v>
      </c>
      <c r="K98" t="b">
        <f t="shared" ca="1" si="14"/>
        <v>0</v>
      </c>
      <c r="L98" t="b">
        <f t="shared" ca="1" si="15"/>
        <v>0</v>
      </c>
      <c r="M98" t="b">
        <f t="shared" ca="1" si="16"/>
        <v>1</v>
      </c>
      <c r="N98" s="448"/>
      <c r="O98" s="464"/>
      <c r="R98" s="448"/>
      <c r="S98" s="464"/>
      <c r="V98" s="448"/>
      <c r="W98" s="464"/>
      <c r="Z98" s="448"/>
      <c r="AA98" s="464"/>
      <c r="AD98" s="448"/>
      <c r="AE98" s="464"/>
      <c r="AH98" s="448"/>
      <c r="AI98" s="464"/>
      <c r="AL98" s="448"/>
      <c r="AP98" s="448"/>
    </row>
    <row r="99" spans="1:42" ht="13">
      <c r="A99" s="462"/>
      <c r="B99" s="462"/>
      <c r="C99" t="str">
        <f ca="1">Filtered!I89</f>
        <v>Journalism</v>
      </c>
      <c r="D99" t="str">
        <f ca="1">Filtered!J89</f>
        <v>Humanities, Literature &amp; Arts</v>
      </c>
      <c r="E99" t="str">
        <f ca="1">Filtered!AH89</f>
        <v>First submission only (before peer review)</v>
      </c>
      <c r="F99" t="b">
        <f t="shared" ca="1" si="9"/>
        <v>0</v>
      </c>
      <c r="G99" t="b">
        <f t="shared" ca="1" si="10"/>
        <v>0</v>
      </c>
      <c r="H99" t="b">
        <f t="shared" ca="1" si="11"/>
        <v>0</v>
      </c>
      <c r="I99" t="b">
        <f t="shared" ca="1" si="12"/>
        <v>0</v>
      </c>
      <c r="J99" t="b">
        <f t="shared" ca="1" si="13"/>
        <v>1</v>
      </c>
      <c r="K99" t="b">
        <f t="shared" ca="1" si="14"/>
        <v>0</v>
      </c>
      <c r="L99" t="b">
        <f t="shared" ca="1" si="15"/>
        <v>0</v>
      </c>
      <c r="M99" t="b">
        <f t="shared" ca="1" si="16"/>
        <v>0</v>
      </c>
      <c r="N99" s="448"/>
      <c r="O99" s="464"/>
      <c r="R99" s="448"/>
      <c r="S99" s="464"/>
      <c r="V99" s="448"/>
      <c r="W99" s="464"/>
      <c r="Z99" s="448"/>
      <c r="AA99" s="464"/>
      <c r="AD99" s="448"/>
      <c r="AE99" s="464"/>
      <c r="AH99" s="448"/>
      <c r="AI99" s="464"/>
      <c r="AL99" s="448"/>
      <c r="AP99" s="448"/>
    </row>
    <row r="100" spans="1:42" ht="13">
      <c r="A100" s="462"/>
      <c r="B100" s="462"/>
      <c r="C100" t="str">
        <f ca="1">Filtered!I90</f>
        <v>Journalism Practice</v>
      </c>
      <c r="D100" t="str">
        <f ca="1">Filtered!J90</f>
        <v>Humanities, Literature &amp; Arts</v>
      </c>
      <c r="E100" t="str">
        <f ca="1">Filtered!AH90</f>
        <v>No preprint policy</v>
      </c>
      <c r="F100" t="b">
        <f t="shared" ca="1" si="9"/>
        <v>0</v>
      </c>
      <c r="G100" t="b">
        <f t="shared" ca="1" si="10"/>
        <v>0</v>
      </c>
      <c r="H100" t="b">
        <f t="shared" ca="1" si="11"/>
        <v>0</v>
      </c>
      <c r="I100" t="b">
        <f t="shared" ca="1" si="12"/>
        <v>0</v>
      </c>
      <c r="J100" t="b">
        <f t="shared" ca="1" si="13"/>
        <v>1</v>
      </c>
      <c r="K100" t="b">
        <f t="shared" ca="1" si="14"/>
        <v>0</v>
      </c>
      <c r="L100" t="b">
        <f t="shared" ca="1" si="15"/>
        <v>0</v>
      </c>
      <c r="M100" t="b">
        <f t="shared" ca="1" si="16"/>
        <v>0</v>
      </c>
      <c r="N100" s="448"/>
      <c r="O100" s="464"/>
      <c r="R100" s="448"/>
      <c r="S100" s="464"/>
      <c r="V100" s="448"/>
      <c r="W100" s="464"/>
      <c r="Z100" s="448"/>
      <c r="AA100" s="464"/>
      <c r="AD100" s="448"/>
      <c r="AE100" s="464"/>
      <c r="AH100" s="448"/>
      <c r="AI100" s="464"/>
      <c r="AL100" s="448"/>
      <c r="AP100" s="448"/>
    </row>
    <row r="101" spans="1:42" ht="13">
      <c r="A101" s="462"/>
      <c r="B101" s="462"/>
      <c r="C101" t="str">
        <f ca="1">Filtered!I91</f>
        <v>Journalism Studies</v>
      </c>
      <c r="D101" t="str">
        <f ca="1">Filtered!J91</f>
        <v>Humanities, Literature &amp; Arts</v>
      </c>
      <c r="E101" t="str">
        <f ca="1">Filtered!AH91</f>
        <v>No preprint policy</v>
      </c>
      <c r="F101" t="b">
        <f t="shared" ca="1" si="9"/>
        <v>0</v>
      </c>
      <c r="G101" t="b">
        <f t="shared" ca="1" si="10"/>
        <v>0</v>
      </c>
      <c r="H101" t="b">
        <f t="shared" ca="1" si="11"/>
        <v>0</v>
      </c>
      <c r="I101" t="b">
        <f t="shared" ca="1" si="12"/>
        <v>0</v>
      </c>
      <c r="J101" t="b">
        <f t="shared" ca="1" si="13"/>
        <v>1</v>
      </c>
      <c r="K101" t="b">
        <f t="shared" ca="1" si="14"/>
        <v>0</v>
      </c>
      <c r="L101" t="b">
        <f t="shared" ca="1" si="15"/>
        <v>0</v>
      </c>
      <c r="M101" t="b">
        <f t="shared" ca="1" si="16"/>
        <v>0</v>
      </c>
      <c r="N101" s="448"/>
      <c r="O101" s="464"/>
      <c r="R101" s="448"/>
      <c r="S101" s="464"/>
      <c r="V101" s="448"/>
      <c r="W101" s="464"/>
      <c r="Z101" s="448"/>
      <c r="AA101" s="464"/>
      <c r="AD101" s="448"/>
      <c r="AE101" s="464"/>
      <c r="AH101" s="448"/>
      <c r="AI101" s="464"/>
      <c r="AL101" s="448"/>
      <c r="AP101" s="448"/>
    </row>
    <row r="102" spans="1:42" ht="13">
      <c r="A102" s="462"/>
      <c r="B102" s="462"/>
      <c r="C102" t="str">
        <f ca="1">Filtered!I92</f>
        <v>Land Use Policy</v>
      </c>
      <c r="D102" t="str">
        <f ca="1">Filtered!J92</f>
        <v>Social Sciences</v>
      </c>
      <c r="E102" t="str">
        <f ca="1">Filtered!AH92</f>
        <v>After peer review (but not final, copyedited version)</v>
      </c>
      <c r="F102" t="b">
        <f t="shared" ca="1" si="9"/>
        <v>0</v>
      </c>
      <c r="G102" t="b">
        <f t="shared" ca="1" si="10"/>
        <v>0</v>
      </c>
      <c r="H102" t="b">
        <f t="shared" ca="1" si="11"/>
        <v>0</v>
      </c>
      <c r="I102" t="b">
        <f t="shared" ca="1" si="12"/>
        <v>0</v>
      </c>
      <c r="J102" t="b">
        <f t="shared" ca="1" si="13"/>
        <v>0</v>
      </c>
      <c r="K102" t="b">
        <f t="shared" ca="1" si="14"/>
        <v>0</v>
      </c>
      <c r="L102" t="b">
        <f t="shared" ca="1" si="15"/>
        <v>0</v>
      </c>
      <c r="M102" t="b">
        <f t="shared" ca="1" si="16"/>
        <v>1</v>
      </c>
      <c r="N102" s="448"/>
      <c r="O102" s="464"/>
      <c r="R102" s="448"/>
      <c r="S102" s="464"/>
      <c r="V102" s="448"/>
      <c r="W102" s="464"/>
      <c r="Z102" s="448"/>
      <c r="AA102" s="464"/>
      <c r="AD102" s="448"/>
      <c r="AE102" s="464"/>
      <c r="AH102" s="448"/>
      <c r="AI102" s="464"/>
      <c r="AL102" s="448"/>
      <c r="AP102" s="448"/>
    </row>
    <row r="103" spans="1:42" ht="13">
      <c r="A103" s="462"/>
      <c r="B103" s="462"/>
      <c r="C103" t="str">
        <f ca="1">Filtered!I93</f>
        <v>Language Learning</v>
      </c>
      <c r="D103" t="str">
        <f ca="1">Filtered!J93</f>
        <v>Humanities, Literature &amp; Arts</v>
      </c>
      <c r="E103" t="str">
        <f ca="1">Filtered!AH93</f>
        <v>No preprint policy</v>
      </c>
      <c r="F103" t="b">
        <f t="shared" ca="1" si="9"/>
        <v>0</v>
      </c>
      <c r="G103" t="b">
        <f t="shared" ca="1" si="10"/>
        <v>0</v>
      </c>
      <c r="H103" t="b">
        <f t="shared" ca="1" si="11"/>
        <v>0</v>
      </c>
      <c r="I103" t="b">
        <f t="shared" ca="1" si="12"/>
        <v>0</v>
      </c>
      <c r="J103" t="b">
        <f t="shared" ca="1" si="13"/>
        <v>1</v>
      </c>
      <c r="K103" t="b">
        <f t="shared" ca="1" si="14"/>
        <v>0</v>
      </c>
      <c r="L103" t="b">
        <f t="shared" ca="1" si="15"/>
        <v>0</v>
      </c>
      <c r="M103" t="b">
        <f t="shared" ca="1" si="16"/>
        <v>0</v>
      </c>
      <c r="N103" s="448"/>
      <c r="O103" s="464"/>
      <c r="R103" s="448"/>
      <c r="S103" s="464"/>
      <c r="V103" s="448"/>
      <c r="W103" s="464"/>
      <c r="Z103" s="448"/>
      <c r="AA103" s="464"/>
      <c r="AD103" s="448"/>
      <c r="AE103" s="464"/>
      <c r="AH103" s="448"/>
      <c r="AI103" s="464"/>
      <c r="AL103" s="448"/>
      <c r="AP103" s="448"/>
    </row>
    <row r="104" spans="1:42" ht="13">
      <c r="A104" s="462"/>
      <c r="B104" s="462"/>
      <c r="C104" t="str">
        <f ca="1">Filtered!I94</f>
        <v>Lingua</v>
      </c>
      <c r="D104" t="str">
        <f ca="1">Filtered!J94</f>
        <v>Humanities, Literature &amp; Arts</v>
      </c>
      <c r="E104" t="str">
        <f ca="1">Filtered!AH94</f>
        <v>After peer review (but not final, copyedited version)</v>
      </c>
      <c r="F104" t="b">
        <f t="shared" ca="1" si="9"/>
        <v>0</v>
      </c>
      <c r="G104" t="b">
        <f t="shared" ca="1" si="10"/>
        <v>0</v>
      </c>
      <c r="H104" t="b">
        <f t="shared" ca="1" si="11"/>
        <v>0</v>
      </c>
      <c r="I104" t="b">
        <f t="shared" ca="1" si="12"/>
        <v>0</v>
      </c>
      <c r="J104" t="b">
        <f t="shared" ca="1" si="13"/>
        <v>1</v>
      </c>
      <c r="K104" t="b">
        <f t="shared" ca="1" si="14"/>
        <v>0</v>
      </c>
      <c r="L104" t="b">
        <f t="shared" ca="1" si="15"/>
        <v>0</v>
      </c>
      <c r="M104" t="b">
        <f t="shared" ca="1" si="16"/>
        <v>0</v>
      </c>
      <c r="N104" s="448"/>
      <c r="O104" s="464"/>
      <c r="R104" s="448"/>
      <c r="S104" s="464"/>
      <c r="V104" s="448"/>
      <c r="W104" s="464"/>
      <c r="Z104" s="448"/>
      <c r="AA104" s="464"/>
      <c r="AD104" s="448"/>
      <c r="AE104" s="464"/>
      <c r="AH104" s="448"/>
      <c r="AI104" s="464"/>
      <c r="AL104" s="448"/>
      <c r="AP104" s="448"/>
    </row>
    <row r="105" spans="1:42" ht="13">
      <c r="A105" s="462"/>
      <c r="B105" s="462"/>
      <c r="C105" t="str">
        <f ca="1">Filtered!I95</f>
        <v>Management Information Systems Quarterly</v>
      </c>
      <c r="D105" t="str">
        <f ca="1">Filtered!J95</f>
        <v>Business, Economics &amp; Management</v>
      </c>
      <c r="E105" t="str">
        <f ca="1">Filtered!AH95</f>
        <v>No preprint policy</v>
      </c>
      <c r="F105" t="b">
        <f t="shared" ca="1" si="9"/>
        <v>1</v>
      </c>
      <c r="G105" t="b">
        <f t="shared" ca="1" si="10"/>
        <v>0</v>
      </c>
      <c r="H105" t="b">
        <f t="shared" ca="1" si="11"/>
        <v>0</v>
      </c>
      <c r="I105" t="b">
        <f t="shared" ca="1" si="12"/>
        <v>0</v>
      </c>
      <c r="J105" t="b">
        <f t="shared" ca="1" si="13"/>
        <v>0</v>
      </c>
      <c r="K105" t="b">
        <f t="shared" ca="1" si="14"/>
        <v>0</v>
      </c>
      <c r="L105" t="b">
        <f t="shared" ca="1" si="15"/>
        <v>0</v>
      </c>
      <c r="M105" t="b">
        <f t="shared" ca="1" si="16"/>
        <v>0</v>
      </c>
      <c r="N105" s="448"/>
      <c r="O105" s="464"/>
      <c r="R105" s="448"/>
      <c r="S105" s="464"/>
      <c r="V105" s="448"/>
      <c r="W105" s="464"/>
      <c r="Z105" s="448"/>
      <c r="AA105" s="464"/>
      <c r="AD105" s="448"/>
      <c r="AE105" s="464"/>
      <c r="AH105" s="448"/>
      <c r="AI105" s="464"/>
      <c r="AL105" s="448"/>
      <c r="AP105" s="448"/>
    </row>
    <row r="106" spans="1:42" ht="13">
      <c r="A106" s="462"/>
      <c r="B106" s="462"/>
      <c r="C106" t="str">
        <f ca="1">Filtered!I96</f>
        <v>Management Science</v>
      </c>
      <c r="D106" t="str">
        <f ca="1">Filtered!J96</f>
        <v>Business, Economics &amp; Management</v>
      </c>
      <c r="E106" t="str">
        <f ca="1">Filtered!AH96</f>
        <v>No preprint policy</v>
      </c>
      <c r="F106" t="b">
        <f t="shared" ca="1" si="9"/>
        <v>1</v>
      </c>
      <c r="G106" t="b">
        <f t="shared" ca="1" si="10"/>
        <v>0</v>
      </c>
      <c r="H106" t="b">
        <f t="shared" ca="1" si="11"/>
        <v>0</v>
      </c>
      <c r="I106" t="b">
        <f t="shared" ca="1" si="12"/>
        <v>0</v>
      </c>
      <c r="J106" t="b">
        <f t="shared" ca="1" si="13"/>
        <v>0</v>
      </c>
      <c r="K106" t="b">
        <f t="shared" ca="1" si="14"/>
        <v>0</v>
      </c>
      <c r="L106" t="b">
        <f t="shared" ca="1" si="15"/>
        <v>0</v>
      </c>
      <c r="M106" t="b">
        <f t="shared" ca="1" si="16"/>
        <v>0</v>
      </c>
      <c r="N106" s="448"/>
      <c r="O106" s="464"/>
      <c r="R106" s="448"/>
      <c r="S106" s="464"/>
      <c r="V106" s="448"/>
      <c r="W106" s="464"/>
      <c r="Z106" s="448"/>
      <c r="AA106" s="464"/>
      <c r="AD106" s="448"/>
      <c r="AE106" s="464"/>
      <c r="AH106" s="448"/>
      <c r="AI106" s="464"/>
      <c r="AL106" s="448"/>
      <c r="AP106" s="448"/>
    </row>
    <row r="107" spans="1:42" ht="13">
      <c r="A107" s="462"/>
      <c r="B107" s="462"/>
      <c r="C107" t="str">
        <f ca="1">Filtered!I97</f>
        <v>Media, Culture &amp; Society</v>
      </c>
      <c r="D107" t="str">
        <f ca="1">Filtered!J97</f>
        <v>Humanities, Literature &amp; Arts</v>
      </c>
      <c r="E107" t="str">
        <f ca="1">Filtered!AH97</f>
        <v>First submission only (before peer review) [unless you wait 12 months for the embargo to clear for the accepted version]</v>
      </c>
      <c r="F107" t="b">
        <f t="shared" ca="1" si="9"/>
        <v>0</v>
      </c>
      <c r="G107" t="b">
        <f t="shared" ca="1" si="10"/>
        <v>0</v>
      </c>
      <c r="H107" t="b">
        <f t="shared" ca="1" si="11"/>
        <v>0</v>
      </c>
      <c r="I107" t="b">
        <f t="shared" ca="1" si="12"/>
        <v>0</v>
      </c>
      <c r="J107" t="b">
        <f t="shared" ca="1" si="13"/>
        <v>1</v>
      </c>
      <c r="K107" t="b">
        <f t="shared" ca="1" si="14"/>
        <v>0</v>
      </c>
      <c r="L107" t="b">
        <f t="shared" ca="1" si="15"/>
        <v>0</v>
      </c>
      <c r="M107" t="b">
        <f t="shared" ca="1" si="16"/>
        <v>0</v>
      </c>
      <c r="N107" s="448"/>
      <c r="O107" s="464"/>
      <c r="R107" s="448"/>
      <c r="S107" s="464"/>
      <c r="V107" s="448"/>
      <c r="W107" s="464"/>
      <c r="Z107" s="448"/>
      <c r="AA107" s="464"/>
      <c r="AD107" s="448"/>
      <c r="AE107" s="464"/>
      <c r="AH107" s="448"/>
      <c r="AI107" s="464"/>
      <c r="AL107" s="448"/>
      <c r="AP107" s="448"/>
    </row>
    <row r="108" spans="1:42" ht="13">
      <c r="A108" s="462"/>
      <c r="B108" s="462"/>
      <c r="C108" t="str">
        <f ca="1">Filtered!I98</f>
        <v>Molecular Cell</v>
      </c>
      <c r="D108" t="str">
        <f ca="1">Filtered!J98</f>
        <v>Life Sciences &amp; Earth Sciences</v>
      </c>
      <c r="E108" t="str">
        <f ca="1">Filtered!AH98</f>
        <v>First submission only (before peer review)</v>
      </c>
      <c r="F108" t="b">
        <f t="shared" ca="1" si="9"/>
        <v>0</v>
      </c>
      <c r="G108" t="b">
        <f t="shared" ca="1" si="10"/>
        <v>0</v>
      </c>
      <c r="H108" t="b">
        <f t="shared" ca="1" si="11"/>
        <v>0</v>
      </c>
      <c r="I108" t="b">
        <f t="shared" ca="1" si="12"/>
        <v>0</v>
      </c>
      <c r="J108" t="b">
        <f t="shared" ca="1" si="13"/>
        <v>0</v>
      </c>
      <c r="K108" t="b">
        <f t="shared" ca="1" si="14"/>
        <v>1</v>
      </c>
      <c r="L108" t="b">
        <f t="shared" ca="1" si="15"/>
        <v>0</v>
      </c>
      <c r="M108" t="b">
        <f t="shared" ca="1" si="16"/>
        <v>0</v>
      </c>
      <c r="N108" s="448"/>
      <c r="O108" s="464"/>
      <c r="R108" s="448"/>
      <c r="S108" s="464"/>
      <c r="V108" s="448"/>
      <c r="W108" s="464"/>
      <c r="Z108" s="448"/>
      <c r="AA108" s="464"/>
      <c r="AD108" s="448"/>
      <c r="AE108" s="464"/>
      <c r="AH108" s="448"/>
      <c r="AI108" s="464"/>
      <c r="AL108" s="448"/>
      <c r="AP108" s="448"/>
    </row>
    <row r="109" spans="1:42" ht="13">
      <c r="A109" s="462"/>
      <c r="B109" s="462"/>
      <c r="C109" t="str">
        <f ca="1">Filtered!I99</f>
        <v>Monthly Notices of the Royal Astronomical Society</v>
      </c>
      <c r="D109" t="str">
        <f ca="1">Filtered!J99</f>
        <v>Physics &amp; Mathematics</v>
      </c>
      <c r="E109" t="str">
        <f ca="1">Filtered!AH99</f>
        <v>Any</v>
      </c>
      <c r="F109" t="b">
        <f t="shared" ca="1" si="9"/>
        <v>0</v>
      </c>
      <c r="G109" t="b">
        <f t="shared" ca="1" si="10"/>
        <v>0</v>
      </c>
      <c r="H109" t="b">
        <f t="shared" ca="1" si="11"/>
        <v>0</v>
      </c>
      <c r="I109" t="b">
        <f t="shared" ca="1" si="12"/>
        <v>0</v>
      </c>
      <c r="J109" t="b">
        <f t="shared" ca="1" si="13"/>
        <v>0</v>
      </c>
      <c r="K109" t="b">
        <f t="shared" ca="1" si="14"/>
        <v>0</v>
      </c>
      <c r="L109" t="b">
        <f t="shared" ca="1" si="15"/>
        <v>1</v>
      </c>
      <c r="M109" t="b">
        <f t="shared" ca="1" si="16"/>
        <v>0</v>
      </c>
      <c r="N109" s="448"/>
      <c r="O109" s="464"/>
      <c r="R109" s="448"/>
      <c r="S109" s="464"/>
      <c r="V109" s="448"/>
      <c r="W109" s="464"/>
      <c r="Z109" s="448"/>
      <c r="AA109" s="464"/>
      <c r="AD109" s="448"/>
      <c r="AE109" s="464"/>
      <c r="AH109" s="448"/>
      <c r="AI109" s="464"/>
      <c r="AL109" s="448"/>
      <c r="AP109" s="448"/>
    </row>
    <row r="110" spans="1:42" ht="13">
      <c r="A110" s="462"/>
      <c r="B110" s="462"/>
      <c r="C110" t="str">
        <f ca="1">Filtered!I100</f>
        <v>Nano Letters</v>
      </c>
      <c r="D110" t="str">
        <f ca="1">Filtered!J100</f>
        <v>Chemical &amp; Materials Sciences,
Engineering &amp; Computer Science</v>
      </c>
      <c r="E110" t="str">
        <f ca="1">Filtered!AH100</f>
        <v>First submission only (before peer review)</v>
      </c>
      <c r="F110" t="b">
        <f t="shared" ca="1" si="9"/>
        <v>0</v>
      </c>
      <c r="G110" t="b">
        <f t="shared" ca="1" si="10"/>
        <v>1</v>
      </c>
      <c r="H110" t="b">
        <f t="shared" ca="1" si="11"/>
        <v>1</v>
      </c>
      <c r="I110" t="b">
        <f t="shared" ca="1" si="12"/>
        <v>0</v>
      </c>
      <c r="J110" t="b">
        <f t="shared" ca="1" si="13"/>
        <v>0</v>
      </c>
      <c r="K110" t="b">
        <f t="shared" ca="1" si="14"/>
        <v>0</v>
      </c>
      <c r="L110" t="b">
        <f t="shared" ca="1" si="15"/>
        <v>0</v>
      </c>
      <c r="M110" t="b">
        <f t="shared" ca="1" si="16"/>
        <v>0</v>
      </c>
      <c r="N110" s="448"/>
      <c r="O110" s="464"/>
      <c r="R110" s="448"/>
      <c r="S110" s="464"/>
      <c r="V110" s="448"/>
      <c r="W110" s="464"/>
      <c r="Z110" s="448"/>
      <c r="AA110" s="464"/>
      <c r="AD110" s="448"/>
      <c r="AE110" s="464"/>
      <c r="AH110" s="448"/>
      <c r="AI110" s="464"/>
      <c r="AL110" s="448"/>
      <c r="AP110" s="448"/>
    </row>
    <row r="111" spans="1:42" ht="13">
      <c r="A111" s="462"/>
      <c r="B111" s="462"/>
      <c r="C111" t="str">
        <f ca="1">Filtered!I101</f>
        <v>Nanoscale</v>
      </c>
      <c r="D111" t="str">
        <f ca="1">Filtered!J101</f>
        <v>Chemical &amp; Materials Sciences,
Engineering &amp; Computer Science</v>
      </c>
      <c r="E111" t="str">
        <f ca="1">Filtered!AH101</f>
        <v>First submission only (before peer review)</v>
      </c>
      <c r="F111" t="b">
        <f t="shared" ca="1" si="9"/>
        <v>0</v>
      </c>
      <c r="G111" t="b">
        <f t="shared" ca="1" si="10"/>
        <v>1</v>
      </c>
      <c r="H111" t="b">
        <f t="shared" ca="1" si="11"/>
        <v>1</v>
      </c>
      <c r="I111" t="b">
        <f t="shared" ca="1" si="12"/>
        <v>0</v>
      </c>
      <c r="J111" t="b">
        <f t="shared" ca="1" si="13"/>
        <v>0</v>
      </c>
      <c r="K111" t="b">
        <f t="shared" ca="1" si="14"/>
        <v>0</v>
      </c>
      <c r="L111" t="b">
        <f t="shared" ca="1" si="15"/>
        <v>0</v>
      </c>
      <c r="M111" t="b">
        <f t="shared" ca="1" si="16"/>
        <v>0</v>
      </c>
      <c r="N111" s="448"/>
      <c r="O111" s="464"/>
      <c r="R111" s="448"/>
      <c r="S111" s="464"/>
      <c r="V111" s="448"/>
      <c r="W111" s="464"/>
      <c r="Z111" s="448"/>
      <c r="AA111" s="464"/>
      <c r="AD111" s="448"/>
      <c r="AE111" s="464"/>
      <c r="AH111" s="448"/>
      <c r="AI111" s="464"/>
      <c r="AL111" s="448"/>
      <c r="AP111" s="448"/>
    </row>
    <row r="112" spans="1:42" ht="13">
      <c r="A112" s="462"/>
      <c r="B112" s="462"/>
      <c r="C112" t="str">
        <f ca="1">Filtered!I102</f>
        <v>Nature</v>
      </c>
      <c r="D112" t="str">
        <f ca="1">Filtered!J102</f>
        <v>Life Sciences &amp; Earth Sciences</v>
      </c>
      <c r="E112" t="str">
        <f ca="1">Filtered!AH102</f>
        <v>First submission only (before peer review)</v>
      </c>
      <c r="F112" t="b">
        <f t="shared" ca="1" si="9"/>
        <v>0</v>
      </c>
      <c r="G112" t="b">
        <f t="shared" ca="1" si="10"/>
        <v>0</v>
      </c>
      <c r="H112" t="b">
        <f t="shared" ca="1" si="11"/>
        <v>0</v>
      </c>
      <c r="I112" t="b">
        <f t="shared" ca="1" si="12"/>
        <v>0</v>
      </c>
      <c r="J112" t="b">
        <f t="shared" ca="1" si="13"/>
        <v>0</v>
      </c>
      <c r="K112" t="b">
        <f t="shared" ca="1" si="14"/>
        <v>1</v>
      </c>
      <c r="L112" t="b">
        <f t="shared" ca="1" si="15"/>
        <v>0</v>
      </c>
      <c r="M112" t="b">
        <f t="shared" ca="1" si="16"/>
        <v>0</v>
      </c>
      <c r="N112" s="448"/>
      <c r="O112" s="464"/>
      <c r="R112" s="448"/>
      <c r="S112" s="464"/>
      <c r="V112" s="448"/>
      <c r="W112" s="464"/>
      <c r="Z112" s="448"/>
      <c r="AA112" s="464"/>
      <c r="AD112" s="448"/>
      <c r="AE112" s="464"/>
      <c r="AH112" s="448"/>
      <c r="AI112" s="464"/>
      <c r="AL112" s="448"/>
      <c r="AP112" s="448"/>
    </row>
    <row r="113" spans="1:42" ht="13">
      <c r="A113" s="462"/>
      <c r="B113" s="462"/>
      <c r="C113" t="str">
        <f ca="1">Filtered!I103</f>
        <v>Nature Biotechnology</v>
      </c>
      <c r="D113" t="str">
        <f ca="1">Filtered!J103</f>
        <v>Life Sciences &amp; Earth Sciences</v>
      </c>
      <c r="E113" t="str">
        <f ca="1">Filtered!AH103</f>
        <v>First submission only (before peer review)</v>
      </c>
      <c r="F113" t="b">
        <f t="shared" ca="1" si="9"/>
        <v>0</v>
      </c>
      <c r="G113" t="b">
        <f t="shared" ca="1" si="10"/>
        <v>0</v>
      </c>
      <c r="H113" t="b">
        <f t="shared" ca="1" si="11"/>
        <v>0</v>
      </c>
      <c r="I113" t="b">
        <f t="shared" ca="1" si="12"/>
        <v>0</v>
      </c>
      <c r="J113" t="b">
        <f t="shared" ca="1" si="13"/>
        <v>0</v>
      </c>
      <c r="K113" t="b">
        <f t="shared" ca="1" si="14"/>
        <v>1</v>
      </c>
      <c r="L113" t="b">
        <f t="shared" ca="1" si="15"/>
        <v>0</v>
      </c>
      <c r="M113" t="b">
        <f t="shared" ca="1" si="16"/>
        <v>0</v>
      </c>
      <c r="N113" s="448"/>
      <c r="O113" s="464"/>
      <c r="R113" s="448"/>
      <c r="S113" s="464"/>
      <c r="V113" s="448"/>
      <c r="W113" s="464"/>
      <c r="Z113" s="448"/>
      <c r="AA113" s="464"/>
      <c r="AD113" s="448"/>
      <c r="AE113" s="464"/>
      <c r="AH113" s="448"/>
      <c r="AI113" s="464"/>
      <c r="AL113" s="448"/>
      <c r="AP113" s="448"/>
    </row>
    <row r="114" spans="1:42" ht="13">
      <c r="A114" s="462"/>
      <c r="B114" s="462"/>
      <c r="C114" t="str">
        <f ca="1">Filtered!I104</f>
        <v>Nature Cell Biology</v>
      </c>
      <c r="D114" t="str">
        <f ca="1">Filtered!J104</f>
        <v>Life Sciences &amp; Earth Sciences</v>
      </c>
      <c r="E114" t="str">
        <f ca="1">Filtered!AH104</f>
        <v>First submission only (before peer review)</v>
      </c>
      <c r="F114" t="b">
        <f t="shared" ca="1" si="9"/>
        <v>0</v>
      </c>
      <c r="G114" t="b">
        <f t="shared" ca="1" si="10"/>
        <v>0</v>
      </c>
      <c r="H114" t="b">
        <f t="shared" ca="1" si="11"/>
        <v>0</v>
      </c>
      <c r="I114" t="b">
        <f t="shared" ca="1" si="12"/>
        <v>0</v>
      </c>
      <c r="J114" t="b">
        <f t="shared" ca="1" si="13"/>
        <v>0</v>
      </c>
      <c r="K114" t="b">
        <f t="shared" ca="1" si="14"/>
        <v>1</v>
      </c>
      <c r="L114" t="b">
        <f t="shared" ca="1" si="15"/>
        <v>0</v>
      </c>
      <c r="M114" t="b">
        <f t="shared" ca="1" si="16"/>
        <v>0</v>
      </c>
      <c r="N114" s="448"/>
      <c r="O114" s="464"/>
      <c r="R114" s="448"/>
      <c r="S114" s="464"/>
      <c r="V114" s="448"/>
      <c r="W114" s="464"/>
      <c r="Z114" s="448"/>
      <c r="AA114" s="464"/>
      <c r="AD114" s="448"/>
      <c r="AE114" s="464"/>
      <c r="AH114" s="448"/>
      <c r="AI114" s="464"/>
      <c r="AL114" s="448"/>
      <c r="AP114" s="448"/>
    </row>
    <row r="115" spans="1:42" ht="13">
      <c r="A115" s="462"/>
      <c r="B115" s="462"/>
      <c r="C115" t="str">
        <f ca="1">Filtered!I105</f>
        <v>Nature Chemistry</v>
      </c>
      <c r="D115" t="str">
        <f ca="1">Filtered!J105</f>
        <v>Chemical &amp; Materials Sciences</v>
      </c>
      <c r="E115" t="str">
        <f ca="1">Filtered!AH105</f>
        <v>First submission only (before peer review)</v>
      </c>
      <c r="F115" t="b">
        <f t="shared" ca="1" si="9"/>
        <v>0</v>
      </c>
      <c r="G115" t="b">
        <f t="shared" ca="1" si="10"/>
        <v>1</v>
      </c>
      <c r="H115" t="b">
        <f t="shared" ca="1" si="11"/>
        <v>0</v>
      </c>
      <c r="I115" t="b">
        <f t="shared" ca="1" si="12"/>
        <v>0</v>
      </c>
      <c r="J115" t="b">
        <f t="shared" ca="1" si="13"/>
        <v>0</v>
      </c>
      <c r="K115" t="b">
        <f t="shared" ca="1" si="14"/>
        <v>0</v>
      </c>
      <c r="L115" t="b">
        <f t="shared" ca="1" si="15"/>
        <v>0</v>
      </c>
      <c r="M115" t="b">
        <f t="shared" ca="1" si="16"/>
        <v>0</v>
      </c>
      <c r="N115" s="448"/>
      <c r="O115" s="464"/>
      <c r="R115" s="448"/>
      <c r="S115" s="464"/>
      <c r="V115" s="448"/>
      <c r="W115" s="464"/>
      <c r="Z115" s="448"/>
      <c r="AA115" s="464"/>
      <c r="AD115" s="448"/>
      <c r="AE115" s="464"/>
      <c r="AH115" s="448"/>
      <c r="AI115" s="464"/>
      <c r="AL115" s="448"/>
      <c r="AP115" s="448"/>
    </row>
    <row r="116" spans="1:42" ht="13">
      <c r="A116" s="462"/>
      <c r="B116" s="462"/>
      <c r="C116" t="str">
        <f ca="1">Filtered!I106</f>
        <v>Nature Climate Change</v>
      </c>
      <c r="D116" t="str">
        <f ca="1">Filtered!J106</f>
        <v>Life Sciences &amp; Earth Sciences</v>
      </c>
      <c r="E116" t="str">
        <f ca="1">Filtered!AH106</f>
        <v>First submission only (before peer review)</v>
      </c>
      <c r="F116" t="b">
        <f t="shared" ca="1" si="9"/>
        <v>0</v>
      </c>
      <c r="G116" t="b">
        <f t="shared" ca="1" si="10"/>
        <v>0</v>
      </c>
      <c r="H116" t="b">
        <f t="shared" ca="1" si="11"/>
        <v>0</v>
      </c>
      <c r="I116" t="b">
        <f t="shared" ca="1" si="12"/>
        <v>0</v>
      </c>
      <c r="J116" t="b">
        <f t="shared" ca="1" si="13"/>
        <v>0</v>
      </c>
      <c r="K116" t="b">
        <f t="shared" ca="1" si="14"/>
        <v>1</v>
      </c>
      <c r="L116" t="b">
        <f t="shared" ca="1" si="15"/>
        <v>0</v>
      </c>
      <c r="M116" t="b">
        <f t="shared" ca="1" si="16"/>
        <v>0</v>
      </c>
      <c r="N116" s="448"/>
      <c r="O116" s="464"/>
      <c r="R116" s="448"/>
      <c r="S116" s="464"/>
      <c r="V116" s="448"/>
      <c r="W116" s="464"/>
      <c r="Z116" s="448"/>
      <c r="AA116" s="464"/>
      <c r="AD116" s="448"/>
      <c r="AE116" s="464"/>
      <c r="AH116" s="448"/>
      <c r="AI116" s="464"/>
      <c r="AL116" s="448"/>
      <c r="AP116" s="448"/>
    </row>
    <row r="117" spans="1:42" ht="13">
      <c r="A117" s="462"/>
      <c r="B117" s="462"/>
      <c r="C117" t="str">
        <f ca="1">Filtered!I107</f>
        <v>Nature Communications</v>
      </c>
      <c r="D117" t="str">
        <f ca="1">Filtered!J107</f>
        <v>Life Sciences &amp; Earth Sciences</v>
      </c>
      <c r="E117" t="str">
        <f ca="1">Filtered!AH107</f>
        <v>First submission only (before peer review)</v>
      </c>
      <c r="F117" t="b">
        <f t="shared" ca="1" si="9"/>
        <v>0</v>
      </c>
      <c r="G117" t="b">
        <f t="shared" ca="1" si="10"/>
        <v>0</v>
      </c>
      <c r="H117" t="b">
        <f t="shared" ca="1" si="11"/>
        <v>0</v>
      </c>
      <c r="I117" t="b">
        <f t="shared" ca="1" si="12"/>
        <v>0</v>
      </c>
      <c r="J117" t="b">
        <f t="shared" ca="1" si="13"/>
        <v>0</v>
      </c>
      <c r="K117" t="b">
        <f t="shared" ca="1" si="14"/>
        <v>1</v>
      </c>
      <c r="L117" t="b">
        <f t="shared" ca="1" si="15"/>
        <v>0</v>
      </c>
      <c r="M117" t="b">
        <f t="shared" ca="1" si="16"/>
        <v>0</v>
      </c>
      <c r="N117" s="448"/>
      <c r="O117" s="464"/>
      <c r="R117" s="448"/>
      <c r="S117" s="464"/>
      <c r="V117" s="448"/>
      <c r="W117" s="464"/>
      <c r="Z117" s="448"/>
      <c r="AA117" s="464"/>
      <c r="AD117" s="448"/>
      <c r="AE117" s="464"/>
      <c r="AH117" s="448"/>
      <c r="AI117" s="464"/>
      <c r="AL117" s="448"/>
      <c r="AP117" s="448"/>
    </row>
    <row r="118" spans="1:42" ht="13">
      <c r="A118" s="462"/>
      <c r="B118" s="462"/>
      <c r="C118" t="str">
        <f ca="1">Filtered!I108</f>
        <v>Nature Genetics</v>
      </c>
      <c r="D118" t="str">
        <f ca="1">Filtered!J108</f>
        <v>Health &amp; Medical Sciences,
Life Sciences &amp; Earth Sciences</v>
      </c>
      <c r="E118" t="str">
        <f ca="1">Filtered!AH108</f>
        <v>First submission only (before peer review)</v>
      </c>
      <c r="F118" t="b">
        <f t="shared" ca="1" si="9"/>
        <v>0</v>
      </c>
      <c r="G118" t="b">
        <f t="shared" ca="1" si="10"/>
        <v>0</v>
      </c>
      <c r="H118" t="b">
        <f t="shared" ca="1" si="11"/>
        <v>0</v>
      </c>
      <c r="I118" t="b">
        <f t="shared" ca="1" si="12"/>
        <v>1</v>
      </c>
      <c r="J118" t="b">
        <f t="shared" ca="1" si="13"/>
        <v>0</v>
      </c>
      <c r="K118" t="b">
        <f t="shared" ca="1" si="14"/>
        <v>1</v>
      </c>
      <c r="L118" t="b">
        <f t="shared" ca="1" si="15"/>
        <v>0</v>
      </c>
      <c r="M118" t="b">
        <f t="shared" ca="1" si="16"/>
        <v>0</v>
      </c>
      <c r="N118" s="448"/>
      <c r="O118" s="464"/>
      <c r="R118" s="448"/>
      <c r="S118" s="464"/>
      <c r="V118" s="448"/>
      <c r="W118" s="464"/>
      <c r="Z118" s="448"/>
      <c r="AA118" s="464"/>
      <c r="AD118" s="448"/>
      <c r="AE118" s="464"/>
      <c r="AH118" s="448"/>
      <c r="AI118" s="464"/>
      <c r="AL118" s="448"/>
      <c r="AP118" s="448"/>
    </row>
    <row r="119" spans="1:42" ht="13">
      <c r="A119" s="462"/>
      <c r="B119" s="462"/>
      <c r="C119" t="str">
        <f ca="1">Filtered!I109</f>
        <v>Nature Immunology</v>
      </c>
      <c r="D119" t="str">
        <f ca="1">Filtered!J109</f>
        <v/>
      </c>
      <c r="E119" t="str">
        <f ca="1">Filtered!AH109</f>
        <v>First submission only (before peer review)</v>
      </c>
      <c r="F119" t="b">
        <f t="shared" ca="1" si="9"/>
        <v>0</v>
      </c>
      <c r="G119" t="b">
        <f t="shared" ca="1" si="10"/>
        <v>0</v>
      </c>
      <c r="H119" t="b">
        <f t="shared" ca="1" si="11"/>
        <v>0</v>
      </c>
      <c r="I119" t="b">
        <f t="shared" ca="1" si="12"/>
        <v>0</v>
      </c>
      <c r="J119" t="b">
        <f t="shared" ca="1" si="13"/>
        <v>0</v>
      </c>
      <c r="K119" t="b">
        <f t="shared" ca="1" si="14"/>
        <v>0</v>
      </c>
      <c r="L119" t="b">
        <f t="shared" ca="1" si="15"/>
        <v>0</v>
      </c>
      <c r="M119" t="b">
        <f t="shared" ca="1" si="16"/>
        <v>0</v>
      </c>
      <c r="N119" s="448"/>
      <c r="O119" s="464"/>
      <c r="R119" s="448"/>
      <c r="S119" s="464"/>
      <c r="V119" s="448"/>
      <c r="W119" s="464"/>
      <c r="Z119" s="448"/>
      <c r="AA119" s="464"/>
      <c r="AD119" s="448"/>
      <c r="AE119" s="464"/>
      <c r="AH119" s="448"/>
      <c r="AI119" s="464"/>
      <c r="AL119" s="448"/>
      <c r="AP119" s="448"/>
    </row>
    <row r="120" spans="1:42" ht="13">
      <c r="A120" s="462"/>
      <c r="B120" s="462"/>
      <c r="C120" t="str">
        <f ca="1">Filtered!I110</f>
        <v>Nature Materials</v>
      </c>
      <c r="D120" t="str">
        <f ca="1">Filtered!J110</f>
        <v>Chemical &amp; Materials Sciences,
Engineering &amp; Computer Science</v>
      </c>
      <c r="E120" t="str">
        <f ca="1">Filtered!AH110</f>
        <v>First submission only (before peer review)</v>
      </c>
      <c r="F120" t="b">
        <f t="shared" ca="1" si="9"/>
        <v>0</v>
      </c>
      <c r="G120" t="b">
        <f t="shared" ca="1" si="10"/>
        <v>1</v>
      </c>
      <c r="H120" t="b">
        <f t="shared" ca="1" si="11"/>
        <v>1</v>
      </c>
      <c r="I120" t="b">
        <f t="shared" ca="1" si="12"/>
        <v>0</v>
      </c>
      <c r="J120" t="b">
        <f t="shared" ca="1" si="13"/>
        <v>0</v>
      </c>
      <c r="K120" t="b">
        <f t="shared" ca="1" si="14"/>
        <v>0</v>
      </c>
      <c r="L120" t="b">
        <f t="shared" ca="1" si="15"/>
        <v>0</v>
      </c>
      <c r="M120" t="b">
        <f t="shared" ca="1" si="16"/>
        <v>0</v>
      </c>
      <c r="N120" s="448"/>
      <c r="O120" s="464"/>
      <c r="R120" s="448"/>
      <c r="S120" s="464"/>
      <c r="V120" s="448"/>
      <c r="W120" s="464"/>
      <c r="Z120" s="448"/>
      <c r="AA120" s="464"/>
      <c r="AD120" s="448"/>
      <c r="AE120" s="464"/>
      <c r="AH120" s="448"/>
      <c r="AI120" s="464"/>
      <c r="AL120" s="448"/>
      <c r="AP120" s="448"/>
    </row>
    <row r="121" spans="1:42" ht="13">
      <c r="A121" s="462"/>
      <c r="B121" s="462"/>
      <c r="C121" t="str">
        <f ca="1">Filtered!I111</f>
        <v>Nature Medicine</v>
      </c>
      <c r="D121" t="str">
        <f ca="1">Filtered!J111</f>
        <v>Health &amp; Medical Sciences</v>
      </c>
      <c r="E121" t="str">
        <f ca="1">Filtered!AH111</f>
        <v>First submission only (before peer review)</v>
      </c>
      <c r="F121" t="b">
        <f t="shared" ca="1" si="9"/>
        <v>0</v>
      </c>
      <c r="G121" t="b">
        <f t="shared" ca="1" si="10"/>
        <v>0</v>
      </c>
      <c r="H121" t="b">
        <f t="shared" ca="1" si="11"/>
        <v>0</v>
      </c>
      <c r="I121" t="b">
        <f t="shared" ca="1" si="12"/>
        <v>1</v>
      </c>
      <c r="J121" t="b">
        <f t="shared" ca="1" si="13"/>
        <v>0</v>
      </c>
      <c r="K121" t="b">
        <f t="shared" ca="1" si="14"/>
        <v>0</v>
      </c>
      <c r="L121" t="b">
        <f t="shared" ca="1" si="15"/>
        <v>0</v>
      </c>
      <c r="M121" t="b">
        <f t="shared" ca="1" si="16"/>
        <v>0</v>
      </c>
      <c r="N121" s="448"/>
      <c r="O121" s="464"/>
      <c r="R121" s="448"/>
      <c r="S121" s="464"/>
      <c r="V121" s="448"/>
      <c r="W121" s="464"/>
      <c r="Z121" s="448"/>
      <c r="AA121" s="464"/>
      <c r="AD121" s="448"/>
      <c r="AE121" s="464"/>
      <c r="AH121" s="448"/>
      <c r="AI121" s="464"/>
      <c r="AL121" s="448"/>
      <c r="AP121" s="448"/>
    </row>
    <row r="122" spans="1:42" ht="13">
      <c r="A122" s="462"/>
      <c r="B122" s="462"/>
      <c r="C122" t="str">
        <f ca="1">Filtered!I112</f>
        <v>Nature Methods</v>
      </c>
      <c r="D122" t="str">
        <f ca="1">Filtered!J112</f>
        <v>Life Sciences &amp; Earth Sciences</v>
      </c>
      <c r="E122" t="str">
        <f ca="1">Filtered!AH112</f>
        <v>First submission only (before peer review)</v>
      </c>
      <c r="F122" t="b">
        <f t="shared" ca="1" si="9"/>
        <v>0</v>
      </c>
      <c r="G122" t="b">
        <f t="shared" ca="1" si="10"/>
        <v>0</v>
      </c>
      <c r="H122" t="b">
        <f t="shared" ca="1" si="11"/>
        <v>0</v>
      </c>
      <c r="I122" t="b">
        <f t="shared" ca="1" si="12"/>
        <v>0</v>
      </c>
      <c r="J122" t="b">
        <f t="shared" ca="1" si="13"/>
        <v>0</v>
      </c>
      <c r="K122" t="b">
        <f t="shared" ca="1" si="14"/>
        <v>1</v>
      </c>
      <c r="L122" t="b">
        <f t="shared" ca="1" si="15"/>
        <v>0</v>
      </c>
      <c r="M122" t="b">
        <f t="shared" ca="1" si="16"/>
        <v>0</v>
      </c>
      <c r="N122" s="448"/>
      <c r="O122" s="464"/>
      <c r="R122" s="448"/>
      <c r="S122" s="464"/>
      <c r="V122" s="448"/>
      <c r="W122" s="464"/>
      <c r="Z122" s="448"/>
      <c r="AA122" s="464"/>
      <c r="AD122" s="448"/>
      <c r="AE122" s="464"/>
      <c r="AH122" s="448"/>
      <c r="AI122" s="464"/>
      <c r="AL122" s="448"/>
      <c r="AP122" s="448"/>
    </row>
    <row r="123" spans="1:42" ht="13">
      <c r="A123" s="462"/>
      <c r="B123" s="462"/>
      <c r="C123" t="str">
        <f ca="1">Filtered!I113</f>
        <v>Nature Nanotechnology</v>
      </c>
      <c r="D123" t="str">
        <f ca="1">Filtered!J113</f>
        <v>Chemical &amp; Materials Sciences,
Engineering &amp; Computer Science</v>
      </c>
      <c r="E123" t="str">
        <f ca="1">Filtered!AH113</f>
        <v>First submission only (before peer review)</v>
      </c>
      <c r="F123" t="b">
        <f t="shared" ca="1" si="9"/>
        <v>0</v>
      </c>
      <c r="G123" t="b">
        <f t="shared" ca="1" si="10"/>
        <v>1</v>
      </c>
      <c r="H123" t="b">
        <f t="shared" ca="1" si="11"/>
        <v>1</v>
      </c>
      <c r="I123" t="b">
        <f t="shared" ca="1" si="12"/>
        <v>0</v>
      </c>
      <c r="J123" t="b">
        <f t="shared" ca="1" si="13"/>
        <v>0</v>
      </c>
      <c r="K123" t="b">
        <f t="shared" ca="1" si="14"/>
        <v>0</v>
      </c>
      <c r="L123" t="b">
        <f t="shared" ca="1" si="15"/>
        <v>0</v>
      </c>
      <c r="M123" t="b">
        <f t="shared" ca="1" si="16"/>
        <v>0</v>
      </c>
      <c r="N123" s="448"/>
      <c r="O123" s="464"/>
      <c r="R123" s="448"/>
      <c r="S123" s="464"/>
      <c r="V123" s="448"/>
      <c r="W123" s="464"/>
      <c r="Z123" s="448"/>
      <c r="AA123" s="464"/>
      <c r="AD123" s="448"/>
      <c r="AE123" s="464"/>
      <c r="AH123" s="448"/>
      <c r="AI123" s="464"/>
      <c r="AL123" s="448"/>
      <c r="AP123" s="448"/>
    </row>
    <row r="124" spans="1:42" ht="13">
      <c r="A124" s="462"/>
      <c r="B124" s="462"/>
      <c r="C124" t="str">
        <f ca="1">Filtered!I114</f>
        <v>Nature Neuroscience</v>
      </c>
      <c r="D124" t="str">
        <f ca="1">Filtered!J114</f>
        <v>Health &amp; Medical Sciences</v>
      </c>
      <c r="E124" t="str">
        <f ca="1">Filtered!AH114</f>
        <v>First submission only (before peer review)</v>
      </c>
      <c r="F124" t="b">
        <f t="shared" ca="1" si="9"/>
        <v>0</v>
      </c>
      <c r="G124" t="b">
        <f t="shared" ca="1" si="10"/>
        <v>0</v>
      </c>
      <c r="H124" t="b">
        <f t="shared" ca="1" si="11"/>
        <v>0</v>
      </c>
      <c r="I124" t="b">
        <f t="shared" ca="1" si="12"/>
        <v>1</v>
      </c>
      <c r="J124" t="b">
        <f t="shared" ca="1" si="13"/>
        <v>0</v>
      </c>
      <c r="K124" t="b">
        <f t="shared" ca="1" si="14"/>
        <v>0</v>
      </c>
      <c r="L124" t="b">
        <f t="shared" ca="1" si="15"/>
        <v>0</v>
      </c>
      <c r="M124" t="b">
        <f t="shared" ca="1" si="16"/>
        <v>0</v>
      </c>
      <c r="N124" s="448"/>
      <c r="O124" s="464"/>
      <c r="R124" s="448"/>
      <c r="S124" s="464"/>
      <c r="V124" s="448"/>
      <c r="W124" s="464"/>
      <c r="Z124" s="448"/>
      <c r="AA124" s="464"/>
      <c r="AD124" s="448"/>
      <c r="AE124" s="464"/>
      <c r="AH124" s="448"/>
      <c r="AI124" s="464"/>
      <c r="AL124" s="448"/>
      <c r="AP124" s="448"/>
    </row>
    <row r="125" spans="1:42" ht="13">
      <c r="A125" s="462"/>
      <c r="B125" s="462"/>
      <c r="C125" t="str">
        <f ca="1">Filtered!I115</f>
        <v>Nature Photonics</v>
      </c>
      <c r="D125" t="str">
        <f ca="1">Filtered!J115</f>
        <v>Engineering &amp; Computer Science,
Physics &amp; Mathematics</v>
      </c>
      <c r="E125" t="str">
        <f ca="1">Filtered!AH115</f>
        <v>First submission only (before peer review)</v>
      </c>
      <c r="F125" t="b">
        <f t="shared" ca="1" si="9"/>
        <v>0</v>
      </c>
      <c r="G125" t="b">
        <f t="shared" ca="1" si="10"/>
        <v>0</v>
      </c>
      <c r="H125" t="b">
        <f t="shared" ca="1" si="11"/>
        <v>1</v>
      </c>
      <c r="I125" t="b">
        <f t="shared" ca="1" si="12"/>
        <v>0</v>
      </c>
      <c r="J125" t="b">
        <f t="shared" ca="1" si="13"/>
        <v>0</v>
      </c>
      <c r="K125" t="b">
        <f t="shared" ca="1" si="14"/>
        <v>0</v>
      </c>
      <c r="L125" t="b">
        <f t="shared" ca="1" si="15"/>
        <v>1</v>
      </c>
      <c r="M125" t="b">
        <f t="shared" ca="1" si="16"/>
        <v>0</v>
      </c>
      <c r="N125" s="448"/>
      <c r="O125" s="464"/>
      <c r="R125" s="448"/>
      <c r="S125" s="464"/>
      <c r="V125" s="448"/>
      <c r="W125" s="464"/>
      <c r="Z125" s="448"/>
      <c r="AA125" s="464"/>
      <c r="AD125" s="448"/>
      <c r="AE125" s="464"/>
      <c r="AH125" s="448"/>
      <c r="AI125" s="464"/>
      <c r="AL125" s="448"/>
      <c r="AP125" s="448"/>
    </row>
    <row r="126" spans="1:42" ht="13">
      <c r="A126" s="462"/>
      <c r="B126" s="462"/>
      <c r="C126" t="str">
        <f ca="1">Filtered!I116</f>
        <v>Nature Physics</v>
      </c>
      <c r="D126" t="str">
        <f ca="1">Filtered!J116</f>
        <v>Physics &amp; Mathematics</v>
      </c>
      <c r="E126" t="str">
        <f ca="1">Filtered!AH116</f>
        <v>First submission only (before peer review)</v>
      </c>
      <c r="F126" t="b">
        <f t="shared" ca="1" si="9"/>
        <v>0</v>
      </c>
      <c r="G126" t="b">
        <f t="shared" ca="1" si="10"/>
        <v>0</v>
      </c>
      <c r="H126" t="b">
        <f t="shared" ca="1" si="11"/>
        <v>0</v>
      </c>
      <c r="I126" t="b">
        <f t="shared" ca="1" si="12"/>
        <v>0</v>
      </c>
      <c r="J126" t="b">
        <f t="shared" ca="1" si="13"/>
        <v>0</v>
      </c>
      <c r="K126" t="b">
        <f t="shared" ca="1" si="14"/>
        <v>0</v>
      </c>
      <c r="L126" t="b">
        <f t="shared" ca="1" si="15"/>
        <v>1</v>
      </c>
      <c r="M126" t="b">
        <f t="shared" ca="1" si="16"/>
        <v>0</v>
      </c>
      <c r="N126" s="448"/>
      <c r="O126" s="464"/>
      <c r="R126" s="448"/>
      <c r="S126" s="464"/>
      <c r="V126" s="448"/>
      <c r="W126" s="464"/>
      <c r="Z126" s="448"/>
      <c r="AA126" s="464"/>
      <c r="AD126" s="448"/>
      <c r="AE126" s="464"/>
      <c r="AH126" s="448"/>
      <c r="AI126" s="464"/>
      <c r="AL126" s="448"/>
      <c r="AP126" s="448"/>
    </row>
    <row r="127" spans="1:42" ht="13">
      <c r="A127" s="462"/>
      <c r="B127" s="462"/>
      <c r="C127" t="str">
        <f ca="1">Filtered!I117</f>
        <v>Nature Reviews Cancer</v>
      </c>
      <c r="D127" t="str">
        <f ca="1">Filtered!J117</f>
        <v/>
      </c>
      <c r="E127" t="str">
        <f ca="1">Filtered!AH117</f>
        <v>No preprint policy</v>
      </c>
      <c r="F127" t="b">
        <f t="shared" ca="1" si="9"/>
        <v>0</v>
      </c>
      <c r="G127" t="b">
        <f t="shared" ca="1" si="10"/>
        <v>0</v>
      </c>
      <c r="H127" t="b">
        <f t="shared" ca="1" si="11"/>
        <v>0</v>
      </c>
      <c r="I127" t="b">
        <f t="shared" ca="1" si="12"/>
        <v>0</v>
      </c>
      <c r="J127" t="b">
        <f t="shared" ca="1" si="13"/>
        <v>0</v>
      </c>
      <c r="K127" t="b">
        <f t="shared" ca="1" si="14"/>
        <v>0</v>
      </c>
      <c r="L127" t="b">
        <f t="shared" ca="1" si="15"/>
        <v>0</v>
      </c>
      <c r="M127" t="b">
        <f t="shared" ca="1" si="16"/>
        <v>0</v>
      </c>
      <c r="N127" s="448"/>
      <c r="O127" s="464"/>
      <c r="R127" s="448"/>
      <c r="S127" s="464"/>
      <c r="V127" s="448"/>
      <c r="W127" s="464"/>
      <c r="Z127" s="448"/>
      <c r="AA127" s="464"/>
      <c r="AD127" s="448"/>
      <c r="AE127" s="464"/>
      <c r="AH127" s="448"/>
      <c r="AI127" s="464"/>
      <c r="AL127" s="448"/>
      <c r="AP127" s="448"/>
    </row>
    <row r="128" spans="1:42" ht="13">
      <c r="A128" s="462"/>
      <c r="B128" s="462"/>
      <c r="C128" t="str">
        <f ca="1">Filtered!I118</f>
        <v>Nature Reviews Genetics</v>
      </c>
      <c r="D128" t="str">
        <f ca="1">Filtered!J118</f>
        <v>Life Sciences &amp; Earth Sciences</v>
      </c>
      <c r="E128" t="str">
        <f ca="1">Filtered!AH118</f>
        <v>No preprint policy</v>
      </c>
      <c r="F128" t="b">
        <f t="shared" ca="1" si="9"/>
        <v>0</v>
      </c>
      <c r="G128" t="b">
        <f t="shared" ca="1" si="10"/>
        <v>0</v>
      </c>
      <c r="H128" t="b">
        <f t="shared" ca="1" si="11"/>
        <v>0</v>
      </c>
      <c r="I128" t="b">
        <f t="shared" ca="1" si="12"/>
        <v>0</v>
      </c>
      <c r="J128" t="b">
        <f t="shared" ca="1" si="13"/>
        <v>0</v>
      </c>
      <c r="K128" t="b">
        <f t="shared" ca="1" si="14"/>
        <v>1</v>
      </c>
      <c r="L128" t="b">
        <f t="shared" ca="1" si="15"/>
        <v>0</v>
      </c>
      <c r="M128" t="b">
        <f t="shared" ca="1" si="16"/>
        <v>0</v>
      </c>
      <c r="N128" s="448"/>
      <c r="O128" s="464"/>
      <c r="R128" s="448"/>
      <c r="S128" s="464"/>
      <c r="V128" s="448"/>
      <c r="W128" s="464"/>
      <c r="Z128" s="448"/>
      <c r="AA128" s="464"/>
      <c r="AD128" s="448"/>
      <c r="AE128" s="464"/>
      <c r="AH128" s="448"/>
      <c r="AI128" s="464"/>
      <c r="AL128" s="448"/>
      <c r="AP128" s="448"/>
    </row>
    <row r="129" spans="1:42" ht="13">
      <c r="A129" s="462"/>
      <c r="B129" s="462"/>
      <c r="C129" t="str">
        <f ca="1">Filtered!I119</f>
        <v>Nature Reviews Immunology</v>
      </c>
      <c r="D129" t="str">
        <f ca="1">Filtered!J119</f>
        <v/>
      </c>
      <c r="E129" t="str">
        <f ca="1">Filtered!AH119</f>
        <v>No preprint policy</v>
      </c>
      <c r="F129" t="b">
        <f t="shared" ca="1" si="9"/>
        <v>0</v>
      </c>
      <c r="G129" t="b">
        <f t="shared" ca="1" si="10"/>
        <v>0</v>
      </c>
      <c r="H129" t="b">
        <f t="shared" ca="1" si="11"/>
        <v>0</v>
      </c>
      <c r="I129" t="b">
        <f t="shared" ca="1" si="12"/>
        <v>0</v>
      </c>
      <c r="J129" t="b">
        <f t="shared" ca="1" si="13"/>
        <v>0</v>
      </c>
      <c r="K129" t="b">
        <f t="shared" ca="1" si="14"/>
        <v>0</v>
      </c>
      <c r="L129" t="b">
        <f t="shared" ca="1" si="15"/>
        <v>0</v>
      </c>
      <c r="M129" t="b">
        <f t="shared" ca="1" si="16"/>
        <v>0</v>
      </c>
      <c r="N129" s="448"/>
      <c r="O129" s="464"/>
      <c r="R129" s="448"/>
      <c r="S129" s="464"/>
      <c r="V129" s="448"/>
      <c r="W129" s="464"/>
      <c r="Z129" s="448"/>
      <c r="AA129" s="464"/>
      <c r="AD129" s="448"/>
      <c r="AE129" s="464"/>
      <c r="AH129" s="448"/>
      <c r="AI129" s="464"/>
      <c r="AL129" s="448"/>
      <c r="AP129" s="448"/>
    </row>
    <row r="130" spans="1:42" ht="13">
      <c r="A130" s="462"/>
      <c r="B130" s="462"/>
      <c r="C130" t="str">
        <f ca="1">Filtered!I120</f>
        <v>Nature Reviews Neuroscience</v>
      </c>
      <c r="D130" t="str">
        <f ca="1">Filtered!J120</f>
        <v/>
      </c>
      <c r="E130" t="str">
        <f ca="1">Filtered!AH120</f>
        <v>No preprint policy</v>
      </c>
      <c r="F130" t="b">
        <f t="shared" ca="1" si="9"/>
        <v>0</v>
      </c>
      <c r="G130" t="b">
        <f t="shared" ca="1" si="10"/>
        <v>0</v>
      </c>
      <c r="H130" t="b">
        <f t="shared" ca="1" si="11"/>
        <v>0</v>
      </c>
      <c r="I130" t="b">
        <f t="shared" ca="1" si="12"/>
        <v>0</v>
      </c>
      <c r="J130" t="b">
        <f t="shared" ca="1" si="13"/>
        <v>0</v>
      </c>
      <c r="K130" t="b">
        <f t="shared" ca="1" si="14"/>
        <v>0</v>
      </c>
      <c r="L130" t="b">
        <f t="shared" ca="1" si="15"/>
        <v>0</v>
      </c>
      <c r="M130" t="b">
        <f t="shared" ca="1" si="16"/>
        <v>0</v>
      </c>
      <c r="N130" s="448"/>
      <c r="O130" s="464"/>
      <c r="R130" s="448"/>
      <c r="S130" s="464"/>
      <c r="V130" s="448"/>
      <c r="W130" s="464"/>
      <c r="Z130" s="448"/>
      <c r="AA130" s="464"/>
      <c r="AD130" s="448"/>
      <c r="AE130" s="464"/>
      <c r="AH130" s="448"/>
      <c r="AI130" s="464"/>
      <c r="AL130" s="448"/>
      <c r="AP130" s="448"/>
    </row>
    <row r="131" spans="1:42" ht="13">
      <c r="A131" s="462"/>
      <c r="B131" s="462"/>
      <c r="C131" t="str">
        <f ca="1">Filtered!I121</f>
        <v>Nature Reviews. Drug Discovery</v>
      </c>
      <c r="D131" t="str">
        <f ca="1">Filtered!J121</f>
        <v/>
      </c>
      <c r="E131" t="str">
        <f ca="1">Filtered!AH121</f>
        <v>No preprint policy</v>
      </c>
      <c r="F131" t="b">
        <f t="shared" ca="1" si="9"/>
        <v>0</v>
      </c>
      <c r="G131" t="b">
        <f t="shared" ca="1" si="10"/>
        <v>0</v>
      </c>
      <c r="H131" t="b">
        <f t="shared" ca="1" si="11"/>
        <v>0</v>
      </c>
      <c r="I131" t="b">
        <f t="shared" ca="1" si="12"/>
        <v>0</v>
      </c>
      <c r="J131" t="b">
        <f t="shared" ca="1" si="13"/>
        <v>0</v>
      </c>
      <c r="K131" t="b">
        <f t="shared" ca="1" si="14"/>
        <v>0</v>
      </c>
      <c r="L131" t="b">
        <f t="shared" ca="1" si="15"/>
        <v>0</v>
      </c>
      <c r="M131" t="b">
        <f t="shared" ca="1" si="16"/>
        <v>0</v>
      </c>
      <c r="N131" s="448"/>
      <c r="O131" s="464"/>
      <c r="R131" s="448"/>
      <c r="S131" s="464"/>
      <c r="V131" s="448"/>
      <c r="W131" s="464"/>
      <c r="Z131" s="448"/>
      <c r="AA131" s="464"/>
      <c r="AD131" s="448"/>
      <c r="AE131" s="464"/>
      <c r="AH131" s="448"/>
      <c r="AI131" s="464"/>
      <c r="AL131" s="448"/>
      <c r="AP131" s="448"/>
    </row>
    <row r="132" spans="1:42" ht="13">
      <c r="A132" s="462"/>
      <c r="B132" s="462"/>
      <c r="C132" t="str">
        <f ca="1">Filtered!I122</f>
        <v>Nature Reviews. Molecular Cell Biology</v>
      </c>
      <c r="D132" t="str">
        <f ca="1">Filtered!J122</f>
        <v>Life Sciences &amp; Earth Sciences</v>
      </c>
      <c r="E132" t="str">
        <f ca="1">Filtered!AH122</f>
        <v>No preprint policy</v>
      </c>
      <c r="F132" t="b">
        <f t="shared" ca="1" si="9"/>
        <v>0</v>
      </c>
      <c r="G132" t="b">
        <f t="shared" ca="1" si="10"/>
        <v>0</v>
      </c>
      <c r="H132" t="b">
        <f t="shared" ca="1" si="11"/>
        <v>0</v>
      </c>
      <c r="I132" t="b">
        <f t="shared" ca="1" si="12"/>
        <v>0</v>
      </c>
      <c r="J132" t="b">
        <f t="shared" ca="1" si="13"/>
        <v>0</v>
      </c>
      <c r="K132" t="b">
        <f t="shared" ca="1" si="14"/>
        <v>1</v>
      </c>
      <c r="L132" t="b">
        <f t="shared" ca="1" si="15"/>
        <v>0</v>
      </c>
      <c r="M132" t="b">
        <f t="shared" ca="1" si="16"/>
        <v>0</v>
      </c>
      <c r="N132" s="448"/>
      <c r="O132" s="464"/>
      <c r="R132" s="448"/>
      <c r="S132" s="464"/>
      <c r="V132" s="448"/>
      <c r="W132" s="464"/>
      <c r="Z132" s="448"/>
      <c r="AA132" s="464"/>
      <c r="AD132" s="448"/>
      <c r="AE132" s="464"/>
      <c r="AH132" s="448"/>
      <c r="AI132" s="464"/>
      <c r="AL132" s="448"/>
      <c r="AP132" s="448"/>
    </row>
    <row r="133" spans="1:42" ht="13">
      <c r="A133" s="462"/>
      <c r="B133" s="462"/>
      <c r="C133" t="str">
        <f ca="1">Filtered!I123</f>
        <v>Neural Information Processing Systems (NIPS)</v>
      </c>
      <c r="D133" t="str">
        <f ca="1">Filtered!J123</f>
        <v>Engineering &amp; Computer Science</v>
      </c>
      <c r="E133" t="str">
        <f ca="1">Filtered!AH123</f>
        <v>Unclear</v>
      </c>
      <c r="F133" t="b">
        <f t="shared" ca="1" si="9"/>
        <v>0</v>
      </c>
      <c r="G133" t="b">
        <f t="shared" ca="1" si="10"/>
        <v>0</v>
      </c>
      <c r="H133" t="b">
        <f t="shared" ca="1" si="11"/>
        <v>1</v>
      </c>
      <c r="I133" t="b">
        <f t="shared" ca="1" si="12"/>
        <v>0</v>
      </c>
      <c r="J133" t="b">
        <f t="shared" ca="1" si="13"/>
        <v>0</v>
      </c>
      <c r="K133" t="b">
        <f t="shared" ca="1" si="14"/>
        <v>0</v>
      </c>
      <c r="L133" t="b">
        <f t="shared" ca="1" si="15"/>
        <v>0</v>
      </c>
      <c r="M133" t="b">
        <f t="shared" ca="1" si="16"/>
        <v>0</v>
      </c>
      <c r="N133" s="448"/>
      <c r="O133" s="464"/>
      <c r="R133" s="448"/>
      <c r="S133" s="464"/>
      <c r="V133" s="448"/>
      <c r="W133" s="464"/>
      <c r="Z133" s="448"/>
      <c r="AA133" s="464"/>
      <c r="AD133" s="448"/>
      <c r="AE133" s="464"/>
      <c r="AH133" s="448"/>
      <c r="AI133" s="464"/>
      <c r="AL133" s="448"/>
      <c r="AP133" s="448"/>
    </row>
    <row r="134" spans="1:42" ht="13">
      <c r="A134" s="462"/>
      <c r="B134" s="462"/>
      <c r="C134" t="str">
        <f ca="1">Filtered!I124</f>
        <v>NeuroImage</v>
      </c>
      <c r="D134" t="str">
        <f ca="1">Filtered!J124</f>
        <v/>
      </c>
      <c r="E134" t="str">
        <f ca="1">Filtered!AH124</f>
        <v>Unsure</v>
      </c>
      <c r="F134" t="b">
        <f t="shared" ca="1" si="9"/>
        <v>0</v>
      </c>
      <c r="G134" t="b">
        <f t="shared" ca="1" si="10"/>
        <v>0</v>
      </c>
      <c r="H134" t="b">
        <f t="shared" ca="1" si="11"/>
        <v>0</v>
      </c>
      <c r="I134" t="b">
        <f t="shared" ca="1" si="12"/>
        <v>0</v>
      </c>
      <c r="J134" t="b">
        <f t="shared" ca="1" si="13"/>
        <v>0</v>
      </c>
      <c r="K134" t="b">
        <f t="shared" ca="1" si="14"/>
        <v>0</v>
      </c>
      <c r="L134" t="b">
        <f t="shared" ca="1" si="15"/>
        <v>0</v>
      </c>
      <c r="M134" t="b">
        <f t="shared" ca="1" si="16"/>
        <v>0</v>
      </c>
      <c r="N134" s="448"/>
      <c r="O134" s="464"/>
      <c r="R134" s="448"/>
      <c r="S134" s="464"/>
      <c r="V134" s="448"/>
      <c r="W134" s="464"/>
      <c r="Z134" s="448"/>
      <c r="AA134" s="464"/>
      <c r="AD134" s="448"/>
      <c r="AE134" s="464"/>
      <c r="AH134" s="448"/>
      <c r="AI134" s="464"/>
      <c r="AL134" s="448"/>
      <c r="AP134" s="448"/>
    </row>
    <row r="135" spans="1:42" ht="13">
      <c r="A135" s="462"/>
      <c r="B135" s="462"/>
      <c r="C135" t="str">
        <f ca="1">Filtered!I125</f>
        <v>Neuron</v>
      </c>
      <c r="D135" t="str">
        <f ca="1">Filtered!J125</f>
        <v>Health &amp; Medical Sciences,
Life Sciences &amp; Earth Sciences</v>
      </c>
      <c r="E135" t="str">
        <f ca="1">Filtered!AH125</f>
        <v>First submission only (before peer review)</v>
      </c>
      <c r="F135" t="b">
        <f t="shared" ca="1" si="9"/>
        <v>0</v>
      </c>
      <c r="G135" t="b">
        <f t="shared" ca="1" si="10"/>
        <v>0</v>
      </c>
      <c r="H135" t="b">
        <f t="shared" ca="1" si="11"/>
        <v>0</v>
      </c>
      <c r="I135" t="b">
        <f t="shared" ca="1" si="12"/>
        <v>1</v>
      </c>
      <c r="J135" t="b">
        <f t="shared" ca="1" si="13"/>
        <v>0</v>
      </c>
      <c r="K135" t="b">
        <f t="shared" ca="1" si="14"/>
        <v>1</v>
      </c>
      <c r="L135" t="b">
        <f t="shared" ca="1" si="15"/>
        <v>0</v>
      </c>
      <c r="M135" t="b">
        <f t="shared" ca="1" si="16"/>
        <v>0</v>
      </c>
      <c r="N135" s="448"/>
      <c r="O135" s="464"/>
      <c r="R135" s="448"/>
      <c r="S135" s="464"/>
      <c r="V135" s="448"/>
      <c r="W135" s="464"/>
      <c r="Z135" s="448"/>
      <c r="AA135" s="464"/>
      <c r="AD135" s="448"/>
      <c r="AE135" s="464"/>
      <c r="AH135" s="448"/>
      <c r="AI135" s="464"/>
      <c r="AL135" s="448"/>
      <c r="AP135" s="448"/>
    </row>
    <row r="136" spans="1:42" ht="13">
      <c r="A136" s="462"/>
      <c r="B136" s="462"/>
      <c r="C136" t="str">
        <f ca="1">Filtered!I126</f>
        <v>New Media and Society</v>
      </c>
      <c r="D136" t="str">
        <f ca="1">Filtered!J126</f>
        <v>Social Sciences</v>
      </c>
      <c r="E136" t="str">
        <f ca="1">Filtered!AH126</f>
        <v>Other: No preprint policy is stated, but links to the general Sage guidelines - ""If material has been previously published it is not generally acceptable for publication in a SAGE journal. However, there are certain circumstances where previously published material can be considered for publication. Please refer to the guidance on the SAGE Author Gateway ... Following are examples of prior distribution that may be acceptable: Working papers or versions of the paper posted on a preprint server or a scholarly collaboration network (SCN) SAGE supports the early dissemination of research through preprints (the pre-peer review version of the paper, also referenced as a “working paper”), including through SAGE’s own preprint platform, Advance, and other preprint platforms and SCNs, such as bioRxiV, preprints.org, ResearchGate and Academia.edu. Working papers are generally eligible for publication in a SAGE journal, subject to the policy in place for each journal."" - so it may be that preprints are allowed, but by no means certain for this journal</v>
      </c>
      <c r="F136" t="b">
        <f t="shared" ca="1" si="9"/>
        <v>0</v>
      </c>
      <c r="G136" t="b">
        <f t="shared" ca="1" si="10"/>
        <v>0</v>
      </c>
      <c r="H136" t="b">
        <f t="shared" ca="1" si="11"/>
        <v>0</v>
      </c>
      <c r="I136" t="b">
        <f t="shared" ca="1" si="12"/>
        <v>0</v>
      </c>
      <c r="J136" t="b">
        <f t="shared" ca="1" si="13"/>
        <v>0</v>
      </c>
      <c r="K136" t="b">
        <f t="shared" ca="1" si="14"/>
        <v>0</v>
      </c>
      <c r="L136" t="b">
        <f t="shared" ca="1" si="15"/>
        <v>0</v>
      </c>
      <c r="M136" t="b">
        <f t="shared" ca="1" si="16"/>
        <v>1</v>
      </c>
      <c r="N136" s="448"/>
      <c r="O136" s="464"/>
      <c r="R136" s="448"/>
      <c r="S136" s="464"/>
      <c r="V136" s="448"/>
      <c r="W136" s="464"/>
      <c r="Z136" s="448"/>
      <c r="AA136" s="464"/>
      <c r="AD136" s="448"/>
      <c r="AE136" s="464"/>
      <c r="AH136" s="448"/>
      <c r="AI136" s="464"/>
      <c r="AL136" s="448"/>
      <c r="AP136" s="448"/>
    </row>
    <row r="137" spans="1:42" ht="13">
      <c r="A137" s="462"/>
      <c r="B137" s="462"/>
      <c r="C137" t="str">
        <f ca="1">Filtered!I127</f>
        <v>Noûs</v>
      </c>
      <c r="D137" t="str">
        <f ca="1">Filtered!J127</f>
        <v>Social Sciences, Humanities, Literature &amp; Arts</v>
      </c>
      <c r="E137" t="str">
        <f ca="1">Filtered!AH127</f>
        <v>First submission only (before peer review)</v>
      </c>
      <c r="F137" t="b">
        <f t="shared" ca="1" si="9"/>
        <v>0</v>
      </c>
      <c r="G137" t="b">
        <f t="shared" ca="1" si="10"/>
        <v>0</v>
      </c>
      <c r="H137" t="b">
        <f t="shared" ca="1" si="11"/>
        <v>0</v>
      </c>
      <c r="I137" t="b">
        <f t="shared" ca="1" si="12"/>
        <v>0</v>
      </c>
      <c r="J137" t="b">
        <f t="shared" ca="1" si="13"/>
        <v>1</v>
      </c>
      <c r="K137" t="b">
        <f t="shared" ca="1" si="14"/>
        <v>0</v>
      </c>
      <c r="L137" t="b">
        <f t="shared" ca="1" si="15"/>
        <v>0</v>
      </c>
      <c r="M137" t="b">
        <f t="shared" ca="1" si="16"/>
        <v>1</v>
      </c>
      <c r="N137" s="448"/>
      <c r="O137" s="464"/>
      <c r="R137" s="448"/>
      <c r="S137" s="464"/>
      <c r="V137" s="448"/>
      <c r="W137" s="464"/>
      <c r="Z137" s="448"/>
      <c r="AA137" s="464"/>
      <c r="AD137" s="448"/>
      <c r="AE137" s="464"/>
      <c r="AH137" s="448"/>
      <c r="AI137" s="464"/>
      <c r="AL137" s="448"/>
      <c r="AP137" s="448"/>
    </row>
    <row r="138" spans="1:42" ht="13">
      <c r="A138" s="462"/>
      <c r="B138" s="462"/>
      <c r="C138" t="str">
        <f ca="1">Filtered!I128</f>
        <v>Nucleic Acids Research</v>
      </c>
      <c r="D138" t="str">
        <f ca="1">Filtered!J128</f>
        <v>Life Sciences &amp; Earth Sciences</v>
      </c>
      <c r="E138" t="str">
        <f ca="1">Filtered!AH128</f>
        <v>First submission only (before peer review)</v>
      </c>
      <c r="F138" t="b">
        <f t="shared" ca="1" si="9"/>
        <v>0</v>
      </c>
      <c r="G138" t="b">
        <f t="shared" ca="1" si="10"/>
        <v>0</v>
      </c>
      <c r="H138" t="b">
        <f t="shared" ca="1" si="11"/>
        <v>0</v>
      </c>
      <c r="I138" t="b">
        <f t="shared" ca="1" si="12"/>
        <v>0</v>
      </c>
      <c r="J138" t="b">
        <f t="shared" ca="1" si="13"/>
        <v>0</v>
      </c>
      <c r="K138" t="b">
        <f t="shared" ca="1" si="14"/>
        <v>1</v>
      </c>
      <c r="L138" t="b">
        <f t="shared" ca="1" si="15"/>
        <v>0</v>
      </c>
      <c r="M138" t="b">
        <f t="shared" ca="1" si="16"/>
        <v>0</v>
      </c>
      <c r="N138" s="448"/>
      <c r="O138" s="464"/>
      <c r="R138" s="448"/>
      <c r="S138" s="464"/>
      <c r="V138" s="448"/>
      <c r="W138" s="464"/>
      <c r="Z138" s="448"/>
      <c r="AA138" s="464"/>
      <c r="AD138" s="448"/>
      <c r="AE138" s="464"/>
      <c r="AH138" s="448"/>
      <c r="AI138" s="464"/>
      <c r="AL138" s="448"/>
      <c r="AP138" s="448"/>
    </row>
    <row r="139" spans="1:42" ht="13">
      <c r="A139" s="462"/>
      <c r="B139" s="462"/>
      <c r="C139" t="str">
        <f ca="1">Filtered!I129</f>
        <v>Obstetrical &amp; Gynecological Survey</v>
      </c>
      <c r="D139" t="str">
        <f ca="1">Filtered!J129</f>
        <v/>
      </c>
      <c r="E139" t="str">
        <f ca="1">Filtered!AH129</f>
        <v>No preprint policy</v>
      </c>
      <c r="F139" t="b">
        <f t="shared" ca="1" si="9"/>
        <v>0</v>
      </c>
      <c r="G139" t="b">
        <f t="shared" ca="1" si="10"/>
        <v>0</v>
      </c>
      <c r="H139" t="b">
        <f t="shared" ca="1" si="11"/>
        <v>0</v>
      </c>
      <c r="I139" t="b">
        <f t="shared" ca="1" si="12"/>
        <v>0</v>
      </c>
      <c r="J139" t="b">
        <f t="shared" ca="1" si="13"/>
        <v>0</v>
      </c>
      <c r="K139" t="b">
        <f t="shared" ca="1" si="14"/>
        <v>0</v>
      </c>
      <c r="L139" t="b">
        <f t="shared" ca="1" si="15"/>
        <v>0</v>
      </c>
      <c r="M139" t="b">
        <f t="shared" ca="1" si="16"/>
        <v>0</v>
      </c>
      <c r="N139" s="448"/>
      <c r="O139" s="464"/>
      <c r="R139" s="448"/>
      <c r="S139" s="464"/>
      <c r="V139" s="448"/>
      <c r="W139" s="464"/>
      <c r="Z139" s="448"/>
      <c r="AA139" s="464"/>
      <c r="AD139" s="448"/>
      <c r="AE139" s="464"/>
      <c r="AH139" s="448"/>
      <c r="AI139" s="464"/>
      <c r="AL139" s="448"/>
      <c r="AP139" s="448"/>
    </row>
    <row r="140" spans="1:42" ht="13">
      <c r="A140" s="462"/>
      <c r="B140" s="462"/>
      <c r="C140" t="str">
        <f ca="1">Filtered!I130</f>
        <v>Optics Express</v>
      </c>
      <c r="D140" t="str">
        <f ca="1">Filtered!J130</f>
        <v>Physics &amp; Mathematics</v>
      </c>
      <c r="E140" t="str">
        <f ca="1">Filtered!AH130</f>
        <v>No preprint policy</v>
      </c>
      <c r="F140" t="b">
        <f t="shared" ca="1" si="9"/>
        <v>0</v>
      </c>
      <c r="G140" t="b">
        <f t="shared" ca="1" si="10"/>
        <v>0</v>
      </c>
      <c r="H140" t="b">
        <f t="shared" ca="1" si="11"/>
        <v>0</v>
      </c>
      <c r="I140" t="b">
        <f t="shared" ca="1" si="12"/>
        <v>0</v>
      </c>
      <c r="J140" t="b">
        <f t="shared" ca="1" si="13"/>
        <v>0</v>
      </c>
      <c r="K140" t="b">
        <f t="shared" ca="1" si="14"/>
        <v>0</v>
      </c>
      <c r="L140" t="b">
        <f t="shared" ca="1" si="15"/>
        <v>1</v>
      </c>
      <c r="M140" t="b">
        <f t="shared" ca="1" si="16"/>
        <v>0</v>
      </c>
      <c r="N140" s="448"/>
      <c r="O140" s="464"/>
      <c r="R140" s="448"/>
      <c r="S140" s="464"/>
      <c r="V140" s="448"/>
      <c r="W140" s="464"/>
      <c r="Z140" s="448"/>
      <c r="AA140" s="464"/>
      <c r="AD140" s="448"/>
      <c r="AE140" s="464"/>
      <c r="AH140" s="448"/>
      <c r="AI140" s="464"/>
      <c r="AL140" s="448"/>
      <c r="AP140" s="448"/>
    </row>
    <row r="141" spans="1:42" ht="13">
      <c r="A141" s="462"/>
      <c r="B141" s="462"/>
      <c r="C141" t="str">
        <f ca="1">Filtered!I131</f>
        <v>Pediatrics</v>
      </c>
      <c r="D141" t="str">
        <f ca="1">Filtered!J131</f>
        <v/>
      </c>
      <c r="E141" t="str">
        <f ca="1">Filtered!AH131</f>
        <v>No preprint policy</v>
      </c>
      <c r="F141" t="b">
        <f t="shared" ca="1" si="9"/>
        <v>0</v>
      </c>
      <c r="G141" t="b">
        <f t="shared" ca="1" si="10"/>
        <v>0</v>
      </c>
      <c r="H141" t="b">
        <f t="shared" ca="1" si="11"/>
        <v>0</v>
      </c>
      <c r="I141" t="b">
        <f t="shared" ca="1" si="12"/>
        <v>0</v>
      </c>
      <c r="J141" t="b">
        <f t="shared" ca="1" si="13"/>
        <v>0</v>
      </c>
      <c r="K141" t="b">
        <f t="shared" ca="1" si="14"/>
        <v>0</v>
      </c>
      <c r="L141" t="b">
        <f t="shared" ca="1" si="15"/>
        <v>0</v>
      </c>
      <c r="M141" t="b">
        <f t="shared" ca="1" si="16"/>
        <v>0</v>
      </c>
      <c r="N141" s="448"/>
      <c r="O141" s="464"/>
      <c r="R141" s="448"/>
      <c r="S141" s="464"/>
      <c r="V141" s="448"/>
      <c r="W141" s="464"/>
      <c r="Z141" s="448"/>
      <c r="AA141" s="464"/>
      <c r="AD141" s="448"/>
      <c r="AE141" s="464"/>
      <c r="AH141" s="448"/>
      <c r="AI141" s="464"/>
      <c r="AL141" s="448"/>
      <c r="AP141" s="448"/>
    </row>
    <row r="142" spans="1:42" ht="13">
      <c r="A142" s="462"/>
      <c r="B142" s="462"/>
      <c r="C142" t="str">
        <f ca="1">Filtered!I132</f>
        <v>Philosophical Studies</v>
      </c>
      <c r="D142" t="str">
        <f ca="1">Filtered!J132</f>
        <v>Humanities, Literature &amp; Arts</v>
      </c>
      <c r="E142" t="str">
        <f ca="1">Filtered!AH132</f>
        <v>No preprint policy</v>
      </c>
      <c r="F142" t="b">
        <f t="shared" ca="1" si="9"/>
        <v>0</v>
      </c>
      <c r="G142" t="b">
        <f t="shared" ca="1" si="10"/>
        <v>0</v>
      </c>
      <c r="H142" t="b">
        <f t="shared" ca="1" si="11"/>
        <v>0</v>
      </c>
      <c r="I142" t="b">
        <f t="shared" ca="1" si="12"/>
        <v>0</v>
      </c>
      <c r="J142" t="b">
        <f t="shared" ca="1" si="13"/>
        <v>1</v>
      </c>
      <c r="K142" t="b">
        <f t="shared" ca="1" si="14"/>
        <v>0</v>
      </c>
      <c r="L142" t="b">
        <f t="shared" ca="1" si="15"/>
        <v>0</v>
      </c>
      <c r="M142" t="b">
        <f t="shared" ca="1" si="16"/>
        <v>0</v>
      </c>
      <c r="N142" s="448"/>
      <c r="O142" s="464"/>
      <c r="R142" s="448"/>
      <c r="S142" s="464"/>
      <c r="V142" s="448"/>
      <c r="W142" s="464"/>
      <c r="Z142" s="448"/>
      <c r="AA142" s="464"/>
      <c r="AD142" s="448"/>
      <c r="AE142" s="464"/>
      <c r="AH142" s="448"/>
      <c r="AI142" s="464"/>
      <c r="AL142" s="448"/>
      <c r="AP142" s="448"/>
    </row>
    <row r="143" spans="1:42" ht="13">
      <c r="A143" s="462"/>
      <c r="B143" s="462"/>
      <c r="C143" t="str">
        <f ca="1">Filtered!I133</f>
        <v>Physical Review B</v>
      </c>
      <c r="D143" t="str">
        <f ca="1">Filtered!J133</f>
        <v>Physics &amp; Mathematics</v>
      </c>
      <c r="E143" t="str">
        <f ca="1">Filtered!AH133</f>
        <v>No preprint policy</v>
      </c>
      <c r="F143" t="b">
        <f t="shared" ca="1" si="9"/>
        <v>0</v>
      </c>
      <c r="G143" t="b">
        <f t="shared" ca="1" si="10"/>
        <v>0</v>
      </c>
      <c r="H143" t="b">
        <f t="shared" ca="1" si="11"/>
        <v>0</v>
      </c>
      <c r="I143" t="b">
        <f t="shared" ca="1" si="12"/>
        <v>0</v>
      </c>
      <c r="J143" t="b">
        <f t="shared" ca="1" si="13"/>
        <v>0</v>
      </c>
      <c r="K143" t="b">
        <f t="shared" ca="1" si="14"/>
        <v>0</v>
      </c>
      <c r="L143" t="b">
        <f t="shared" ca="1" si="15"/>
        <v>1</v>
      </c>
      <c r="M143" t="b">
        <f t="shared" ca="1" si="16"/>
        <v>0</v>
      </c>
      <c r="N143" s="448"/>
      <c r="O143" s="464"/>
      <c r="R143" s="448"/>
      <c r="S143" s="464"/>
      <c r="V143" s="448"/>
      <c r="W143" s="464"/>
      <c r="Z143" s="448"/>
      <c r="AA143" s="464"/>
      <c r="AD143" s="448"/>
      <c r="AE143" s="464"/>
      <c r="AH143" s="448"/>
      <c r="AI143" s="464"/>
      <c r="AL143" s="448"/>
      <c r="AP143" s="448"/>
    </row>
    <row r="144" spans="1:42" ht="13">
      <c r="A144" s="462"/>
      <c r="B144" s="462"/>
      <c r="C144" t="str">
        <f ca="1">Filtered!I134</f>
        <v>Physical Review D</v>
      </c>
      <c r="D144" t="str">
        <f ca="1">Filtered!J134</f>
        <v>Physics &amp; Mathematics</v>
      </c>
      <c r="E144" t="str">
        <f ca="1">Filtered!AH134</f>
        <v>No preprint policy</v>
      </c>
      <c r="F144" t="b">
        <f t="shared" ca="1" si="9"/>
        <v>0</v>
      </c>
      <c r="G144" t="b">
        <f t="shared" ca="1" si="10"/>
        <v>0</v>
      </c>
      <c r="H144" t="b">
        <f t="shared" ca="1" si="11"/>
        <v>0</v>
      </c>
      <c r="I144" t="b">
        <f t="shared" ca="1" si="12"/>
        <v>0</v>
      </c>
      <c r="J144" t="b">
        <f t="shared" ca="1" si="13"/>
        <v>0</v>
      </c>
      <c r="K144" t="b">
        <f t="shared" ca="1" si="14"/>
        <v>0</v>
      </c>
      <c r="L144" t="b">
        <f t="shared" ca="1" si="15"/>
        <v>1</v>
      </c>
      <c r="M144" t="b">
        <f t="shared" ca="1" si="16"/>
        <v>0</v>
      </c>
      <c r="N144" s="448"/>
      <c r="O144" s="464"/>
      <c r="R144" s="448"/>
      <c r="S144" s="464"/>
      <c r="V144" s="448"/>
      <c r="W144" s="464"/>
      <c r="Z144" s="448"/>
      <c r="AA144" s="464"/>
      <c r="AD144" s="448"/>
      <c r="AE144" s="464"/>
      <c r="AH144" s="448"/>
      <c r="AI144" s="464"/>
      <c r="AL144" s="448"/>
      <c r="AP144" s="448"/>
    </row>
    <row r="145" spans="1:42" ht="13">
      <c r="A145" s="462"/>
      <c r="B145" s="462"/>
      <c r="C145" t="str">
        <f ca="1">Filtered!I135</f>
        <v>Physical Review Letters</v>
      </c>
      <c r="D145" t="str">
        <f ca="1">Filtered!J135</f>
        <v>Physics &amp; Mathematics</v>
      </c>
      <c r="E145" t="str">
        <f ca="1">Filtered!AH135</f>
        <v>No preprint policy</v>
      </c>
      <c r="F145" t="b">
        <f t="shared" ca="1" si="9"/>
        <v>0</v>
      </c>
      <c r="G145" t="b">
        <f t="shared" ca="1" si="10"/>
        <v>0</v>
      </c>
      <c r="H145" t="b">
        <f t="shared" ca="1" si="11"/>
        <v>0</v>
      </c>
      <c r="I145" t="b">
        <f t="shared" ca="1" si="12"/>
        <v>0</v>
      </c>
      <c r="J145" t="b">
        <f t="shared" ca="1" si="13"/>
        <v>0</v>
      </c>
      <c r="K145" t="b">
        <f t="shared" ca="1" si="14"/>
        <v>0</v>
      </c>
      <c r="L145" t="b">
        <f t="shared" ca="1" si="15"/>
        <v>1</v>
      </c>
      <c r="M145" t="b">
        <f t="shared" ca="1" si="16"/>
        <v>0</v>
      </c>
      <c r="N145" s="448"/>
      <c r="O145" s="464"/>
      <c r="R145" s="448"/>
      <c r="S145" s="464"/>
      <c r="V145" s="448"/>
      <c r="W145" s="464"/>
      <c r="Z145" s="448"/>
      <c r="AA145" s="464"/>
      <c r="AD145" s="448"/>
      <c r="AE145" s="464"/>
      <c r="AH145" s="448"/>
      <c r="AI145" s="464"/>
      <c r="AL145" s="448"/>
      <c r="AP145" s="448"/>
    </row>
    <row r="146" spans="1:42" ht="13">
      <c r="A146" s="462"/>
      <c r="B146" s="462"/>
      <c r="C146" t="str">
        <f ca="1">Filtered!I136</f>
        <v>Physical Review X</v>
      </c>
      <c r="D146" t="str">
        <f ca="1">Filtered!J136</f>
        <v>Physics &amp; Mathematics</v>
      </c>
      <c r="E146" t="str">
        <f ca="1">Filtered!AH136</f>
        <v>No preprint policy</v>
      </c>
      <c r="F146" t="b">
        <f t="shared" ca="1" si="9"/>
        <v>0</v>
      </c>
      <c r="G146" t="b">
        <f t="shared" ca="1" si="10"/>
        <v>0</v>
      </c>
      <c r="H146" t="b">
        <f t="shared" ca="1" si="11"/>
        <v>0</v>
      </c>
      <c r="I146" t="b">
        <f t="shared" ca="1" si="12"/>
        <v>0</v>
      </c>
      <c r="J146" t="b">
        <f t="shared" ca="1" si="13"/>
        <v>0</v>
      </c>
      <c r="K146" t="b">
        <f t="shared" ca="1" si="14"/>
        <v>0</v>
      </c>
      <c r="L146" t="b">
        <f t="shared" ca="1" si="15"/>
        <v>1</v>
      </c>
      <c r="M146" t="b">
        <f t="shared" ca="1" si="16"/>
        <v>0</v>
      </c>
      <c r="N146" s="448"/>
      <c r="O146" s="464"/>
      <c r="R146" s="448"/>
      <c r="S146" s="464"/>
      <c r="V146" s="448"/>
      <c r="W146" s="464"/>
      <c r="Z146" s="448"/>
      <c r="AA146" s="464"/>
      <c r="AD146" s="448"/>
      <c r="AE146" s="464"/>
      <c r="AH146" s="448"/>
      <c r="AI146" s="464"/>
      <c r="AL146" s="448"/>
      <c r="AP146" s="448"/>
    </row>
    <row r="147" spans="1:42" ht="13">
      <c r="A147" s="462"/>
      <c r="B147" s="462"/>
      <c r="C147" t="str">
        <f ca="1">Filtered!I137</f>
        <v>Physics Letters B</v>
      </c>
      <c r="D147" t="str">
        <f ca="1">Filtered!J137</f>
        <v>Physics &amp; Mathematics</v>
      </c>
      <c r="E147" t="str">
        <f ca="1">Filtered!AH137</f>
        <v>First submission only (before peer review)</v>
      </c>
      <c r="F147" t="b">
        <f t="shared" ca="1" si="9"/>
        <v>0</v>
      </c>
      <c r="G147" t="b">
        <f t="shared" ca="1" si="10"/>
        <v>0</v>
      </c>
      <c r="H147" t="b">
        <f t="shared" ca="1" si="11"/>
        <v>0</v>
      </c>
      <c r="I147" t="b">
        <f t="shared" ca="1" si="12"/>
        <v>0</v>
      </c>
      <c r="J147" t="b">
        <f t="shared" ca="1" si="13"/>
        <v>0</v>
      </c>
      <c r="K147" t="b">
        <f t="shared" ca="1" si="14"/>
        <v>0</v>
      </c>
      <c r="L147" t="b">
        <f t="shared" ca="1" si="15"/>
        <v>1</v>
      </c>
      <c r="M147" t="b">
        <f t="shared" ca="1" si="16"/>
        <v>0</v>
      </c>
      <c r="N147" s="448"/>
      <c r="O147" s="464"/>
      <c r="R147" s="448"/>
      <c r="S147" s="464"/>
      <c r="V147" s="448"/>
      <c r="W147" s="464"/>
      <c r="Z147" s="448"/>
      <c r="AA147" s="464"/>
      <c r="AD147" s="448"/>
      <c r="AE147" s="464"/>
      <c r="AH147" s="448"/>
      <c r="AI147" s="464"/>
      <c r="AL147" s="448"/>
      <c r="AP147" s="448"/>
    </row>
    <row r="148" spans="1:42" ht="13">
      <c r="A148" s="462"/>
      <c r="B148" s="462"/>
      <c r="C148" t="str">
        <f ca="1">Filtered!I138</f>
        <v>PLoS One</v>
      </c>
      <c r="D148" t="str">
        <f ca="1">Filtered!J138</f>
        <v>Health &amp; Medical Sciences,
Life Sciences &amp; Earth Sciences</v>
      </c>
      <c r="E148" t="str">
        <f ca="1">Filtered!AH138</f>
        <v>First submission only (before peer review)</v>
      </c>
      <c r="F148" t="b">
        <f t="shared" ca="1" si="9"/>
        <v>0</v>
      </c>
      <c r="G148" t="b">
        <f t="shared" ca="1" si="10"/>
        <v>0</v>
      </c>
      <c r="H148" t="b">
        <f t="shared" ca="1" si="11"/>
        <v>0</v>
      </c>
      <c r="I148" t="b">
        <f t="shared" ca="1" si="12"/>
        <v>1</v>
      </c>
      <c r="J148" t="b">
        <f t="shared" ca="1" si="13"/>
        <v>0</v>
      </c>
      <c r="K148" t="b">
        <f t="shared" ca="1" si="14"/>
        <v>1</v>
      </c>
      <c r="L148" t="b">
        <f t="shared" ca="1" si="15"/>
        <v>0</v>
      </c>
      <c r="M148" t="b">
        <f t="shared" ca="1" si="16"/>
        <v>0</v>
      </c>
      <c r="N148" s="448"/>
      <c r="O148" s="464"/>
      <c r="R148" s="448"/>
      <c r="S148" s="464"/>
      <c r="V148" s="448"/>
      <c r="W148" s="464"/>
      <c r="Z148" s="448"/>
      <c r="AA148" s="464"/>
      <c r="AD148" s="448"/>
      <c r="AE148" s="464"/>
      <c r="AH148" s="448"/>
      <c r="AI148" s="464"/>
      <c r="AL148" s="448"/>
      <c r="AP148" s="448"/>
    </row>
    <row r="149" spans="1:42" ht="13">
      <c r="A149" s="462"/>
      <c r="B149" s="462"/>
      <c r="C149" t="str">
        <f ca="1">Filtered!I139</f>
        <v>Proceedings of the National Academy of Sciences</v>
      </c>
      <c r="D149" t="str">
        <f ca="1">Filtered!J139</f>
        <v>Health &amp; Medical Sciences,
Life Sciences &amp; Earth Sciences</v>
      </c>
      <c r="E149" t="str">
        <f ca="1">Filtered!AH139</f>
        <v>Unsure (preprints are allowed, but it's not clear what version</v>
      </c>
      <c r="F149" t="b">
        <f t="shared" ca="1" si="9"/>
        <v>0</v>
      </c>
      <c r="G149" t="b">
        <f t="shared" ca="1" si="10"/>
        <v>0</v>
      </c>
      <c r="H149" t="b">
        <f t="shared" ca="1" si="11"/>
        <v>0</v>
      </c>
      <c r="I149" t="b">
        <f t="shared" ca="1" si="12"/>
        <v>1</v>
      </c>
      <c r="J149" t="b">
        <f t="shared" ca="1" si="13"/>
        <v>0</v>
      </c>
      <c r="K149" t="b">
        <f t="shared" ca="1" si="14"/>
        <v>1</v>
      </c>
      <c r="L149" t="b">
        <f t="shared" ca="1" si="15"/>
        <v>0</v>
      </c>
      <c r="M149" t="b">
        <f t="shared" ca="1" si="16"/>
        <v>0</v>
      </c>
      <c r="N149" s="448"/>
      <c r="O149" s="464"/>
      <c r="R149" s="448"/>
      <c r="S149" s="464"/>
      <c r="V149" s="448"/>
      <c r="W149" s="464"/>
      <c r="Z149" s="448"/>
      <c r="AA149" s="464"/>
      <c r="AD149" s="448"/>
      <c r="AE149" s="464"/>
      <c r="AH149" s="448"/>
      <c r="AI149" s="464"/>
      <c r="AL149" s="448"/>
      <c r="AP149" s="448"/>
    </row>
    <row r="150" spans="1:42" ht="13">
      <c r="A150" s="462"/>
      <c r="B150" s="462"/>
      <c r="C150" t="str">
        <f ca="1">Filtered!I140</f>
        <v>Progress in Human Geography</v>
      </c>
      <c r="D150" t="str">
        <f ca="1">Filtered!J140</f>
        <v>Social Sciences</v>
      </c>
      <c r="E150" t="str">
        <f ca="1">Filtered!AH140</f>
        <v>Unsure (preprints are allowed, but it's not clear what version)</v>
      </c>
      <c r="F150" t="b">
        <f t="shared" ca="1" si="9"/>
        <v>0</v>
      </c>
      <c r="G150" t="b">
        <f t="shared" ca="1" si="10"/>
        <v>0</v>
      </c>
      <c r="H150" t="b">
        <f t="shared" ca="1" si="11"/>
        <v>0</v>
      </c>
      <c r="I150" t="b">
        <f t="shared" ca="1" si="12"/>
        <v>0</v>
      </c>
      <c r="J150" t="b">
        <f t="shared" ca="1" si="13"/>
        <v>0</v>
      </c>
      <c r="K150" t="b">
        <f t="shared" ca="1" si="14"/>
        <v>0</v>
      </c>
      <c r="L150" t="b">
        <f t="shared" ca="1" si="15"/>
        <v>0</v>
      </c>
      <c r="M150" t="b">
        <f t="shared" ca="1" si="16"/>
        <v>1</v>
      </c>
      <c r="N150" s="448"/>
      <c r="O150" s="464"/>
      <c r="R150" s="448"/>
      <c r="S150" s="464"/>
      <c r="V150" s="448"/>
      <c r="W150" s="464"/>
      <c r="Z150" s="448"/>
      <c r="AA150" s="464"/>
      <c r="AD150" s="448"/>
      <c r="AE150" s="464"/>
      <c r="AH150" s="448"/>
      <c r="AI150" s="464"/>
      <c r="AL150" s="448"/>
      <c r="AP150" s="448"/>
    </row>
    <row r="151" spans="1:42" ht="13">
      <c r="A151" s="462"/>
      <c r="B151" s="462"/>
      <c r="C151" t="str">
        <f ca="1">Filtered!I141</f>
        <v>Public Opinion Quarterly</v>
      </c>
      <c r="D151" t="str">
        <f ca="1">Filtered!J141</f>
        <v>Humanities, Literature &amp; Arts</v>
      </c>
      <c r="E151" t="str">
        <f ca="1">Filtered!AH141</f>
        <v>First submission only (before peer review)</v>
      </c>
      <c r="F151" t="b">
        <f t="shared" ca="1" si="9"/>
        <v>0</v>
      </c>
      <c r="G151" t="b">
        <f t="shared" ca="1" si="10"/>
        <v>0</v>
      </c>
      <c r="H151" t="b">
        <f t="shared" ca="1" si="11"/>
        <v>0</v>
      </c>
      <c r="I151" t="b">
        <f t="shared" ca="1" si="12"/>
        <v>0</v>
      </c>
      <c r="J151" t="b">
        <f t="shared" ca="1" si="13"/>
        <v>1</v>
      </c>
      <c r="K151" t="b">
        <f t="shared" ca="1" si="14"/>
        <v>0</v>
      </c>
      <c r="L151" t="b">
        <f t="shared" ca="1" si="15"/>
        <v>0</v>
      </c>
      <c r="M151" t="b">
        <f t="shared" ca="1" si="16"/>
        <v>0</v>
      </c>
      <c r="N151" s="448"/>
      <c r="O151" s="464"/>
      <c r="R151" s="448"/>
      <c r="S151" s="464"/>
      <c r="V151" s="448"/>
      <c r="W151" s="464"/>
      <c r="Z151" s="448"/>
      <c r="AA151" s="464"/>
      <c r="AD151" s="448"/>
      <c r="AE151" s="464"/>
      <c r="AH151" s="448"/>
      <c r="AI151" s="464"/>
      <c r="AL151" s="448"/>
      <c r="AP151" s="448"/>
    </row>
    <row r="152" spans="1:42" ht="13">
      <c r="A152" s="462"/>
      <c r="B152" s="462"/>
      <c r="C152" t="str">
        <f ca="1">Filtered!I142</f>
        <v>Regional Studies</v>
      </c>
      <c r="D152" t="str">
        <f ca="1">Filtered!J142</f>
        <v>Social Sciences</v>
      </c>
      <c r="E152" t="str">
        <f ca="1">Filtered!AH142</f>
        <v>No preprint policy</v>
      </c>
      <c r="F152" t="b">
        <f t="shared" ca="1" si="9"/>
        <v>0</v>
      </c>
      <c r="G152" t="b">
        <f t="shared" ca="1" si="10"/>
        <v>0</v>
      </c>
      <c r="H152" t="b">
        <f t="shared" ca="1" si="11"/>
        <v>0</v>
      </c>
      <c r="I152" t="b">
        <f t="shared" ca="1" si="12"/>
        <v>0</v>
      </c>
      <c r="J152" t="b">
        <f t="shared" ca="1" si="13"/>
        <v>0</v>
      </c>
      <c r="K152" t="b">
        <f t="shared" ca="1" si="14"/>
        <v>0</v>
      </c>
      <c r="L152" t="b">
        <f t="shared" ca="1" si="15"/>
        <v>0</v>
      </c>
      <c r="M152" t="b">
        <f t="shared" ca="1" si="16"/>
        <v>1</v>
      </c>
      <c r="N152" s="448"/>
      <c r="O152" s="464"/>
      <c r="R152" s="448"/>
      <c r="S152" s="464"/>
      <c r="V152" s="448"/>
      <c r="W152" s="464"/>
      <c r="Z152" s="448"/>
      <c r="AA152" s="464"/>
      <c r="AD152" s="448"/>
      <c r="AE152" s="464"/>
      <c r="AH152" s="448"/>
      <c r="AI152" s="464"/>
      <c r="AL152" s="448"/>
      <c r="AP152" s="448"/>
    </row>
    <row r="153" spans="1:42" ht="13">
      <c r="A153" s="462"/>
      <c r="B153" s="462"/>
      <c r="C153" t="str">
        <f ca="1">Filtered!I143</f>
        <v>Renewable and Sustainable Energy Reviews</v>
      </c>
      <c r="D153" t="str">
        <f ca="1">Filtered!J143</f>
        <v>Engineering &amp; Computer Science</v>
      </c>
      <c r="E153" t="str">
        <f ca="1">Filtered!AH143</f>
        <v>Unsure (preprints are allowed, but it's not clear what version)</v>
      </c>
      <c r="F153" t="b">
        <f t="shared" ca="1" si="9"/>
        <v>0</v>
      </c>
      <c r="G153" t="b">
        <f t="shared" ca="1" si="10"/>
        <v>0</v>
      </c>
      <c r="H153" t="b">
        <f t="shared" ca="1" si="11"/>
        <v>1</v>
      </c>
      <c r="I153" t="b">
        <f t="shared" ca="1" si="12"/>
        <v>0</v>
      </c>
      <c r="J153" t="b">
        <f t="shared" ca="1" si="13"/>
        <v>0</v>
      </c>
      <c r="K153" t="b">
        <f t="shared" ca="1" si="14"/>
        <v>0</v>
      </c>
      <c r="L153" t="b">
        <f t="shared" ca="1" si="15"/>
        <v>0</v>
      </c>
      <c r="M153" t="b">
        <f t="shared" ca="1" si="16"/>
        <v>0</v>
      </c>
      <c r="N153" s="448"/>
      <c r="O153" s="464"/>
      <c r="R153" s="448"/>
      <c r="S153" s="464"/>
      <c r="V153" s="448"/>
      <c r="W153" s="464"/>
      <c r="Z153" s="448"/>
      <c r="AA153" s="464"/>
      <c r="AD153" s="448"/>
      <c r="AE153" s="464"/>
      <c r="AH153" s="448"/>
      <c r="AI153" s="464"/>
      <c r="AL153" s="448"/>
      <c r="AP153" s="448"/>
    </row>
    <row r="154" spans="1:42" ht="13">
      <c r="A154" s="462"/>
      <c r="B154" s="462"/>
      <c r="C154" t="str">
        <f ca="1">Filtered!I144</f>
        <v>Research Policy</v>
      </c>
      <c r="D154" t="str">
        <f ca="1">Filtered!J144</f>
        <v>Social Sciences</v>
      </c>
      <c r="E154" t="str">
        <f ca="1">Filtered!AH144</f>
        <v>First submission only (before peer review)</v>
      </c>
      <c r="F154" t="b">
        <f t="shared" ca="1" si="9"/>
        <v>0</v>
      </c>
      <c r="G154" t="b">
        <f t="shared" ca="1" si="10"/>
        <v>0</v>
      </c>
      <c r="H154" t="b">
        <f t="shared" ca="1" si="11"/>
        <v>0</v>
      </c>
      <c r="I154" t="b">
        <f t="shared" ca="1" si="12"/>
        <v>0</v>
      </c>
      <c r="J154" t="b">
        <f t="shared" ca="1" si="13"/>
        <v>0</v>
      </c>
      <c r="K154" t="b">
        <f t="shared" ca="1" si="14"/>
        <v>0</v>
      </c>
      <c r="L154" t="b">
        <f t="shared" ca="1" si="15"/>
        <v>0</v>
      </c>
      <c r="M154" t="b">
        <f t="shared" ca="1" si="16"/>
        <v>1</v>
      </c>
      <c r="N154" s="448"/>
      <c r="O154" s="464"/>
      <c r="R154" s="448"/>
      <c r="S154" s="464"/>
      <c r="V154" s="448"/>
      <c r="W154" s="464"/>
      <c r="Z154" s="448"/>
      <c r="AA154" s="464"/>
      <c r="AD154" s="448"/>
      <c r="AE154" s="464"/>
      <c r="AH154" s="448"/>
      <c r="AI154" s="464"/>
      <c r="AL154" s="448"/>
      <c r="AP154" s="448"/>
    </row>
    <row r="155" spans="1:42" ht="13">
      <c r="A155" s="462"/>
      <c r="B155" s="462"/>
      <c r="C155" t="str">
        <f ca="1">Filtered!I145</f>
        <v>Review of Economics and Statistics</v>
      </c>
      <c r="D155" t="str">
        <f ca="1">Filtered!J145</f>
        <v>Business, Economics &amp; Management</v>
      </c>
      <c r="E155" t="str">
        <f ca="1">Filtered!AH145</f>
        <v>After peer review (but not final, copyedited version)</v>
      </c>
      <c r="F155" t="b">
        <f t="shared" ca="1" si="9"/>
        <v>1</v>
      </c>
      <c r="G155" t="b">
        <f t="shared" ca="1" si="10"/>
        <v>0</v>
      </c>
      <c r="H155" t="b">
        <f t="shared" ca="1" si="11"/>
        <v>0</v>
      </c>
      <c r="I155" t="b">
        <f t="shared" ca="1" si="12"/>
        <v>0</v>
      </c>
      <c r="J155" t="b">
        <f t="shared" ca="1" si="13"/>
        <v>0</v>
      </c>
      <c r="K155" t="b">
        <f t="shared" ca="1" si="14"/>
        <v>0</v>
      </c>
      <c r="L155" t="b">
        <f t="shared" ca="1" si="15"/>
        <v>0</v>
      </c>
      <c r="M155" t="b">
        <f t="shared" ca="1" si="16"/>
        <v>0</v>
      </c>
      <c r="N155" s="448"/>
      <c r="O155" s="464"/>
      <c r="R155" s="448"/>
      <c r="S155" s="464"/>
      <c r="V155" s="448"/>
      <c r="W155" s="464"/>
      <c r="Z155" s="448"/>
      <c r="AA155" s="464"/>
      <c r="AD155" s="448"/>
      <c r="AE155" s="464"/>
      <c r="AH155" s="448"/>
      <c r="AI155" s="464"/>
      <c r="AL155" s="448"/>
      <c r="AP155" s="448"/>
    </row>
    <row r="156" spans="1:42" ht="13">
      <c r="A156" s="462"/>
      <c r="B156" s="462"/>
      <c r="C156" t="str">
        <f ca="1">Filtered!I146</f>
        <v>Reviews of Modern Physics</v>
      </c>
      <c r="D156" t="str">
        <f ca="1">Filtered!J146</f>
        <v>Physics &amp; Mathematics</v>
      </c>
      <c r="E156" t="str">
        <f ca="1">Filtered!AH146</f>
        <v>Any</v>
      </c>
      <c r="F156" t="b">
        <f t="shared" ca="1" si="9"/>
        <v>0</v>
      </c>
      <c r="G156" t="b">
        <f t="shared" ca="1" si="10"/>
        <v>0</v>
      </c>
      <c r="H156" t="b">
        <f t="shared" ca="1" si="11"/>
        <v>0</v>
      </c>
      <c r="I156" t="b">
        <f t="shared" ca="1" si="12"/>
        <v>0</v>
      </c>
      <c r="J156" t="b">
        <f t="shared" ca="1" si="13"/>
        <v>0</v>
      </c>
      <c r="K156" t="b">
        <f t="shared" ca="1" si="14"/>
        <v>0</v>
      </c>
      <c r="L156" t="b">
        <f t="shared" ca="1" si="15"/>
        <v>1</v>
      </c>
      <c r="M156" t="b">
        <f t="shared" ca="1" si="16"/>
        <v>0</v>
      </c>
      <c r="N156" s="448"/>
      <c r="O156" s="464"/>
      <c r="R156" s="448"/>
      <c r="S156" s="464"/>
      <c r="V156" s="448"/>
      <c r="W156" s="464"/>
      <c r="Z156" s="448"/>
      <c r="AA156" s="464"/>
      <c r="AD156" s="448"/>
      <c r="AE156" s="464"/>
      <c r="AH156" s="448"/>
      <c r="AI156" s="464"/>
      <c r="AL156" s="448"/>
      <c r="AP156" s="448"/>
    </row>
    <row r="157" spans="1:42" ht="13">
      <c r="A157" s="462"/>
      <c r="B157" s="462"/>
      <c r="C157" t="str">
        <f ca="1">Filtered!I147</f>
        <v>Science</v>
      </c>
      <c r="D157" t="str">
        <f ca="1">Filtered!J147</f>
        <v>Life Sciences &amp; Earth Sciences</v>
      </c>
      <c r="E157" t="str">
        <f ca="1">Filtered!AH147</f>
        <v>First submission only (before peer review)</v>
      </c>
      <c r="F157" t="b">
        <f t="shared" ca="1" si="9"/>
        <v>0</v>
      </c>
      <c r="G157" t="b">
        <f t="shared" ca="1" si="10"/>
        <v>0</v>
      </c>
      <c r="H157" t="b">
        <f t="shared" ca="1" si="11"/>
        <v>0</v>
      </c>
      <c r="I157" t="b">
        <f t="shared" ca="1" si="12"/>
        <v>0</v>
      </c>
      <c r="J157" t="b">
        <f t="shared" ca="1" si="13"/>
        <v>0</v>
      </c>
      <c r="K157" t="b">
        <f t="shared" ca="1" si="14"/>
        <v>1</v>
      </c>
      <c r="L157" t="b">
        <f t="shared" ca="1" si="15"/>
        <v>0</v>
      </c>
      <c r="M157" t="b">
        <f t="shared" ca="1" si="16"/>
        <v>0</v>
      </c>
      <c r="N157" s="448"/>
      <c r="O157" s="464"/>
      <c r="R157" s="448"/>
      <c r="S157" s="464"/>
      <c r="V157" s="448"/>
      <c r="W157" s="464"/>
      <c r="Z157" s="448"/>
      <c r="AA157" s="464"/>
      <c r="AD157" s="448"/>
      <c r="AE157" s="464"/>
      <c r="AH157" s="448"/>
      <c r="AI157" s="464"/>
      <c r="AL157" s="448"/>
      <c r="AP157" s="448"/>
    </row>
    <row r="158" spans="1:42" ht="13">
      <c r="A158" s="462"/>
      <c r="B158" s="462"/>
      <c r="C158" t="str">
        <f ca="1">Filtered!I148</f>
        <v>Science Translational Medicine</v>
      </c>
      <c r="D158" t="str">
        <f ca="1">Filtered!J148</f>
        <v/>
      </c>
      <c r="E158" t="str">
        <f ca="1">Filtered!AH148</f>
        <v>First submission only (before peer review)</v>
      </c>
      <c r="F158" t="b">
        <f t="shared" ca="1" si="9"/>
        <v>0</v>
      </c>
      <c r="G158" t="b">
        <f t="shared" ca="1" si="10"/>
        <v>0</v>
      </c>
      <c r="H158" t="b">
        <f t="shared" ca="1" si="11"/>
        <v>0</v>
      </c>
      <c r="I158" t="b">
        <f t="shared" ca="1" si="12"/>
        <v>0</v>
      </c>
      <c r="J158" t="b">
        <f t="shared" ca="1" si="13"/>
        <v>0</v>
      </c>
      <c r="K158" t="b">
        <f t="shared" ca="1" si="14"/>
        <v>0</v>
      </c>
      <c r="L158" t="b">
        <f t="shared" ca="1" si="15"/>
        <v>0</v>
      </c>
      <c r="M158" t="b">
        <f t="shared" ca="1" si="16"/>
        <v>0</v>
      </c>
      <c r="N158" s="448"/>
      <c r="O158" s="464"/>
      <c r="R158" s="448"/>
      <c r="S158" s="464"/>
      <c r="V158" s="448"/>
      <c r="W158" s="464"/>
      <c r="Z158" s="448"/>
      <c r="AA158" s="464"/>
      <c r="AD158" s="448"/>
      <c r="AE158" s="464"/>
      <c r="AH158" s="448"/>
      <c r="AI158" s="464"/>
      <c r="AL158" s="448"/>
      <c r="AP158" s="448"/>
    </row>
    <row r="159" spans="1:42" ht="13">
      <c r="A159" s="462"/>
      <c r="B159" s="462"/>
      <c r="C159" t="str">
        <f ca="1">Filtered!I149</f>
        <v>Scientific Reports</v>
      </c>
      <c r="D159" t="str">
        <f ca="1">Filtered!J149</f>
        <v>Life Sciences &amp; Earth Sciences</v>
      </c>
      <c r="E159" t="str">
        <f ca="1">Filtered!AH149</f>
        <v>Any</v>
      </c>
      <c r="F159" t="b">
        <f t="shared" ca="1" si="9"/>
        <v>0</v>
      </c>
      <c r="G159" t="b">
        <f t="shared" ca="1" si="10"/>
        <v>0</v>
      </c>
      <c r="H159" t="b">
        <f t="shared" ca="1" si="11"/>
        <v>0</v>
      </c>
      <c r="I159" t="b">
        <f t="shared" ca="1" si="12"/>
        <v>0</v>
      </c>
      <c r="J159" t="b">
        <f t="shared" ca="1" si="13"/>
        <v>0</v>
      </c>
      <c r="K159" t="b">
        <f t="shared" ca="1" si="14"/>
        <v>1</v>
      </c>
      <c r="L159" t="b">
        <f t="shared" ca="1" si="15"/>
        <v>0</v>
      </c>
      <c r="M159" t="b">
        <f t="shared" ca="1" si="16"/>
        <v>0</v>
      </c>
      <c r="N159" s="448"/>
      <c r="O159" s="464"/>
      <c r="R159" s="448"/>
      <c r="S159" s="464"/>
      <c r="V159" s="448"/>
      <c r="W159" s="464"/>
      <c r="Z159" s="448"/>
      <c r="AA159" s="464"/>
      <c r="AD159" s="448"/>
      <c r="AE159" s="464"/>
      <c r="AH159" s="448"/>
      <c r="AI159" s="464"/>
      <c r="AL159" s="448"/>
      <c r="AP159" s="448"/>
    </row>
    <row r="160" spans="1:42" ht="13">
      <c r="A160" s="462"/>
      <c r="B160" s="462"/>
      <c r="C160" t="str">
        <f ca="1">Filtered!I150</f>
        <v>Social Science &amp; Medicine</v>
      </c>
      <c r="D160" t="str">
        <f ca="1">Filtered!J150</f>
        <v>Social Sciences</v>
      </c>
      <c r="E160" t="str">
        <f ca="1">Filtered!AH150</f>
        <v>First submission only</v>
      </c>
      <c r="F160" t="b">
        <f t="shared" ca="1" si="9"/>
        <v>0</v>
      </c>
      <c r="G160" t="b">
        <f t="shared" ca="1" si="10"/>
        <v>0</v>
      </c>
      <c r="H160" t="b">
        <f t="shared" ca="1" si="11"/>
        <v>0</v>
      </c>
      <c r="I160" t="b">
        <f t="shared" ca="1" si="12"/>
        <v>0</v>
      </c>
      <c r="J160" t="b">
        <f t="shared" ca="1" si="13"/>
        <v>0</v>
      </c>
      <c r="K160" t="b">
        <f t="shared" ca="1" si="14"/>
        <v>0</v>
      </c>
      <c r="L160" t="b">
        <f t="shared" ca="1" si="15"/>
        <v>0</v>
      </c>
      <c r="M160" t="b">
        <f t="shared" ca="1" si="16"/>
        <v>1</v>
      </c>
      <c r="N160" s="448"/>
      <c r="O160" s="464"/>
      <c r="R160" s="448"/>
      <c r="S160" s="464"/>
      <c r="V160" s="448"/>
      <c r="W160" s="464"/>
      <c r="Z160" s="448"/>
      <c r="AA160" s="464"/>
      <c r="AD160" s="448"/>
      <c r="AE160" s="464"/>
      <c r="AH160" s="448"/>
      <c r="AI160" s="464"/>
      <c r="AL160" s="448"/>
      <c r="AP160" s="448"/>
    </row>
    <row r="161" spans="1:42" ht="13">
      <c r="A161" s="462"/>
      <c r="B161" s="462"/>
      <c r="C161" t="str">
        <f ca="1">Filtered!I151</f>
        <v>Strategic Management Journal</v>
      </c>
      <c r="D161" t="str">
        <f ca="1">Filtered!J151</f>
        <v>Business, Economics &amp; Management</v>
      </c>
      <c r="E161" t="str">
        <f ca="1">Filtered!AH151</f>
        <v>No preprint policy</v>
      </c>
      <c r="F161" t="b">
        <f t="shared" ca="1" si="9"/>
        <v>1</v>
      </c>
      <c r="G161" t="b">
        <f t="shared" ca="1" si="10"/>
        <v>0</v>
      </c>
      <c r="H161" t="b">
        <f t="shared" ca="1" si="11"/>
        <v>0</v>
      </c>
      <c r="I161" t="b">
        <f t="shared" ca="1" si="12"/>
        <v>0</v>
      </c>
      <c r="J161" t="b">
        <f t="shared" ca="1" si="13"/>
        <v>0</v>
      </c>
      <c r="K161" t="b">
        <f t="shared" ca="1" si="14"/>
        <v>0</v>
      </c>
      <c r="L161" t="b">
        <f t="shared" ca="1" si="15"/>
        <v>0</v>
      </c>
      <c r="M161" t="b">
        <f t="shared" ca="1" si="16"/>
        <v>0</v>
      </c>
      <c r="N161" s="448"/>
      <c r="O161" s="464"/>
      <c r="R161" s="448"/>
      <c r="S161" s="464"/>
      <c r="V161" s="448"/>
      <c r="W161" s="464"/>
      <c r="Z161" s="448"/>
      <c r="AA161" s="464"/>
      <c r="AD161" s="448"/>
      <c r="AE161" s="464"/>
      <c r="AH161" s="448"/>
      <c r="AI161" s="464"/>
      <c r="AL161" s="448"/>
      <c r="AP161" s="448"/>
    </row>
    <row r="162" spans="1:42" ht="13">
      <c r="A162" s="462"/>
      <c r="B162" s="462"/>
      <c r="C162" t="str">
        <f ca="1">Filtered!I152</f>
        <v>Synthese</v>
      </c>
      <c r="D162" t="str">
        <f ca="1">Filtered!J152</f>
        <v>Humanities, Literature &amp; Arts</v>
      </c>
      <c r="E162" t="str">
        <f ca="1">Filtered!AH152</f>
        <v>No preprint policy</v>
      </c>
      <c r="F162" t="b">
        <f t="shared" ca="1" si="9"/>
        <v>0</v>
      </c>
      <c r="G162" t="b">
        <f t="shared" ca="1" si="10"/>
        <v>0</v>
      </c>
      <c r="H162" t="b">
        <f t="shared" ca="1" si="11"/>
        <v>0</v>
      </c>
      <c r="I162" t="b">
        <f t="shared" ca="1" si="12"/>
        <v>0</v>
      </c>
      <c r="J162" t="b">
        <f t="shared" ca="1" si="13"/>
        <v>1</v>
      </c>
      <c r="K162" t="b">
        <f t="shared" ca="1" si="14"/>
        <v>0</v>
      </c>
      <c r="L162" t="b">
        <f t="shared" ca="1" si="15"/>
        <v>0</v>
      </c>
      <c r="M162" t="b">
        <f t="shared" ca="1" si="16"/>
        <v>0</v>
      </c>
      <c r="N162" s="448"/>
      <c r="O162" s="464"/>
      <c r="R162" s="448"/>
      <c r="S162" s="464"/>
      <c r="V162" s="448"/>
      <c r="W162" s="464"/>
      <c r="Z162" s="448"/>
      <c r="AA162" s="464"/>
      <c r="AD162" s="448"/>
      <c r="AE162" s="464"/>
      <c r="AH162" s="448"/>
      <c r="AI162" s="464"/>
      <c r="AL162" s="448"/>
      <c r="AP162" s="448"/>
    </row>
    <row r="163" spans="1:42" ht="13">
      <c r="A163" s="462"/>
      <c r="B163" s="462"/>
      <c r="C163" t="str">
        <f ca="1">Filtered!I153</f>
        <v>System</v>
      </c>
      <c r="D163" t="str">
        <f ca="1">Filtered!J153</f>
        <v>Humanities, Literature &amp; Arts</v>
      </c>
      <c r="E163" t="str">
        <f ca="1">Filtered!AH153</f>
        <v>No preprint policy</v>
      </c>
      <c r="F163" t="b">
        <f t="shared" ca="1" si="9"/>
        <v>0</v>
      </c>
      <c r="G163" t="b">
        <f t="shared" ca="1" si="10"/>
        <v>0</v>
      </c>
      <c r="H163" t="b">
        <f t="shared" ca="1" si="11"/>
        <v>0</v>
      </c>
      <c r="I163" t="b">
        <f t="shared" ca="1" si="12"/>
        <v>0</v>
      </c>
      <c r="J163" t="b">
        <f t="shared" ca="1" si="13"/>
        <v>1</v>
      </c>
      <c r="K163" t="b">
        <f t="shared" ca="1" si="14"/>
        <v>0</v>
      </c>
      <c r="L163" t="b">
        <f t="shared" ca="1" si="15"/>
        <v>0</v>
      </c>
      <c r="M163" t="b">
        <f t="shared" ca="1" si="16"/>
        <v>0</v>
      </c>
      <c r="N163" s="448"/>
      <c r="O163" s="464"/>
      <c r="R163" s="448"/>
      <c r="S163" s="464"/>
      <c r="V163" s="448"/>
      <c r="W163" s="464"/>
      <c r="Z163" s="448"/>
      <c r="AA163" s="464"/>
      <c r="AD163" s="448"/>
      <c r="AE163" s="464"/>
      <c r="AH163" s="448"/>
      <c r="AI163" s="464"/>
      <c r="AL163" s="448"/>
      <c r="AP163" s="448"/>
    </row>
    <row r="164" spans="1:42" ht="13">
      <c r="A164" s="462"/>
      <c r="B164" s="462"/>
      <c r="C164" t="str">
        <f ca="1">Filtered!I154</f>
        <v>Teaching and Teacher Education</v>
      </c>
      <c r="D164" t="str">
        <f ca="1">Filtered!J154</f>
        <v>Social Sciences</v>
      </c>
      <c r="E164" t="str">
        <f ca="1">Filtered!AH154</f>
        <v>First submission only</v>
      </c>
      <c r="F164" t="b">
        <f t="shared" ca="1" si="9"/>
        <v>0</v>
      </c>
      <c r="G164" t="b">
        <f t="shared" ca="1" si="10"/>
        <v>0</v>
      </c>
      <c r="H164" t="b">
        <f t="shared" ca="1" si="11"/>
        <v>0</v>
      </c>
      <c r="I164" t="b">
        <f t="shared" ca="1" si="12"/>
        <v>0</v>
      </c>
      <c r="J164" t="b">
        <f t="shared" ca="1" si="13"/>
        <v>0</v>
      </c>
      <c r="K164" t="b">
        <f t="shared" ca="1" si="14"/>
        <v>0</v>
      </c>
      <c r="L164" t="b">
        <f t="shared" ca="1" si="15"/>
        <v>0</v>
      </c>
      <c r="M164" t="b">
        <f t="shared" ca="1" si="16"/>
        <v>1</v>
      </c>
      <c r="N164" s="448"/>
      <c r="O164" s="464"/>
      <c r="R164" s="448"/>
      <c r="S164" s="464"/>
      <c r="V164" s="448"/>
      <c r="W164" s="464"/>
      <c r="Z164" s="448"/>
      <c r="AA164" s="464"/>
      <c r="AD164" s="448"/>
      <c r="AE164" s="464"/>
      <c r="AH164" s="448"/>
      <c r="AI164" s="464"/>
      <c r="AL164" s="448"/>
      <c r="AP164" s="448"/>
    </row>
    <row r="165" spans="1:42" ht="13">
      <c r="A165" s="462"/>
      <c r="B165" s="462"/>
      <c r="C165" t="str">
        <f ca="1">Filtered!I155</f>
        <v>TESOL Quarterly</v>
      </c>
      <c r="D165" t="str">
        <f ca="1">Filtered!J155</f>
        <v>Humanities, Literature &amp; Arts</v>
      </c>
      <c r="E165" t="str">
        <f ca="1">Filtered!AH155</f>
        <v>No preprint policy</v>
      </c>
      <c r="F165" t="b">
        <f t="shared" ca="1" si="9"/>
        <v>0</v>
      </c>
      <c r="G165" t="b">
        <f t="shared" ca="1" si="10"/>
        <v>0</v>
      </c>
      <c r="H165" t="b">
        <f t="shared" ca="1" si="11"/>
        <v>0</v>
      </c>
      <c r="I165" t="b">
        <f t="shared" ca="1" si="12"/>
        <v>0</v>
      </c>
      <c r="J165" t="b">
        <f t="shared" ca="1" si="13"/>
        <v>1</v>
      </c>
      <c r="K165" t="b">
        <f t="shared" ca="1" si="14"/>
        <v>0</v>
      </c>
      <c r="L165" t="b">
        <f t="shared" ca="1" si="15"/>
        <v>0</v>
      </c>
      <c r="M165" t="b">
        <f t="shared" ca="1" si="16"/>
        <v>0</v>
      </c>
      <c r="N165" s="448"/>
      <c r="O165" s="464"/>
      <c r="R165" s="448"/>
      <c r="S165" s="464"/>
      <c r="V165" s="448"/>
      <c r="W165" s="464"/>
      <c r="Z165" s="448"/>
      <c r="AA165" s="464"/>
      <c r="AD165" s="448"/>
      <c r="AE165" s="464"/>
      <c r="AH165" s="448"/>
      <c r="AI165" s="464"/>
      <c r="AL165" s="448"/>
      <c r="AP165" s="448"/>
    </row>
    <row r="166" spans="1:42" ht="13">
      <c r="A166" s="462"/>
      <c r="B166" s="462"/>
      <c r="C166" t="str">
        <f ca="1">Filtered!I156</f>
        <v>The Astrophysical Journal</v>
      </c>
      <c r="D166" t="str">
        <f ca="1">Filtered!J156</f>
        <v>Physics &amp; Mathematics</v>
      </c>
      <c r="E166" t="str">
        <f ca="1">Filtered!AH156</f>
        <v>No preprint policy</v>
      </c>
      <c r="F166" t="b">
        <f t="shared" ca="1" si="9"/>
        <v>0</v>
      </c>
      <c r="G166" t="b">
        <f t="shared" ca="1" si="10"/>
        <v>0</v>
      </c>
      <c r="H166" t="b">
        <f t="shared" ca="1" si="11"/>
        <v>0</v>
      </c>
      <c r="I166" t="b">
        <f t="shared" ca="1" si="12"/>
        <v>0</v>
      </c>
      <c r="J166" t="b">
        <f t="shared" ca="1" si="13"/>
        <v>0</v>
      </c>
      <c r="K166" t="b">
        <f t="shared" ca="1" si="14"/>
        <v>0</v>
      </c>
      <c r="L166" t="b">
        <f t="shared" ca="1" si="15"/>
        <v>1</v>
      </c>
      <c r="M166" t="b">
        <f t="shared" ca="1" si="16"/>
        <v>0</v>
      </c>
      <c r="N166" s="448"/>
      <c r="O166" s="464"/>
      <c r="R166" s="448"/>
      <c r="S166" s="464"/>
      <c r="V166" s="448"/>
      <c r="W166" s="464"/>
      <c r="Z166" s="448"/>
      <c r="AA166" s="464"/>
      <c r="AD166" s="448"/>
      <c r="AE166" s="464"/>
      <c r="AH166" s="448"/>
      <c r="AI166" s="464"/>
      <c r="AL166" s="448"/>
      <c r="AP166" s="448"/>
    </row>
    <row r="167" spans="1:42" ht="13">
      <c r="A167" s="462"/>
      <c r="B167" s="462"/>
      <c r="C167" t="str">
        <f ca="1">Filtered!I157</f>
        <v>The China Quarterly</v>
      </c>
      <c r="D167" t="str">
        <f ca="1">Filtered!J157</f>
        <v>Humanities, Literature &amp; Arts</v>
      </c>
      <c r="E167" t="str">
        <f ca="1">Filtered!AH157</f>
        <v>No preprint policy</v>
      </c>
      <c r="F167" t="b">
        <f t="shared" ca="1" si="9"/>
        <v>0</v>
      </c>
      <c r="G167" t="b">
        <f t="shared" ca="1" si="10"/>
        <v>0</v>
      </c>
      <c r="H167" t="b">
        <f t="shared" ca="1" si="11"/>
        <v>0</v>
      </c>
      <c r="I167" t="b">
        <f t="shared" ca="1" si="12"/>
        <v>0</v>
      </c>
      <c r="J167" t="b">
        <f t="shared" ca="1" si="13"/>
        <v>1</v>
      </c>
      <c r="K167" t="b">
        <f t="shared" ca="1" si="14"/>
        <v>0</v>
      </c>
      <c r="L167" t="b">
        <f t="shared" ca="1" si="15"/>
        <v>0</v>
      </c>
      <c r="M167" t="b">
        <f t="shared" ca="1" si="16"/>
        <v>0</v>
      </c>
      <c r="N167" s="448"/>
      <c r="O167" s="464"/>
      <c r="R167" s="448"/>
      <c r="S167" s="464"/>
      <c r="V167" s="448"/>
      <c r="W167" s="464"/>
      <c r="Z167" s="448"/>
      <c r="AA167" s="464"/>
      <c r="AD167" s="448"/>
      <c r="AE167" s="464"/>
      <c r="AH167" s="448"/>
      <c r="AI167" s="464"/>
      <c r="AL167" s="448"/>
      <c r="AP167" s="448"/>
    </row>
    <row r="168" spans="1:42" ht="13">
      <c r="A168" s="462"/>
      <c r="B168" s="462"/>
      <c r="C168" t="str">
        <f ca="1">Filtered!I158</f>
        <v>The Cochrane Database of Systematic Reviews</v>
      </c>
      <c r="D168" t="str">
        <f ca="1">Filtered!J158</f>
        <v>Health &amp; Medical Sciences</v>
      </c>
      <c r="E168" t="str">
        <f ca="1">Filtered!AH158</f>
        <v>No preprint policy</v>
      </c>
      <c r="F168" t="b">
        <f t="shared" ca="1" si="9"/>
        <v>0</v>
      </c>
      <c r="G168" t="b">
        <f t="shared" ca="1" si="10"/>
        <v>0</v>
      </c>
      <c r="H168" t="b">
        <f t="shared" ca="1" si="11"/>
        <v>0</v>
      </c>
      <c r="I168" t="b">
        <f t="shared" ca="1" si="12"/>
        <v>1</v>
      </c>
      <c r="J168" t="b">
        <f t="shared" ca="1" si="13"/>
        <v>0</v>
      </c>
      <c r="K168" t="b">
        <f t="shared" ca="1" si="14"/>
        <v>0</v>
      </c>
      <c r="L168" t="b">
        <f t="shared" ca="1" si="15"/>
        <v>0</v>
      </c>
      <c r="M168" t="b">
        <f t="shared" ca="1" si="16"/>
        <v>0</v>
      </c>
      <c r="N168" s="448"/>
      <c r="O168" s="464"/>
      <c r="R168" s="448"/>
      <c r="S168" s="464"/>
      <c r="V168" s="448"/>
      <c r="W168" s="464"/>
      <c r="Z168" s="448"/>
      <c r="AA168" s="464"/>
      <c r="AD168" s="448"/>
      <c r="AE168" s="464"/>
      <c r="AH168" s="448"/>
      <c r="AI168" s="464"/>
      <c r="AL168" s="448"/>
      <c r="AP168" s="448"/>
    </row>
    <row r="169" spans="1:42" ht="13">
      <c r="A169" s="462"/>
      <c r="B169" s="462"/>
      <c r="C169" t="str">
        <f ca="1">Filtered!I159</f>
        <v>The European Physical Journal C</v>
      </c>
      <c r="D169" t="str">
        <f ca="1">Filtered!J159</f>
        <v>Physics &amp; Mathematics</v>
      </c>
      <c r="E169" t="str">
        <f ca="1">Filtered!AH159</f>
        <v>Any (OA) or After peer review (non-OA)</v>
      </c>
      <c r="F169" t="b">
        <f t="shared" ca="1" si="9"/>
        <v>0</v>
      </c>
      <c r="G169" t="b">
        <f t="shared" ca="1" si="10"/>
        <v>0</v>
      </c>
      <c r="H169" t="b">
        <f t="shared" ca="1" si="11"/>
        <v>0</v>
      </c>
      <c r="I169" t="b">
        <f t="shared" ca="1" si="12"/>
        <v>0</v>
      </c>
      <c r="J169" t="b">
        <f t="shared" ca="1" si="13"/>
        <v>0</v>
      </c>
      <c r="K169" t="b">
        <f t="shared" ca="1" si="14"/>
        <v>0</v>
      </c>
      <c r="L169" t="b">
        <f t="shared" ca="1" si="15"/>
        <v>1</v>
      </c>
      <c r="M169" t="b">
        <f t="shared" ca="1" si="16"/>
        <v>0</v>
      </c>
      <c r="N169" s="448"/>
      <c r="O169" s="464"/>
      <c r="R169" s="448"/>
      <c r="S169" s="464"/>
      <c r="V169" s="448"/>
      <c r="W169" s="464"/>
      <c r="Z169" s="448"/>
      <c r="AA169" s="464"/>
      <c r="AD169" s="448"/>
      <c r="AE169" s="464"/>
      <c r="AH169" s="448"/>
      <c r="AI169" s="464"/>
      <c r="AL169" s="448"/>
      <c r="AP169" s="448"/>
    </row>
    <row r="170" spans="1:42" ht="13">
      <c r="A170" s="462"/>
      <c r="B170" s="462"/>
      <c r="C170" t="str">
        <f ca="1">Filtered!I160</f>
        <v>The Journal of Clinical Investigation</v>
      </c>
      <c r="D170" t="str">
        <f ca="1">Filtered!J160</f>
        <v/>
      </c>
      <c r="E170" t="str">
        <f ca="1">Filtered!AH160</f>
        <v>Unsure</v>
      </c>
      <c r="F170" t="b">
        <f t="shared" ca="1" si="9"/>
        <v>0</v>
      </c>
      <c r="G170" t="b">
        <f t="shared" ca="1" si="10"/>
        <v>0</v>
      </c>
      <c r="H170" t="b">
        <f t="shared" ca="1" si="11"/>
        <v>0</v>
      </c>
      <c r="I170" t="b">
        <f t="shared" ca="1" si="12"/>
        <v>0</v>
      </c>
      <c r="J170" t="b">
        <f t="shared" ca="1" si="13"/>
        <v>0</v>
      </c>
      <c r="K170" t="b">
        <f t="shared" ca="1" si="14"/>
        <v>0</v>
      </c>
      <c r="L170" t="b">
        <f t="shared" ca="1" si="15"/>
        <v>0</v>
      </c>
      <c r="M170" t="b">
        <f t="shared" ca="1" si="16"/>
        <v>0</v>
      </c>
      <c r="N170" s="448"/>
      <c r="O170" s="464"/>
      <c r="R170" s="448"/>
      <c r="S170" s="464"/>
      <c r="V170" s="448"/>
      <c r="W170" s="464"/>
      <c r="Z170" s="448"/>
      <c r="AA170" s="464"/>
      <c r="AD170" s="448"/>
      <c r="AE170" s="464"/>
      <c r="AH170" s="448"/>
      <c r="AI170" s="464"/>
      <c r="AL170" s="448"/>
      <c r="AP170" s="448"/>
    </row>
    <row r="171" spans="1:42" ht="13">
      <c r="A171" s="462"/>
      <c r="B171" s="462"/>
      <c r="C171" t="str">
        <f ca="1">Filtered!I161</f>
        <v>The Journal of Finance</v>
      </c>
      <c r="D171" t="str">
        <f ca="1">Filtered!J161</f>
        <v>Business, Economics &amp; Management</v>
      </c>
      <c r="E171" t="str">
        <f ca="1">Filtered!AH161</f>
        <v>None "All submitted manuscripts must be; (i) original, (ii) unpublished (including any
 online publication), "</v>
      </c>
      <c r="F171" t="b">
        <f t="shared" ca="1" si="9"/>
        <v>1</v>
      </c>
      <c r="G171" t="b">
        <f t="shared" ca="1" si="10"/>
        <v>0</v>
      </c>
      <c r="H171" t="b">
        <f t="shared" ca="1" si="11"/>
        <v>0</v>
      </c>
      <c r="I171" t="b">
        <f t="shared" ca="1" si="12"/>
        <v>0</v>
      </c>
      <c r="J171" t="b">
        <f t="shared" ca="1" si="13"/>
        <v>0</v>
      </c>
      <c r="K171" t="b">
        <f t="shared" ca="1" si="14"/>
        <v>0</v>
      </c>
      <c r="L171" t="b">
        <f t="shared" ca="1" si="15"/>
        <v>0</v>
      </c>
      <c r="M171" t="b">
        <f t="shared" ca="1" si="16"/>
        <v>0</v>
      </c>
      <c r="N171" s="448"/>
      <c r="O171" s="464"/>
      <c r="R171" s="448"/>
      <c r="S171" s="464"/>
      <c r="V171" s="448"/>
      <c r="W171" s="464"/>
      <c r="Z171" s="448"/>
      <c r="AA171" s="464"/>
      <c r="AD171" s="448"/>
      <c r="AE171" s="464"/>
      <c r="AH171" s="448"/>
      <c r="AI171" s="464"/>
      <c r="AL171" s="448"/>
      <c r="AP171" s="448"/>
    </row>
    <row r="172" spans="1:42" ht="13">
      <c r="A172" s="462"/>
      <c r="B172" s="462"/>
      <c r="C172" t="str">
        <f ca="1">Filtered!I162</f>
        <v>The Journal of Physical Chemistry Letters</v>
      </c>
      <c r="D172" t="str">
        <f ca="1">Filtered!J162</f>
        <v>Physics &amp; Mathematics, Chemical &amp; Materials Sciences</v>
      </c>
      <c r="E172" t="str">
        <f ca="1">Filtered!AH162</f>
        <v>First submission only</v>
      </c>
      <c r="F172" t="b">
        <f t="shared" ca="1" si="9"/>
        <v>0</v>
      </c>
      <c r="G172" t="b">
        <f t="shared" ca="1" si="10"/>
        <v>1</v>
      </c>
      <c r="H172" t="b">
        <f t="shared" ca="1" si="11"/>
        <v>0</v>
      </c>
      <c r="I172" t="b">
        <f t="shared" ca="1" si="12"/>
        <v>0</v>
      </c>
      <c r="J172" t="b">
        <f t="shared" ca="1" si="13"/>
        <v>0</v>
      </c>
      <c r="K172" t="b">
        <f t="shared" ca="1" si="14"/>
        <v>0</v>
      </c>
      <c r="L172" t="b">
        <f t="shared" ca="1" si="15"/>
        <v>1</v>
      </c>
      <c r="M172" t="b">
        <f t="shared" ca="1" si="16"/>
        <v>0</v>
      </c>
      <c r="N172" s="448"/>
      <c r="O172" s="464"/>
      <c r="R172" s="448"/>
      <c r="S172" s="464"/>
      <c r="V172" s="448"/>
      <c r="W172" s="464"/>
      <c r="Z172" s="448"/>
      <c r="AA172" s="464"/>
      <c r="AD172" s="448"/>
      <c r="AE172" s="464"/>
      <c r="AH172" s="448"/>
      <c r="AI172" s="464"/>
      <c r="AL172" s="448"/>
      <c r="AP172" s="448"/>
    </row>
    <row r="173" spans="1:42" ht="13">
      <c r="A173" s="462"/>
      <c r="B173" s="462"/>
      <c r="C173" t="str">
        <f ca="1">Filtered!I163</f>
        <v>The Lancet</v>
      </c>
      <c r="D173" t="str">
        <f ca="1">Filtered!J163</f>
        <v>Health &amp; Medical Sciences</v>
      </c>
      <c r="E173" t="str">
        <f ca="1">Filtered!AH163</f>
        <v>Unsure</v>
      </c>
      <c r="F173" t="b">
        <f t="shared" ca="1" si="9"/>
        <v>0</v>
      </c>
      <c r="G173" t="b">
        <f t="shared" ca="1" si="10"/>
        <v>0</v>
      </c>
      <c r="H173" t="b">
        <f t="shared" ca="1" si="11"/>
        <v>0</v>
      </c>
      <c r="I173" t="b">
        <f t="shared" ca="1" si="12"/>
        <v>1</v>
      </c>
      <c r="J173" t="b">
        <f t="shared" ca="1" si="13"/>
        <v>0</v>
      </c>
      <c r="K173" t="b">
        <f t="shared" ca="1" si="14"/>
        <v>0</v>
      </c>
      <c r="L173" t="b">
        <f t="shared" ca="1" si="15"/>
        <v>0</v>
      </c>
      <c r="M173" t="b">
        <f t="shared" ca="1" si="16"/>
        <v>0</v>
      </c>
      <c r="N173" s="448"/>
      <c r="O173" s="464"/>
      <c r="R173" s="448"/>
      <c r="S173" s="464"/>
      <c r="V173" s="448"/>
      <c r="W173" s="464"/>
      <c r="Z173" s="448"/>
      <c r="AA173" s="464"/>
      <c r="AD173" s="448"/>
      <c r="AE173" s="464"/>
      <c r="AH173" s="448"/>
      <c r="AI173" s="464"/>
      <c r="AL173" s="448"/>
      <c r="AP173" s="448"/>
    </row>
    <row r="174" spans="1:42" ht="13">
      <c r="A174" s="462"/>
      <c r="B174" s="462"/>
      <c r="C174" t="str">
        <f ca="1">Filtered!I164</f>
        <v>The Lancet Neurology</v>
      </c>
      <c r="D174" t="str">
        <f ca="1">Filtered!J164</f>
        <v/>
      </c>
      <c r="E174" t="str">
        <f ca="1">Filtered!AH164</f>
        <v>Unsure</v>
      </c>
      <c r="F174" t="b">
        <f t="shared" ca="1" si="9"/>
        <v>0</v>
      </c>
      <c r="G174" t="b">
        <f t="shared" ca="1" si="10"/>
        <v>0</v>
      </c>
      <c r="H174" t="b">
        <f t="shared" ca="1" si="11"/>
        <v>0</v>
      </c>
      <c r="I174" t="b">
        <f t="shared" ca="1" si="12"/>
        <v>0</v>
      </c>
      <c r="J174" t="b">
        <f t="shared" ca="1" si="13"/>
        <v>0</v>
      </c>
      <c r="K174" t="b">
        <f t="shared" ca="1" si="14"/>
        <v>0</v>
      </c>
      <c r="L174" t="b">
        <f t="shared" ca="1" si="15"/>
        <v>0</v>
      </c>
      <c r="M174" t="b">
        <f t="shared" ca="1" si="16"/>
        <v>0</v>
      </c>
      <c r="N174" s="448"/>
      <c r="O174" s="464"/>
      <c r="R174" s="448"/>
      <c r="S174" s="464"/>
      <c r="V174" s="448"/>
      <c r="W174" s="464"/>
      <c r="Z174" s="448"/>
      <c r="AA174" s="464"/>
      <c r="AD174" s="448"/>
      <c r="AE174" s="464"/>
      <c r="AH174" s="448"/>
      <c r="AI174" s="464"/>
      <c r="AL174" s="448"/>
      <c r="AP174" s="448"/>
    </row>
    <row r="175" spans="1:42" ht="13">
      <c r="A175" s="462"/>
      <c r="B175" s="462"/>
      <c r="C175" t="str">
        <f ca="1">Filtered!I165</f>
        <v>The Lancet Oncology</v>
      </c>
      <c r="D175" t="str">
        <f ca="1">Filtered!J165</f>
        <v>Health &amp; Medical Sciences</v>
      </c>
      <c r="E175" t="str">
        <f ca="1">Filtered!AH165</f>
        <v>First submission only</v>
      </c>
      <c r="F175" t="b">
        <f t="shared" ca="1" si="9"/>
        <v>0</v>
      </c>
      <c r="G175" t="b">
        <f t="shared" ca="1" si="10"/>
        <v>0</v>
      </c>
      <c r="H175" t="b">
        <f t="shared" ca="1" si="11"/>
        <v>0</v>
      </c>
      <c r="I175" t="b">
        <f t="shared" ca="1" si="12"/>
        <v>1</v>
      </c>
      <c r="J175" t="b">
        <f t="shared" ca="1" si="13"/>
        <v>0</v>
      </c>
      <c r="K175" t="b">
        <f t="shared" ca="1" si="14"/>
        <v>0</v>
      </c>
      <c r="L175" t="b">
        <f t="shared" ca="1" si="15"/>
        <v>0</v>
      </c>
      <c r="M175" t="b">
        <f t="shared" ca="1" si="16"/>
        <v>0</v>
      </c>
      <c r="N175" s="448"/>
      <c r="O175" s="464"/>
      <c r="R175" s="448"/>
      <c r="S175" s="464"/>
      <c r="V175" s="448"/>
      <c r="W175" s="464"/>
      <c r="Z175" s="448"/>
      <c r="AA175" s="464"/>
      <c r="AD175" s="448"/>
      <c r="AE175" s="464"/>
      <c r="AH175" s="448"/>
      <c r="AI175" s="464"/>
      <c r="AL175" s="448"/>
      <c r="AP175" s="448"/>
    </row>
    <row r="176" spans="1:42" ht="13">
      <c r="A176" s="462"/>
      <c r="B176" s="462"/>
      <c r="C176" t="str">
        <f ca="1">Filtered!I166</f>
        <v>The Modern Language Journal</v>
      </c>
      <c r="D176" t="str">
        <f ca="1">Filtered!J166</f>
        <v>Humanities, Literature &amp; Arts</v>
      </c>
      <c r="E176" t="str">
        <f ca="1">Filtered!AH166</f>
        <v>No preprint policy</v>
      </c>
      <c r="F176" t="b">
        <f t="shared" ca="1" si="9"/>
        <v>0</v>
      </c>
      <c r="G176" t="b">
        <f t="shared" ca="1" si="10"/>
        <v>0</v>
      </c>
      <c r="H176" t="b">
        <f t="shared" ca="1" si="11"/>
        <v>0</v>
      </c>
      <c r="I176" t="b">
        <f t="shared" ca="1" si="12"/>
        <v>0</v>
      </c>
      <c r="J176" t="b">
        <f t="shared" ca="1" si="13"/>
        <v>1</v>
      </c>
      <c r="K176" t="b">
        <f t="shared" ca="1" si="14"/>
        <v>0</v>
      </c>
      <c r="L176" t="b">
        <f t="shared" ca="1" si="15"/>
        <v>0</v>
      </c>
      <c r="M176" t="b">
        <f t="shared" ca="1" si="16"/>
        <v>0</v>
      </c>
      <c r="N176" s="448"/>
      <c r="O176" s="464"/>
      <c r="R176" s="448"/>
      <c r="S176" s="464"/>
      <c r="V176" s="448"/>
      <c r="W176" s="464"/>
      <c r="Z176" s="448"/>
      <c r="AA176" s="464"/>
      <c r="AD176" s="448"/>
      <c r="AE176" s="464"/>
      <c r="AH176" s="448"/>
      <c r="AI176" s="464"/>
      <c r="AL176" s="448"/>
      <c r="AP176" s="448"/>
    </row>
    <row r="177" spans="1:42" ht="13">
      <c r="A177" s="462"/>
      <c r="B177" s="462"/>
      <c r="C177" t="str">
        <f ca="1">Filtered!I167</f>
        <v>The New England Journal of Medicine</v>
      </c>
      <c r="D177" t="str">
        <f ca="1">Filtered!J167</f>
        <v>Health &amp; Medical Sciences</v>
      </c>
      <c r="E177" t="str">
        <f ca="1">Filtered!AH167</f>
        <v>None (preprints not allowed)</v>
      </c>
      <c r="F177" t="b">
        <f t="shared" ca="1" si="9"/>
        <v>0</v>
      </c>
      <c r="G177" t="b">
        <f t="shared" ca="1" si="10"/>
        <v>0</v>
      </c>
      <c r="H177" t="b">
        <f t="shared" ca="1" si="11"/>
        <v>0</v>
      </c>
      <c r="I177" t="b">
        <f t="shared" ca="1" si="12"/>
        <v>1</v>
      </c>
      <c r="J177" t="b">
        <f t="shared" ca="1" si="13"/>
        <v>0</v>
      </c>
      <c r="K177" t="b">
        <f t="shared" ca="1" si="14"/>
        <v>0</v>
      </c>
      <c r="L177" t="b">
        <f t="shared" ca="1" si="15"/>
        <v>0</v>
      </c>
      <c r="M177" t="b">
        <f t="shared" ca="1" si="16"/>
        <v>0</v>
      </c>
      <c r="N177" s="448"/>
      <c r="O177" s="464"/>
      <c r="R177" s="448"/>
      <c r="S177" s="464"/>
      <c r="V177" s="448"/>
      <c r="W177" s="464"/>
      <c r="Z177" s="448"/>
      <c r="AA177" s="464"/>
      <c r="AD177" s="448"/>
      <c r="AE177" s="464"/>
      <c r="AH177" s="448"/>
      <c r="AI177" s="464"/>
      <c r="AL177" s="448"/>
      <c r="AP177" s="448"/>
    </row>
    <row r="178" spans="1:42" ht="13">
      <c r="A178" s="462"/>
      <c r="B178" s="462"/>
      <c r="C178" t="str">
        <f ca="1">Filtered!I168</f>
        <v>The Quarterly Journal of Economics</v>
      </c>
      <c r="D178" t="str">
        <f ca="1">Filtered!J168</f>
        <v>Business, Economics &amp; Management</v>
      </c>
      <c r="E178" t="str">
        <f ca="1">Filtered!AH168</f>
        <v>First submission only (before peer review)</v>
      </c>
      <c r="F178" t="b">
        <f t="shared" ca="1" si="9"/>
        <v>1</v>
      </c>
      <c r="G178" t="b">
        <f t="shared" ca="1" si="10"/>
        <v>0</v>
      </c>
      <c r="H178" t="b">
        <f t="shared" ca="1" si="11"/>
        <v>0</v>
      </c>
      <c r="I178" t="b">
        <f t="shared" ca="1" si="12"/>
        <v>0</v>
      </c>
      <c r="J178" t="b">
        <f t="shared" ca="1" si="13"/>
        <v>0</v>
      </c>
      <c r="K178" t="b">
        <f t="shared" ca="1" si="14"/>
        <v>0</v>
      </c>
      <c r="L178" t="b">
        <f t="shared" ca="1" si="15"/>
        <v>0</v>
      </c>
      <c r="M178" t="b">
        <f t="shared" ca="1" si="16"/>
        <v>0</v>
      </c>
      <c r="N178" s="448"/>
      <c r="O178" s="464"/>
      <c r="R178" s="448"/>
      <c r="S178" s="464"/>
      <c r="V178" s="448"/>
      <c r="W178" s="464"/>
      <c r="Z178" s="448"/>
      <c r="AA178" s="464"/>
      <c r="AD178" s="448"/>
      <c r="AE178" s="464"/>
      <c r="AH178" s="448"/>
      <c r="AI178" s="464"/>
      <c r="AL178" s="448"/>
      <c r="AP178" s="448"/>
    </row>
    <row r="179" spans="1:42" ht="13">
      <c r="A179" s="462"/>
      <c r="B179" s="462"/>
      <c r="C179" t="str">
        <f ca="1">Filtered!I169</f>
        <v>The Review of Economic Studies</v>
      </c>
      <c r="D179" t="str">
        <f ca="1">Filtered!J169</f>
        <v>Business, Economics &amp; Management</v>
      </c>
      <c r="E179" t="str">
        <f ca="1">Filtered!AH169</f>
        <v>First submission only (before peer review)</v>
      </c>
      <c r="F179" t="b">
        <f t="shared" ca="1" si="9"/>
        <v>1</v>
      </c>
      <c r="G179" t="b">
        <f t="shared" ca="1" si="10"/>
        <v>0</v>
      </c>
      <c r="H179" t="b">
        <f t="shared" ca="1" si="11"/>
        <v>0</v>
      </c>
      <c r="I179" t="b">
        <f t="shared" ca="1" si="12"/>
        <v>0</v>
      </c>
      <c r="J179" t="b">
        <f t="shared" ca="1" si="13"/>
        <v>0</v>
      </c>
      <c r="K179" t="b">
        <f t="shared" ca="1" si="14"/>
        <v>0</v>
      </c>
      <c r="L179" t="b">
        <f t="shared" ca="1" si="15"/>
        <v>0</v>
      </c>
      <c r="M179" t="b">
        <f t="shared" ca="1" si="16"/>
        <v>0</v>
      </c>
      <c r="N179" s="448"/>
      <c r="O179" s="464"/>
      <c r="R179" s="448"/>
      <c r="S179" s="464"/>
      <c r="V179" s="448"/>
      <c r="W179" s="464"/>
      <c r="Z179" s="448"/>
      <c r="AA179" s="464"/>
      <c r="AD179" s="448"/>
      <c r="AE179" s="464"/>
      <c r="AH179" s="448"/>
      <c r="AI179" s="464"/>
      <c r="AL179" s="448"/>
      <c r="AP179" s="448"/>
    </row>
    <row r="180" spans="1:42" ht="13">
      <c r="A180" s="462"/>
      <c r="B180" s="462"/>
      <c r="C180" t="str">
        <f ca="1">Filtered!I170</f>
        <v>The Review of Financial Studies</v>
      </c>
      <c r="D180" t="str">
        <f ca="1">Filtered!J170</f>
        <v>Business, Economics &amp; Management</v>
      </c>
      <c r="E180" t="str">
        <f ca="1">Filtered!AH170</f>
        <v>After peer review (but not final, copyedited version)</v>
      </c>
      <c r="F180" t="b">
        <f t="shared" ca="1" si="9"/>
        <v>1</v>
      </c>
      <c r="G180" t="b">
        <f t="shared" ca="1" si="10"/>
        <v>0</v>
      </c>
      <c r="H180" t="b">
        <f t="shared" ca="1" si="11"/>
        <v>0</v>
      </c>
      <c r="I180" t="b">
        <f t="shared" ca="1" si="12"/>
        <v>0</v>
      </c>
      <c r="J180" t="b">
        <f t="shared" ca="1" si="13"/>
        <v>0</v>
      </c>
      <c r="K180" t="b">
        <f t="shared" ca="1" si="14"/>
        <v>0</v>
      </c>
      <c r="L180" t="b">
        <f t="shared" ca="1" si="15"/>
        <v>0</v>
      </c>
      <c r="M180" t="b">
        <f t="shared" ca="1" si="16"/>
        <v>0</v>
      </c>
      <c r="N180" s="448"/>
      <c r="O180" s="464"/>
      <c r="R180" s="448"/>
      <c r="S180" s="464"/>
      <c r="V180" s="448"/>
      <c r="W180" s="464"/>
      <c r="Z180" s="448"/>
      <c r="AA180" s="464"/>
      <c r="AD180" s="448"/>
      <c r="AE180" s="464"/>
      <c r="AH180" s="448"/>
      <c r="AI180" s="464"/>
      <c r="AL180" s="448"/>
      <c r="AP180" s="448"/>
    </row>
    <row r="181" spans="1:42" ht="13">
      <c r="A181" s="462"/>
      <c r="B181" s="462"/>
      <c r="C181" t="str">
        <f ca="1">Filtered!I171</f>
        <v>Tourism Management</v>
      </c>
      <c r="D181" t="str">
        <f ca="1">Filtered!J171</f>
        <v>Business, Economics &amp; Management</v>
      </c>
      <c r="E181" t="str">
        <f ca="1">Filtered!AH171</f>
        <v>First submission only (before peer review)</v>
      </c>
      <c r="F181" t="b">
        <f t="shared" ca="1" si="9"/>
        <v>1</v>
      </c>
      <c r="G181" t="b">
        <f t="shared" ca="1" si="10"/>
        <v>0</v>
      </c>
      <c r="H181" t="b">
        <f t="shared" ca="1" si="11"/>
        <v>0</v>
      </c>
      <c r="I181" t="b">
        <f t="shared" ca="1" si="12"/>
        <v>0</v>
      </c>
      <c r="J181" t="b">
        <f t="shared" ca="1" si="13"/>
        <v>0</v>
      </c>
      <c r="K181" t="b">
        <f t="shared" ca="1" si="14"/>
        <v>0</v>
      </c>
      <c r="L181" t="b">
        <f t="shared" ca="1" si="15"/>
        <v>0</v>
      </c>
      <c r="M181" t="b">
        <f t="shared" ca="1" si="16"/>
        <v>0</v>
      </c>
      <c r="N181" s="448"/>
      <c r="O181" s="464"/>
      <c r="R181" s="448"/>
      <c r="S181" s="464"/>
      <c r="V181" s="448"/>
      <c r="W181" s="464"/>
      <c r="Z181" s="448"/>
      <c r="AA181" s="464"/>
      <c r="AD181" s="448"/>
      <c r="AE181" s="464"/>
      <c r="AH181" s="448"/>
      <c r="AI181" s="464"/>
      <c r="AL181" s="448"/>
      <c r="AP181" s="448"/>
    </row>
    <row r="182" spans="1:42" ht="13">
      <c r="A182" s="462"/>
      <c r="B182" s="462"/>
      <c r="C182" t="str">
        <f ca="1">Filtered!I172</f>
        <v>World Development</v>
      </c>
      <c r="D182" t="str">
        <f ca="1">Filtered!J172</f>
        <v>Business, Economics &amp; Management</v>
      </c>
      <c r="E182" t="str">
        <f ca="1">Filtered!AH172</f>
        <v>Unsure (preprints are allowed, but it's not clear what version)</v>
      </c>
      <c r="F182" t="b">
        <f t="shared" ca="1" si="9"/>
        <v>1</v>
      </c>
      <c r="G182" t="b">
        <f t="shared" ca="1" si="10"/>
        <v>0</v>
      </c>
      <c r="H182" t="b">
        <f t="shared" ca="1" si="11"/>
        <v>0</v>
      </c>
      <c r="I182" t="b">
        <f t="shared" ca="1" si="12"/>
        <v>0</v>
      </c>
      <c r="J182" t="b">
        <f t="shared" ca="1" si="13"/>
        <v>0</v>
      </c>
      <c r="K182" t="b">
        <f t="shared" ca="1" si="14"/>
        <v>0</v>
      </c>
      <c r="L182" t="b">
        <f t="shared" ca="1" si="15"/>
        <v>0</v>
      </c>
      <c r="M182" t="b">
        <f t="shared" ca="1" si="16"/>
        <v>0</v>
      </c>
      <c r="N182" s="448"/>
      <c r="O182" s="464"/>
      <c r="R182" s="448"/>
      <c r="S182" s="464"/>
      <c r="V182" s="448"/>
      <c r="W182" s="464"/>
      <c r="Z182" s="448"/>
      <c r="AA182" s="464"/>
      <c r="AD182" s="448"/>
      <c r="AE182" s="464"/>
      <c r="AH182" s="448"/>
      <c r="AI182" s="464"/>
      <c r="AL182" s="448"/>
      <c r="AP182" s="448"/>
    </row>
    <row r="183" spans="1:42" ht="13">
      <c r="A183" s="462"/>
      <c r="B183" s="462"/>
      <c r="C183">
        <f>Filtered!I173</f>
        <v>0</v>
      </c>
      <c r="D183">
        <f>Filtered!J173</f>
        <v>0</v>
      </c>
      <c r="E183">
        <f>Filtered!AH173</f>
        <v>0</v>
      </c>
      <c r="N183" s="448"/>
      <c r="O183" s="464"/>
      <c r="R183" s="448"/>
      <c r="S183" s="464"/>
      <c r="V183" s="448"/>
      <c r="W183" s="464"/>
      <c r="Z183" s="448"/>
      <c r="AA183" s="464"/>
      <c r="AD183" s="448"/>
      <c r="AE183" s="464"/>
      <c r="AH183" s="448"/>
      <c r="AI183" s="464"/>
      <c r="AL183" s="448"/>
      <c r="AP183" s="448"/>
    </row>
    <row r="184" spans="1:42" ht="13">
      <c r="A184" s="462"/>
      <c r="B184" s="462"/>
      <c r="C184">
        <f>Filtered!I174</f>
        <v>0</v>
      </c>
      <c r="D184">
        <f>Filtered!J174</f>
        <v>0</v>
      </c>
      <c r="E184">
        <f>Filtered!AH174</f>
        <v>0</v>
      </c>
      <c r="N184" s="448"/>
      <c r="O184" s="464"/>
      <c r="R184" s="448"/>
      <c r="S184" s="464"/>
      <c r="V184" s="448"/>
      <c r="W184" s="464"/>
      <c r="Z184" s="448"/>
      <c r="AA184" s="464"/>
      <c r="AD184" s="448"/>
      <c r="AE184" s="464"/>
      <c r="AH184" s="448"/>
      <c r="AI184" s="464"/>
      <c r="AL184" s="448"/>
      <c r="AP184" s="448"/>
    </row>
    <row r="185" spans="1:42" ht="13">
      <c r="A185" s="462"/>
      <c r="B185" s="462"/>
      <c r="C185">
        <f>Filtered!I175</f>
        <v>0</v>
      </c>
      <c r="D185">
        <f>Filtered!J175</f>
        <v>0</v>
      </c>
      <c r="E185">
        <f>Filtered!AH175</f>
        <v>0</v>
      </c>
      <c r="N185" s="448"/>
      <c r="O185" s="464"/>
      <c r="R185" s="448"/>
      <c r="S185" s="464"/>
      <c r="V185" s="448"/>
      <c r="W185" s="464"/>
      <c r="Z185" s="448"/>
      <c r="AA185" s="464"/>
      <c r="AD185" s="448"/>
      <c r="AE185" s="464"/>
      <c r="AH185" s="448"/>
      <c r="AI185" s="464"/>
      <c r="AL185" s="448"/>
      <c r="AP185" s="448"/>
    </row>
    <row r="186" spans="1:42" ht="13">
      <c r="A186" s="462"/>
      <c r="B186" s="462"/>
      <c r="C186">
        <f>Filtered!I176</f>
        <v>0</v>
      </c>
      <c r="D186">
        <f>Filtered!J176</f>
        <v>0</v>
      </c>
      <c r="E186">
        <f>Filtered!AH176</f>
        <v>0</v>
      </c>
      <c r="N186" s="448"/>
      <c r="O186" s="464"/>
      <c r="R186" s="448"/>
      <c r="S186" s="464"/>
      <c r="V186" s="448"/>
      <c r="W186" s="464"/>
      <c r="Z186" s="448"/>
      <c r="AA186" s="464"/>
      <c r="AD186" s="448"/>
      <c r="AE186" s="464"/>
      <c r="AH186" s="448"/>
      <c r="AI186" s="464"/>
      <c r="AL186" s="448"/>
      <c r="AP186" s="448"/>
    </row>
    <row r="187" spans="1:42" ht="13">
      <c r="A187" s="462"/>
      <c r="B187" s="462"/>
      <c r="C187">
        <f>Filtered!I177</f>
        <v>0</v>
      </c>
      <c r="D187">
        <f>Filtered!J177</f>
        <v>0</v>
      </c>
      <c r="E187">
        <f>Filtered!AH177</f>
        <v>0</v>
      </c>
      <c r="N187" s="448"/>
      <c r="O187" s="464"/>
      <c r="R187" s="448"/>
      <c r="S187" s="464"/>
      <c r="V187" s="448"/>
      <c r="W187" s="464"/>
      <c r="Z187" s="448"/>
      <c r="AA187" s="464"/>
      <c r="AD187" s="448"/>
      <c r="AE187" s="464"/>
      <c r="AH187" s="448"/>
      <c r="AI187" s="464"/>
      <c r="AL187" s="448"/>
      <c r="AP187" s="448"/>
    </row>
    <row r="188" spans="1:42" ht="13">
      <c r="A188" s="462"/>
      <c r="B188" s="462"/>
      <c r="C188">
        <f>Filtered!I178</f>
        <v>0</v>
      </c>
      <c r="D188">
        <f>Filtered!J178</f>
        <v>0</v>
      </c>
      <c r="E188">
        <f>Filtered!AH178</f>
        <v>0</v>
      </c>
      <c r="N188" s="448"/>
      <c r="O188" s="464"/>
      <c r="R188" s="448"/>
      <c r="S188" s="464"/>
      <c r="V188" s="448"/>
      <c r="W188" s="464"/>
      <c r="Z188" s="448"/>
      <c r="AA188" s="464"/>
      <c r="AD188" s="448"/>
      <c r="AE188" s="464"/>
      <c r="AH188" s="448"/>
      <c r="AI188" s="464"/>
      <c r="AL188" s="448"/>
      <c r="AP188" s="448"/>
    </row>
    <row r="189" spans="1:42" ht="13">
      <c r="A189" s="462"/>
      <c r="B189" s="462"/>
      <c r="C189">
        <f>Filtered!I179</f>
        <v>0</v>
      </c>
      <c r="D189">
        <f>Filtered!J179</f>
        <v>0</v>
      </c>
      <c r="E189">
        <f>Filtered!AH179</f>
        <v>0</v>
      </c>
      <c r="N189" s="448"/>
      <c r="O189" s="464"/>
      <c r="R189" s="448"/>
      <c r="S189" s="464"/>
      <c r="V189" s="448"/>
      <c r="W189" s="464"/>
      <c r="Z189" s="448"/>
      <c r="AA189" s="464"/>
      <c r="AD189" s="448"/>
      <c r="AE189" s="464"/>
      <c r="AH189" s="448"/>
      <c r="AI189" s="464"/>
      <c r="AL189" s="448"/>
      <c r="AP189" s="448"/>
    </row>
    <row r="190" spans="1:42" ht="13">
      <c r="A190" s="462"/>
      <c r="B190" s="462"/>
      <c r="C190">
        <f>Filtered!I180</f>
        <v>0</v>
      </c>
      <c r="D190">
        <f>Filtered!J180</f>
        <v>0</v>
      </c>
      <c r="E190">
        <f>Filtered!AH180</f>
        <v>0</v>
      </c>
      <c r="N190" s="448"/>
      <c r="O190" s="464"/>
      <c r="R190" s="448"/>
      <c r="S190" s="464"/>
      <c r="V190" s="448"/>
      <c r="W190" s="464"/>
      <c r="Z190" s="448"/>
      <c r="AA190" s="464"/>
      <c r="AD190" s="448"/>
      <c r="AE190" s="464"/>
      <c r="AH190" s="448"/>
      <c r="AI190" s="464"/>
      <c r="AL190" s="448"/>
      <c r="AP190" s="448"/>
    </row>
    <row r="191" spans="1:42" ht="13">
      <c r="A191" s="462"/>
      <c r="B191" s="462"/>
      <c r="C191">
        <f>Filtered!I181</f>
        <v>0</v>
      </c>
      <c r="D191">
        <f>Filtered!J181</f>
        <v>0</v>
      </c>
      <c r="E191">
        <f>Filtered!AH181</f>
        <v>0</v>
      </c>
      <c r="N191" s="448"/>
      <c r="O191" s="464"/>
      <c r="R191" s="448"/>
      <c r="S191" s="464"/>
      <c r="V191" s="448"/>
      <c r="W191" s="464"/>
      <c r="Z191" s="448"/>
      <c r="AA191" s="464"/>
      <c r="AD191" s="448"/>
      <c r="AE191" s="464"/>
      <c r="AH191" s="448"/>
      <c r="AI191" s="464"/>
      <c r="AL191" s="448"/>
      <c r="AP191" s="448"/>
    </row>
    <row r="192" spans="1:42" ht="13">
      <c r="A192" s="462"/>
      <c r="B192" s="462"/>
      <c r="C192">
        <f>Filtered!I182</f>
        <v>0</v>
      </c>
      <c r="D192">
        <f>Filtered!J182</f>
        <v>0</v>
      </c>
      <c r="E192">
        <f>Filtered!AH182</f>
        <v>0</v>
      </c>
      <c r="N192" s="448"/>
      <c r="O192" s="464"/>
      <c r="R192" s="448"/>
      <c r="S192" s="464"/>
      <c r="V192" s="448"/>
      <c r="W192" s="464"/>
      <c r="Z192" s="448"/>
      <c r="AA192" s="464"/>
      <c r="AD192" s="448"/>
      <c r="AE192" s="464"/>
      <c r="AH192" s="448"/>
      <c r="AI192" s="464"/>
      <c r="AL192" s="448"/>
      <c r="AP192" s="448"/>
    </row>
    <row r="193" spans="1:42" ht="13">
      <c r="A193" s="462"/>
      <c r="B193" s="462"/>
      <c r="C193">
        <f>Filtered!I183</f>
        <v>0</v>
      </c>
      <c r="D193">
        <f>Filtered!J183</f>
        <v>0</v>
      </c>
      <c r="E193">
        <f>Filtered!AH183</f>
        <v>0</v>
      </c>
      <c r="N193" s="448"/>
      <c r="O193" s="464"/>
      <c r="R193" s="448"/>
      <c r="S193" s="464"/>
      <c r="V193" s="448"/>
      <c r="W193" s="464"/>
      <c r="Z193" s="448"/>
      <c r="AA193" s="464"/>
      <c r="AD193" s="448"/>
      <c r="AE193" s="464"/>
      <c r="AH193" s="448"/>
      <c r="AI193" s="464"/>
      <c r="AL193" s="448"/>
      <c r="AP193" s="448"/>
    </row>
    <row r="194" spans="1:42" ht="13">
      <c r="A194" s="462"/>
      <c r="B194" s="462"/>
      <c r="C194">
        <f>Filtered!I184</f>
        <v>0</v>
      </c>
      <c r="D194">
        <f>Filtered!J184</f>
        <v>0</v>
      </c>
      <c r="E194">
        <f>Filtered!AH184</f>
        <v>0</v>
      </c>
      <c r="N194" s="448"/>
      <c r="O194" s="464"/>
      <c r="R194" s="448"/>
      <c r="S194" s="464"/>
      <c r="V194" s="448"/>
      <c r="W194" s="464"/>
      <c r="Z194" s="448"/>
      <c r="AA194" s="464"/>
      <c r="AD194" s="448"/>
      <c r="AE194" s="464"/>
      <c r="AH194" s="448"/>
      <c r="AI194" s="464"/>
      <c r="AL194" s="448"/>
      <c r="AP194" s="448"/>
    </row>
    <row r="195" spans="1:42" ht="13">
      <c r="A195" s="462"/>
      <c r="B195" s="462"/>
      <c r="C195">
        <f>Filtered!I185</f>
        <v>0</v>
      </c>
      <c r="D195">
        <f>Filtered!J185</f>
        <v>0</v>
      </c>
      <c r="E195">
        <f>Filtered!AI185</f>
        <v>0</v>
      </c>
      <c r="N195" s="448"/>
      <c r="O195" s="464"/>
      <c r="R195" s="448"/>
      <c r="S195" s="464"/>
      <c r="V195" s="448"/>
      <c r="W195" s="464"/>
      <c r="Z195" s="448"/>
      <c r="AA195" s="464"/>
      <c r="AD195" s="448"/>
      <c r="AE195" s="464"/>
      <c r="AH195" s="448"/>
      <c r="AI195" s="464"/>
      <c r="AL195" s="448"/>
      <c r="AP195" s="448"/>
    </row>
    <row r="196" spans="1:42" ht="13">
      <c r="A196" s="462"/>
      <c r="B196" s="462"/>
      <c r="C196">
        <f>Filtered!I186</f>
        <v>0</v>
      </c>
      <c r="D196">
        <f>Filtered!J186</f>
        <v>0</v>
      </c>
      <c r="E196">
        <f>Filtered!L186</f>
        <v>0</v>
      </c>
      <c r="N196" s="448"/>
      <c r="O196" s="464"/>
      <c r="R196" s="448"/>
      <c r="S196" s="464"/>
      <c r="V196" s="448"/>
      <c r="W196" s="464"/>
      <c r="Z196" s="448"/>
      <c r="AA196" s="464"/>
      <c r="AD196" s="448"/>
      <c r="AE196" s="464"/>
      <c r="AH196" s="448"/>
      <c r="AI196" s="464"/>
      <c r="AL196" s="448"/>
      <c r="AP196" s="448"/>
    </row>
    <row r="197" spans="1:42" ht="13">
      <c r="A197" s="462"/>
      <c r="B197" s="462"/>
      <c r="N197" s="448"/>
      <c r="O197" s="464"/>
      <c r="R197" s="448"/>
      <c r="S197" s="464"/>
      <c r="V197" s="448"/>
      <c r="W197" s="464"/>
      <c r="Z197" s="448"/>
      <c r="AA197" s="464"/>
      <c r="AD197" s="448"/>
      <c r="AE197" s="464"/>
      <c r="AH197" s="448"/>
      <c r="AI197" s="464"/>
      <c r="AL197" s="448"/>
      <c r="AP197" s="448"/>
    </row>
    <row r="198" spans="1:42" ht="13">
      <c r="A198" s="462"/>
      <c r="B198" s="462"/>
      <c r="N198" s="448"/>
      <c r="O198" s="464"/>
      <c r="R198" s="448"/>
      <c r="S198" s="464"/>
      <c r="V198" s="448"/>
      <c r="W198" s="464"/>
      <c r="Z198" s="448"/>
      <c r="AA198" s="464"/>
      <c r="AD198" s="448"/>
      <c r="AE198" s="464"/>
      <c r="AH198" s="448"/>
      <c r="AI198" s="464"/>
      <c r="AL198" s="448"/>
      <c r="AP198" s="448"/>
    </row>
    <row r="199" spans="1:42" ht="13">
      <c r="A199" s="462"/>
      <c r="B199" s="462"/>
      <c r="N199" s="448"/>
      <c r="O199" s="464"/>
      <c r="R199" s="448"/>
      <c r="S199" s="464"/>
      <c r="V199" s="448"/>
      <c r="W199" s="464"/>
      <c r="Z199" s="448"/>
      <c r="AA199" s="464"/>
      <c r="AD199" s="448"/>
      <c r="AE199" s="464"/>
      <c r="AH199" s="448"/>
      <c r="AI199" s="464"/>
      <c r="AL199" s="448"/>
      <c r="AP199" s="448"/>
    </row>
    <row r="200" spans="1:42" ht="13">
      <c r="A200" s="462"/>
      <c r="B200" s="462"/>
      <c r="N200" s="448"/>
      <c r="O200" s="464"/>
      <c r="R200" s="448"/>
      <c r="S200" s="464"/>
      <c r="V200" s="448"/>
      <c r="W200" s="464"/>
      <c r="Z200" s="448"/>
      <c r="AA200" s="464"/>
      <c r="AD200" s="448"/>
      <c r="AE200" s="464"/>
      <c r="AH200" s="448"/>
      <c r="AI200" s="464"/>
      <c r="AL200" s="448"/>
      <c r="AP200" s="448"/>
    </row>
    <row r="201" spans="1:42" ht="13">
      <c r="A201" s="462"/>
      <c r="B201" s="462"/>
      <c r="N201" s="448"/>
      <c r="O201" s="464"/>
      <c r="R201" s="448"/>
      <c r="S201" s="464"/>
      <c r="V201" s="448"/>
      <c r="W201" s="464"/>
      <c r="Z201" s="448"/>
      <c r="AA201" s="464"/>
      <c r="AD201" s="448"/>
      <c r="AE201" s="464"/>
      <c r="AH201" s="448"/>
      <c r="AI201" s="464"/>
      <c r="AL201" s="448"/>
      <c r="AP201" s="448"/>
    </row>
    <row r="202" spans="1:42" ht="13">
      <c r="A202" s="462"/>
      <c r="B202" s="462"/>
      <c r="N202" s="448"/>
      <c r="O202" s="464"/>
      <c r="R202" s="448"/>
      <c r="S202" s="464"/>
      <c r="V202" s="448"/>
      <c r="W202" s="464"/>
      <c r="Z202" s="448"/>
      <c r="AA202" s="464"/>
      <c r="AD202" s="448"/>
      <c r="AE202" s="464"/>
      <c r="AH202" s="448"/>
      <c r="AI202" s="464"/>
      <c r="AL202" s="448"/>
      <c r="AP202" s="448"/>
    </row>
    <row r="203" spans="1:42" ht="13">
      <c r="A203" s="462"/>
      <c r="B203" s="462"/>
      <c r="N203" s="448"/>
      <c r="O203" s="464"/>
      <c r="R203" s="448"/>
      <c r="S203" s="464"/>
      <c r="V203" s="448"/>
      <c r="W203" s="464"/>
      <c r="Z203" s="448"/>
      <c r="AA203" s="464"/>
      <c r="AD203" s="448"/>
      <c r="AE203" s="464"/>
      <c r="AH203" s="448"/>
      <c r="AI203" s="464"/>
      <c r="AL203" s="448"/>
      <c r="AP203" s="448"/>
    </row>
    <row r="204" spans="1:42" ht="13">
      <c r="A204" s="462"/>
      <c r="B204" s="462"/>
      <c r="N204" s="448"/>
      <c r="O204" s="464"/>
      <c r="R204" s="448"/>
      <c r="S204" s="464"/>
      <c r="V204" s="448"/>
      <c r="W204" s="464"/>
      <c r="Z204" s="448"/>
      <c r="AA204" s="464"/>
      <c r="AD204" s="448"/>
      <c r="AE204" s="464"/>
      <c r="AH204" s="448"/>
      <c r="AI204" s="464"/>
      <c r="AL204" s="448"/>
      <c r="AP204" s="448"/>
    </row>
    <row r="205" spans="1:42" ht="13">
      <c r="A205" s="462"/>
      <c r="B205" s="462"/>
      <c r="N205" s="448"/>
      <c r="O205" s="464"/>
      <c r="R205" s="448"/>
      <c r="S205" s="464"/>
      <c r="V205" s="448"/>
      <c r="W205" s="464"/>
      <c r="Z205" s="448"/>
      <c r="AA205" s="464"/>
      <c r="AD205" s="448"/>
      <c r="AE205" s="464"/>
      <c r="AH205" s="448"/>
      <c r="AI205" s="464"/>
      <c r="AL205" s="448"/>
      <c r="AP205" s="448"/>
    </row>
    <row r="206" spans="1:42" ht="13">
      <c r="A206" s="462"/>
      <c r="B206" s="462"/>
      <c r="N206" s="448"/>
      <c r="O206" s="464"/>
      <c r="R206" s="448"/>
      <c r="S206" s="464"/>
      <c r="V206" s="448"/>
      <c r="W206" s="464"/>
      <c r="Z206" s="448"/>
      <c r="AA206" s="464"/>
      <c r="AD206" s="448"/>
      <c r="AE206" s="464"/>
      <c r="AH206" s="448"/>
      <c r="AI206" s="464"/>
      <c r="AL206" s="448"/>
      <c r="AP206" s="448"/>
    </row>
    <row r="207" spans="1:42" ht="13">
      <c r="A207" s="462"/>
      <c r="B207" s="462"/>
      <c r="N207" s="448"/>
      <c r="O207" s="464"/>
      <c r="R207" s="448"/>
      <c r="S207" s="464"/>
      <c r="V207" s="448"/>
      <c r="W207" s="464"/>
      <c r="Z207" s="448"/>
      <c r="AA207" s="464"/>
      <c r="AD207" s="448"/>
      <c r="AE207" s="464"/>
      <c r="AH207" s="448"/>
      <c r="AI207" s="464"/>
      <c r="AL207" s="448"/>
      <c r="AP207" s="448"/>
    </row>
    <row r="208" spans="1:42" ht="13">
      <c r="A208" s="462"/>
      <c r="B208" s="462"/>
      <c r="N208" s="448"/>
      <c r="O208" s="464"/>
      <c r="R208" s="448"/>
      <c r="S208" s="464"/>
      <c r="V208" s="448"/>
      <c r="W208" s="464"/>
      <c r="Z208" s="448"/>
      <c r="AA208" s="464"/>
      <c r="AD208" s="448"/>
      <c r="AE208" s="464"/>
      <c r="AH208" s="448"/>
      <c r="AI208" s="464"/>
      <c r="AL208" s="448"/>
      <c r="AP208" s="448"/>
    </row>
    <row r="209" spans="1:42" ht="13">
      <c r="A209" s="462"/>
      <c r="B209" s="462"/>
      <c r="N209" s="448"/>
      <c r="O209" s="464"/>
      <c r="R209" s="448"/>
      <c r="S209" s="464"/>
      <c r="V209" s="448"/>
      <c r="W209" s="464"/>
      <c r="Z209" s="448"/>
      <c r="AA209" s="464"/>
      <c r="AD209" s="448"/>
      <c r="AE209" s="464"/>
      <c r="AH209" s="448"/>
      <c r="AI209" s="464"/>
      <c r="AL209" s="448"/>
      <c r="AP209" s="448"/>
    </row>
    <row r="210" spans="1:42" ht="13">
      <c r="A210" s="462"/>
      <c r="B210" s="462"/>
      <c r="N210" s="448"/>
      <c r="O210" s="464"/>
      <c r="R210" s="448"/>
      <c r="S210" s="464"/>
      <c r="V210" s="448"/>
      <c r="W210" s="464"/>
      <c r="Z210" s="448"/>
      <c r="AA210" s="464"/>
      <c r="AD210" s="448"/>
      <c r="AE210" s="464"/>
      <c r="AH210" s="448"/>
      <c r="AI210" s="464"/>
      <c r="AL210" s="448"/>
      <c r="AP210" s="448"/>
    </row>
    <row r="211" spans="1:42" ht="13">
      <c r="A211" s="462"/>
      <c r="B211" s="462"/>
      <c r="N211" s="448"/>
      <c r="O211" s="464"/>
      <c r="R211" s="448"/>
      <c r="S211" s="464"/>
      <c r="V211" s="448"/>
      <c r="W211" s="464"/>
      <c r="Z211" s="448"/>
      <c r="AA211" s="464"/>
      <c r="AD211" s="448"/>
      <c r="AE211" s="464"/>
      <c r="AH211" s="448"/>
      <c r="AI211" s="464"/>
      <c r="AL211" s="448"/>
      <c r="AP211" s="448"/>
    </row>
    <row r="212" spans="1:42" ht="13">
      <c r="A212" s="462"/>
      <c r="B212" s="462"/>
      <c r="N212" s="448"/>
      <c r="O212" s="464"/>
      <c r="R212" s="448"/>
      <c r="S212" s="464"/>
      <c r="V212" s="448"/>
      <c r="W212" s="464"/>
      <c r="Z212" s="448"/>
      <c r="AA212" s="464"/>
      <c r="AD212" s="448"/>
      <c r="AE212" s="464"/>
      <c r="AH212" s="448"/>
      <c r="AI212" s="464"/>
      <c r="AL212" s="448"/>
      <c r="AP212" s="448"/>
    </row>
    <row r="213" spans="1:42" ht="13">
      <c r="A213" s="462"/>
      <c r="B213" s="462"/>
      <c r="N213" s="448"/>
      <c r="O213" s="464"/>
      <c r="R213" s="448"/>
      <c r="S213" s="464"/>
      <c r="V213" s="448"/>
      <c r="W213" s="464"/>
      <c r="Z213" s="448"/>
      <c r="AA213" s="464"/>
      <c r="AD213" s="448"/>
      <c r="AE213" s="464"/>
      <c r="AH213" s="448"/>
      <c r="AI213" s="464"/>
      <c r="AL213" s="448"/>
      <c r="AP213" s="448"/>
    </row>
    <row r="214" spans="1:42" ht="13">
      <c r="A214" s="462"/>
      <c r="B214" s="462"/>
      <c r="N214" s="448"/>
      <c r="O214" s="464"/>
      <c r="R214" s="448"/>
      <c r="S214" s="464"/>
      <c r="V214" s="448"/>
      <c r="W214" s="464"/>
      <c r="Z214" s="448"/>
      <c r="AA214" s="464"/>
      <c r="AD214" s="448"/>
      <c r="AE214" s="464"/>
      <c r="AH214" s="448"/>
      <c r="AI214" s="464"/>
      <c r="AL214" s="448"/>
      <c r="AP214" s="448"/>
    </row>
    <row r="215" spans="1:42" ht="13">
      <c r="A215" s="462"/>
      <c r="B215" s="462"/>
      <c r="N215" s="448"/>
      <c r="O215" s="464"/>
      <c r="R215" s="448"/>
      <c r="S215" s="464"/>
      <c r="V215" s="448"/>
      <c r="W215" s="464"/>
      <c r="Z215" s="448"/>
      <c r="AA215" s="464"/>
      <c r="AD215" s="448"/>
      <c r="AE215" s="464"/>
      <c r="AH215" s="448"/>
      <c r="AI215" s="464"/>
      <c r="AL215" s="448"/>
      <c r="AP215" s="448"/>
    </row>
    <row r="216" spans="1:42" ht="13">
      <c r="A216" s="462"/>
      <c r="B216" s="462"/>
      <c r="N216" s="448"/>
      <c r="O216" s="464"/>
      <c r="R216" s="448"/>
      <c r="S216" s="464"/>
      <c r="V216" s="448"/>
      <c r="W216" s="464"/>
      <c r="Z216" s="448"/>
      <c r="AA216" s="464"/>
      <c r="AD216" s="448"/>
      <c r="AE216" s="464"/>
      <c r="AH216" s="448"/>
      <c r="AI216" s="464"/>
      <c r="AL216" s="448"/>
      <c r="AP216" s="448"/>
    </row>
    <row r="217" spans="1:42" ht="13">
      <c r="A217" s="462"/>
      <c r="B217" s="462"/>
      <c r="N217" s="448"/>
      <c r="O217" s="464"/>
      <c r="R217" s="448"/>
      <c r="S217" s="464"/>
      <c r="V217" s="448"/>
      <c r="W217" s="464"/>
      <c r="Z217" s="448"/>
      <c r="AA217" s="464"/>
      <c r="AD217" s="448"/>
      <c r="AE217" s="464"/>
      <c r="AH217" s="448"/>
      <c r="AI217" s="464"/>
      <c r="AL217" s="448"/>
      <c r="AP217" s="448"/>
    </row>
    <row r="218" spans="1:42" ht="13">
      <c r="A218" s="462"/>
      <c r="B218" s="462"/>
      <c r="N218" s="448"/>
      <c r="O218" s="464"/>
      <c r="R218" s="448"/>
      <c r="S218" s="464"/>
      <c r="V218" s="448"/>
      <c r="W218" s="464"/>
      <c r="Z218" s="448"/>
      <c r="AA218" s="464"/>
      <c r="AD218" s="448"/>
      <c r="AE218" s="464"/>
      <c r="AH218" s="448"/>
      <c r="AI218" s="464"/>
      <c r="AL218" s="448"/>
      <c r="AP218" s="448"/>
    </row>
    <row r="219" spans="1:42" ht="13">
      <c r="A219" s="462"/>
      <c r="B219" s="462"/>
      <c r="N219" s="448"/>
      <c r="O219" s="464"/>
      <c r="R219" s="448"/>
      <c r="S219" s="464"/>
      <c r="V219" s="448"/>
      <c r="W219" s="464"/>
      <c r="Z219" s="448"/>
      <c r="AA219" s="464"/>
      <c r="AD219" s="448"/>
      <c r="AE219" s="464"/>
      <c r="AH219" s="448"/>
      <c r="AI219" s="464"/>
      <c r="AL219" s="448"/>
      <c r="AP219" s="448"/>
    </row>
    <row r="220" spans="1:42" ht="13">
      <c r="A220" s="462"/>
      <c r="B220" s="462"/>
      <c r="N220" s="448"/>
      <c r="O220" s="464"/>
      <c r="R220" s="448"/>
      <c r="S220" s="464"/>
      <c r="V220" s="448"/>
      <c r="W220" s="464"/>
      <c r="Z220" s="448"/>
      <c r="AA220" s="464"/>
      <c r="AD220" s="448"/>
      <c r="AE220" s="464"/>
      <c r="AH220" s="448"/>
      <c r="AI220" s="464"/>
      <c r="AL220" s="448"/>
      <c r="AP220" s="448"/>
    </row>
    <row r="221" spans="1:42" ht="13">
      <c r="A221" s="462"/>
      <c r="B221" s="462"/>
      <c r="N221" s="448"/>
      <c r="O221" s="464"/>
      <c r="R221" s="448"/>
      <c r="S221" s="464"/>
      <c r="V221" s="448"/>
      <c r="W221" s="464"/>
      <c r="Z221" s="448"/>
      <c r="AA221" s="464"/>
      <c r="AD221" s="448"/>
      <c r="AE221" s="464"/>
      <c r="AH221" s="448"/>
      <c r="AI221" s="464"/>
      <c r="AL221" s="448"/>
      <c r="AP221" s="448"/>
    </row>
    <row r="222" spans="1:42" ht="13">
      <c r="A222" s="462"/>
      <c r="B222" s="462"/>
      <c r="N222" s="448"/>
      <c r="O222" s="464"/>
      <c r="R222" s="448"/>
      <c r="S222" s="464"/>
      <c r="V222" s="448"/>
      <c r="W222" s="464"/>
      <c r="Z222" s="448"/>
      <c r="AA222" s="464"/>
      <c r="AD222" s="448"/>
      <c r="AE222" s="464"/>
      <c r="AH222" s="448"/>
      <c r="AI222" s="464"/>
      <c r="AL222" s="448"/>
      <c r="AP222" s="448"/>
    </row>
    <row r="223" spans="1:42" ht="13">
      <c r="A223" s="462"/>
      <c r="B223" s="462"/>
      <c r="N223" s="448"/>
      <c r="O223" s="464"/>
      <c r="R223" s="448"/>
      <c r="S223" s="464"/>
      <c r="V223" s="448"/>
      <c r="W223" s="464"/>
      <c r="Z223" s="448"/>
      <c r="AA223" s="464"/>
      <c r="AD223" s="448"/>
      <c r="AE223" s="464"/>
      <c r="AH223" s="448"/>
      <c r="AI223" s="464"/>
      <c r="AL223" s="448"/>
      <c r="AP223" s="448"/>
    </row>
    <row r="224" spans="1:42" ht="13">
      <c r="A224" s="462"/>
      <c r="B224" s="462"/>
      <c r="N224" s="448"/>
      <c r="O224" s="464"/>
      <c r="R224" s="448"/>
      <c r="S224" s="464"/>
      <c r="V224" s="448"/>
      <c r="W224" s="464"/>
      <c r="Z224" s="448"/>
      <c r="AA224" s="464"/>
      <c r="AD224" s="448"/>
      <c r="AE224" s="464"/>
      <c r="AH224" s="448"/>
      <c r="AI224" s="464"/>
      <c r="AL224" s="448"/>
      <c r="AP224" s="448"/>
    </row>
    <row r="225" spans="1:42" ht="13">
      <c r="A225" s="462"/>
      <c r="B225" s="462"/>
      <c r="N225" s="448"/>
      <c r="O225" s="464"/>
      <c r="R225" s="448"/>
      <c r="S225" s="464"/>
      <c r="V225" s="448"/>
      <c r="W225" s="464"/>
      <c r="Z225" s="448"/>
      <c r="AA225" s="464"/>
      <c r="AD225" s="448"/>
      <c r="AE225" s="464"/>
      <c r="AH225" s="448"/>
      <c r="AI225" s="464"/>
      <c r="AL225" s="448"/>
      <c r="AP225" s="448"/>
    </row>
    <row r="226" spans="1:42" ht="13">
      <c r="A226" s="462"/>
      <c r="B226" s="462"/>
      <c r="N226" s="448"/>
      <c r="O226" s="464"/>
      <c r="R226" s="448"/>
      <c r="S226" s="464"/>
      <c r="V226" s="448"/>
      <c r="W226" s="464"/>
      <c r="Z226" s="448"/>
      <c r="AA226" s="464"/>
      <c r="AD226" s="448"/>
      <c r="AE226" s="464"/>
      <c r="AH226" s="448"/>
      <c r="AI226" s="464"/>
      <c r="AL226" s="448"/>
      <c r="AP226" s="448"/>
    </row>
    <row r="227" spans="1:42" ht="13">
      <c r="A227" s="462"/>
      <c r="B227" s="462"/>
      <c r="N227" s="448"/>
      <c r="O227" s="464"/>
      <c r="R227" s="448"/>
      <c r="S227" s="464"/>
      <c r="V227" s="448"/>
      <c r="W227" s="464"/>
      <c r="Z227" s="448"/>
      <c r="AA227" s="464"/>
      <c r="AD227" s="448"/>
      <c r="AE227" s="464"/>
      <c r="AH227" s="448"/>
      <c r="AI227" s="464"/>
      <c r="AL227" s="448"/>
      <c r="AP227" s="448"/>
    </row>
    <row r="228" spans="1:42" ht="13">
      <c r="A228" s="462"/>
      <c r="B228" s="462"/>
      <c r="N228" s="448"/>
      <c r="O228" s="464"/>
      <c r="R228" s="448"/>
      <c r="S228" s="464"/>
      <c r="V228" s="448"/>
      <c r="W228" s="464"/>
      <c r="Z228" s="448"/>
      <c r="AA228" s="464"/>
      <c r="AD228" s="448"/>
      <c r="AE228" s="464"/>
      <c r="AH228" s="448"/>
      <c r="AI228" s="464"/>
      <c r="AL228" s="448"/>
      <c r="AP228" s="448"/>
    </row>
    <row r="229" spans="1:42" ht="13">
      <c r="A229" s="462"/>
      <c r="B229" s="462"/>
      <c r="N229" s="448"/>
      <c r="O229" s="464"/>
      <c r="R229" s="448"/>
      <c r="S229" s="464"/>
      <c r="V229" s="448"/>
      <c r="W229" s="464"/>
      <c r="Z229" s="448"/>
      <c r="AA229" s="464"/>
      <c r="AD229" s="448"/>
      <c r="AE229" s="464"/>
      <c r="AH229" s="448"/>
      <c r="AI229" s="464"/>
      <c r="AL229" s="448"/>
      <c r="AP229" s="448"/>
    </row>
    <row r="230" spans="1:42" ht="13">
      <c r="A230" s="462"/>
      <c r="B230" s="462"/>
      <c r="N230" s="448"/>
      <c r="O230" s="464"/>
      <c r="R230" s="448"/>
      <c r="S230" s="464"/>
      <c r="V230" s="448"/>
      <c r="W230" s="464"/>
      <c r="Z230" s="448"/>
      <c r="AA230" s="464"/>
      <c r="AD230" s="448"/>
      <c r="AE230" s="464"/>
      <c r="AH230" s="448"/>
      <c r="AI230" s="464"/>
      <c r="AL230" s="448"/>
      <c r="AP230" s="448"/>
    </row>
    <row r="231" spans="1:42" ht="13">
      <c r="A231" s="462"/>
      <c r="B231" s="462"/>
      <c r="N231" s="448"/>
      <c r="O231" s="464"/>
      <c r="R231" s="448"/>
      <c r="S231" s="464"/>
      <c r="V231" s="448"/>
      <c r="W231" s="464"/>
      <c r="Z231" s="448"/>
      <c r="AA231" s="464"/>
      <c r="AD231" s="448"/>
      <c r="AE231" s="464"/>
      <c r="AH231" s="448"/>
      <c r="AI231" s="464"/>
      <c r="AL231" s="448"/>
      <c r="AP231" s="448"/>
    </row>
    <row r="232" spans="1:42" ht="13">
      <c r="A232" s="462"/>
      <c r="B232" s="462"/>
      <c r="N232" s="448"/>
      <c r="O232" s="464"/>
      <c r="R232" s="448"/>
      <c r="S232" s="464"/>
      <c r="V232" s="448"/>
      <c r="W232" s="464"/>
      <c r="Z232" s="448"/>
      <c r="AA232" s="464"/>
      <c r="AD232" s="448"/>
      <c r="AE232" s="464"/>
      <c r="AH232" s="448"/>
      <c r="AI232" s="464"/>
      <c r="AL232" s="448"/>
      <c r="AP232" s="448"/>
    </row>
    <row r="233" spans="1:42" ht="13">
      <c r="A233" s="462"/>
      <c r="B233" s="462"/>
      <c r="N233" s="448"/>
      <c r="O233" s="464"/>
      <c r="R233" s="448"/>
      <c r="S233" s="464"/>
      <c r="V233" s="448"/>
      <c r="W233" s="464"/>
      <c r="Z233" s="448"/>
      <c r="AA233" s="464"/>
      <c r="AD233" s="448"/>
      <c r="AE233" s="464"/>
      <c r="AH233" s="448"/>
      <c r="AI233" s="464"/>
      <c r="AL233" s="448"/>
      <c r="AP233" s="448"/>
    </row>
    <row r="234" spans="1:42" ht="13">
      <c r="A234" s="462"/>
      <c r="B234" s="462"/>
      <c r="N234" s="448"/>
      <c r="O234" s="464"/>
      <c r="R234" s="448"/>
      <c r="S234" s="464"/>
      <c r="V234" s="448"/>
      <c r="W234" s="464"/>
      <c r="Z234" s="448"/>
      <c r="AA234" s="464"/>
      <c r="AD234" s="448"/>
      <c r="AE234" s="464"/>
      <c r="AH234" s="448"/>
      <c r="AI234" s="464"/>
      <c r="AL234" s="448"/>
      <c r="AP234" s="448"/>
    </row>
    <row r="235" spans="1:42" ht="13">
      <c r="A235" s="462"/>
      <c r="B235" s="462"/>
      <c r="N235" s="448"/>
      <c r="O235" s="464"/>
      <c r="R235" s="448"/>
      <c r="S235" s="464"/>
      <c r="V235" s="448"/>
      <c r="W235" s="464"/>
      <c r="Z235" s="448"/>
      <c r="AA235" s="464"/>
      <c r="AD235" s="448"/>
      <c r="AE235" s="464"/>
      <c r="AH235" s="448"/>
      <c r="AI235" s="464"/>
      <c r="AL235" s="448"/>
      <c r="AP235" s="448"/>
    </row>
    <row r="236" spans="1:42" ht="13">
      <c r="A236" s="462"/>
      <c r="B236" s="462"/>
      <c r="N236" s="448"/>
      <c r="O236" s="464"/>
      <c r="R236" s="448"/>
      <c r="S236" s="464"/>
      <c r="V236" s="448"/>
      <c r="W236" s="464"/>
      <c r="Z236" s="448"/>
      <c r="AA236" s="464"/>
      <c r="AD236" s="448"/>
      <c r="AE236" s="464"/>
      <c r="AH236" s="448"/>
      <c r="AI236" s="464"/>
      <c r="AL236" s="448"/>
      <c r="AP236" s="448"/>
    </row>
    <row r="237" spans="1:42" ht="13">
      <c r="A237" s="462"/>
      <c r="B237" s="462"/>
      <c r="N237" s="448"/>
      <c r="O237" s="464"/>
      <c r="R237" s="448"/>
      <c r="S237" s="464"/>
      <c r="V237" s="448"/>
      <c r="W237" s="464"/>
      <c r="Z237" s="448"/>
      <c r="AA237" s="464"/>
      <c r="AD237" s="448"/>
      <c r="AE237" s="464"/>
      <c r="AH237" s="448"/>
      <c r="AI237" s="464"/>
      <c r="AL237" s="448"/>
      <c r="AP237" s="448"/>
    </row>
    <row r="238" spans="1:42" ht="13">
      <c r="A238" s="462"/>
      <c r="B238" s="462"/>
      <c r="N238" s="448"/>
      <c r="O238" s="464"/>
      <c r="R238" s="448"/>
      <c r="S238" s="464"/>
      <c r="V238" s="448"/>
      <c r="W238" s="464"/>
      <c r="Z238" s="448"/>
      <c r="AA238" s="464"/>
      <c r="AD238" s="448"/>
      <c r="AE238" s="464"/>
      <c r="AH238" s="448"/>
      <c r="AI238" s="464"/>
      <c r="AL238" s="448"/>
      <c r="AP238" s="448"/>
    </row>
    <row r="239" spans="1:42" ht="13">
      <c r="A239" s="462"/>
      <c r="B239" s="462"/>
      <c r="N239" s="448"/>
      <c r="O239" s="464"/>
      <c r="R239" s="448"/>
      <c r="S239" s="464"/>
      <c r="V239" s="448"/>
      <c r="W239" s="464"/>
      <c r="Z239" s="448"/>
      <c r="AA239" s="464"/>
      <c r="AD239" s="448"/>
      <c r="AE239" s="464"/>
      <c r="AH239" s="448"/>
      <c r="AI239" s="464"/>
      <c r="AL239" s="448"/>
      <c r="AP239" s="448"/>
    </row>
    <row r="240" spans="1:42" ht="13">
      <c r="A240" s="462"/>
      <c r="B240" s="462"/>
      <c r="N240" s="448"/>
      <c r="O240" s="464"/>
      <c r="R240" s="448"/>
      <c r="S240" s="464"/>
      <c r="V240" s="448"/>
      <c r="W240" s="464"/>
      <c r="Z240" s="448"/>
      <c r="AA240" s="464"/>
      <c r="AD240" s="448"/>
      <c r="AE240" s="464"/>
      <c r="AH240" s="448"/>
      <c r="AI240" s="464"/>
      <c r="AL240" s="448"/>
      <c r="AP240" s="448"/>
    </row>
    <row r="241" spans="1:42" ht="13">
      <c r="A241" s="462"/>
      <c r="B241" s="462"/>
      <c r="N241" s="448"/>
      <c r="O241" s="464"/>
      <c r="R241" s="448"/>
      <c r="S241" s="464"/>
      <c r="V241" s="448"/>
      <c r="W241" s="464"/>
      <c r="Z241" s="448"/>
      <c r="AA241" s="464"/>
      <c r="AD241" s="448"/>
      <c r="AE241" s="464"/>
      <c r="AH241" s="448"/>
      <c r="AI241" s="464"/>
      <c r="AL241" s="448"/>
      <c r="AP241" s="448"/>
    </row>
    <row r="242" spans="1:42" ht="13">
      <c r="A242" s="462"/>
      <c r="B242" s="462"/>
      <c r="N242" s="448"/>
      <c r="O242" s="464"/>
      <c r="R242" s="448"/>
      <c r="S242" s="464"/>
      <c r="V242" s="448"/>
      <c r="W242" s="464"/>
      <c r="Z242" s="448"/>
      <c r="AA242" s="464"/>
      <c r="AD242" s="448"/>
      <c r="AE242" s="464"/>
      <c r="AH242" s="448"/>
      <c r="AI242" s="464"/>
      <c r="AL242" s="448"/>
      <c r="AP242" s="448"/>
    </row>
    <row r="243" spans="1:42" ht="13">
      <c r="A243" s="462"/>
      <c r="B243" s="462"/>
      <c r="N243" s="448"/>
      <c r="O243" s="464"/>
      <c r="R243" s="448"/>
      <c r="S243" s="464"/>
      <c r="V243" s="448"/>
      <c r="W243" s="464"/>
      <c r="Z243" s="448"/>
      <c r="AA243" s="464"/>
      <c r="AD243" s="448"/>
      <c r="AE243" s="464"/>
      <c r="AH243" s="448"/>
      <c r="AI243" s="464"/>
      <c r="AL243" s="448"/>
      <c r="AP243" s="448"/>
    </row>
    <row r="244" spans="1:42" ht="13">
      <c r="A244" s="462"/>
      <c r="B244" s="462"/>
      <c r="N244" s="448"/>
      <c r="O244" s="464"/>
      <c r="R244" s="448"/>
      <c r="S244" s="464"/>
      <c r="V244" s="448"/>
      <c r="W244" s="464"/>
      <c r="Z244" s="448"/>
      <c r="AA244" s="464"/>
      <c r="AD244" s="448"/>
      <c r="AE244" s="464"/>
      <c r="AH244" s="448"/>
      <c r="AI244" s="464"/>
      <c r="AL244" s="448"/>
      <c r="AP244" s="448"/>
    </row>
    <row r="245" spans="1:42" ht="13">
      <c r="A245" s="462"/>
      <c r="B245" s="462"/>
      <c r="N245" s="448"/>
      <c r="O245" s="464"/>
      <c r="R245" s="448"/>
      <c r="S245" s="464"/>
      <c r="V245" s="448"/>
      <c r="W245" s="464"/>
      <c r="Z245" s="448"/>
      <c r="AA245" s="464"/>
      <c r="AD245" s="448"/>
      <c r="AE245" s="464"/>
      <c r="AH245" s="448"/>
      <c r="AI245" s="464"/>
      <c r="AL245" s="448"/>
      <c r="AP245" s="448"/>
    </row>
    <row r="246" spans="1:42" ht="13">
      <c r="A246" s="462"/>
      <c r="B246" s="462"/>
      <c r="N246" s="448"/>
      <c r="O246" s="464"/>
      <c r="R246" s="448"/>
      <c r="S246" s="464"/>
      <c r="V246" s="448"/>
      <c r="W246" s="464"/>
      <c r="Z246" s="448"/>
      <c r="AA246" s="464"/>
      <c r="AD246" s="448"/>
      <c r="AE246" s="464"/>
      <c r="AH246" s="448"/>
      <c r="AI246" s="464"/>
      <c r="AL246" s="448"/>
      <c r="AP246" s="448"/>
    </row>
    <row r="247" spans="1:42" ht="13">
      <c r="A247" s="462"/>
      <c r="B247" s="462"/>
      <c r="N247" s="448"/>
      <c r="O247" s="464"/>
      <c r="R247" s="448"/>
      <c r="S247" s="464"/>
      <c r="V247" s="448"/>
      <c r="W247" s="464"/>
      <c r="Z247" s="448"/>
      <c r="AA247" s="464"/>
      <c r="AD247" s="448"/>
      <c r="AE247" s="464"/>
      <c r="AH247" s="448"/>
      <c r="AI247" s="464"/>
      <c r="AL247" s="448"/>
      <c r="AP247" s="448"/>
    </row>
    <row r="248" spans="1:42" ht="13">
      <c r="A248" s="462"/>
      <c r="B248" s="462"/>
      <c r="N248" s="448"/>
      <c r="O248" s="464"/>
      <c r="R248" s="448"/>
      <c r="S248" s="464"/>
      <c r="V248" s="448"/>
      <c r="W248" s="464"/>
      <c r="Z248" s="448"/>
      <c r="AA248" s="464"/>
      <c r="AD248" s="448"/>
      <c r="AE248" s="464"/>
      <c r="AH248" s="448"/>
      <c r="AI248" s="464"/>
      <c r="AL248" s="448"/>
      <c r="AP248" s="448"/>
    </row>
    <row r="249" spans="1:42" ht="13">
      <c r="A249" s="462"/>
      <c r="B249" s="462"/>
      <c r="N249" s="448"/>
      <c r="O249" s="464"/>
      <c r="R249" s="448"/>
      <c r="S249" s="464"/>
      <c r="V249" s="448"/>
      <c r="W249" s="464"/>
      <c r="Z249" s="448"/>
      <c r="AA249" s="464"/>
      <c r="AD249" s="448"/>
      <c r="AE249" s="464"/>
      <c r="AH249" s="448"/>
      <c r="AI249" s="464"/>
      <c r="AL249" s="448"/>
      <c r="AP249" s="448"/>
    </row>
    <row r="250" spans="1:42" ht="13">
      <c r="A250" s="462"/>
      <c r="B250" s="462"/>
      <c r="N250" s="448"/>
      <c r="O250" s="464"/>
      <c r="R250" s="448"/>
      <c r="S250" s="464"/>
      <c r="V250" s="448"/>
      <c r="W250" s="464"/>
      <c r="Z250" s="448"/>
      <c r="AA250" s="464"/>
      <c r="AD250" s="448"/>
      <c r="AE250" s="464"/>
      <c r="AH250" s="448"/>
      <c r="AI250" s="464"/>
      <c r="AL250" s="448"/>
      <c r="AP250" s="448"/>
    </row>
    <row r="251" spans="1:42" ht="13">
      <c r="A251" s="462"/>
      <c r="B251" s="462"/>
      <c r="N251" s="448"/>
      <c r="O251" s="464"/>
      <c r="R251" s="448"/>
      <c r="S251" s="464"/>
      <c r="V251" s="448"/>
      <c r="W251" s="464"/>
      <c r="Z251" s="448"/>
      <c r="AA251" s="464"/>
      <c r="AD251" s="448"/>
      <c r="AE251" s="464"/>
      <c r="AH251" s="448"/>
      <c r="AI251" s="464"/>
      <c r="AL251" s="448"/>
      <c r="AP251" s="448"/>
    </row>
    <row r="252" spans="1:42" ht="13">
      <c r="A252" s="462"/>
      <c r="B252" s="462"/>
      <c r="N252" s="448"/>
      <c r="O252" s="464"/>
      <c r="R252" s="448"/>
      <c r="S252" s="464"/>
      <c r="V252" s="448"/>
      <c r="W252" s="464"/>
      <c r="Z252" s="448"/>
      <c r="AA252" s="464"/>
      <c r="AD252" s="448"/>
      <c r="AE252" s="464"/>
      <c r="AH252" s="448"/>
      <c r="AI252" s="464"/>
      <c r="AL252" s="448"/>
      <c r="AP252" s="448"/>
    </row>
    <row r="253" spans="1:42" ht="13">
      <c r="A253" s="462"/>
      <c r="B253" s="462"/>
      <c r="N253" s="448"/>
      <c r="O253" s="464"/>
      <c r="R253" s="448"/>
      <c r="S253" s="464"/>
      <c r="V253" s="448"/>
      <c r="W253" s="464"/>
      <c r="Z253" s="448"/>
      <c r="AA253" s="464"/>
      <c r="AD253" s="448"/>
      <c r="AE253" s="464"/>
      <c r="AH253" s="448"/>
      <c r="AI253" s="464"/>
      <c r="AL253" s="448"/>
      <c r="AP253" s="448"/>
    </row>
    <row r="254" spans="1:42" ht="13">
      <c r="A254" s="462"/>
      <c r="B254" s="462"/>
      <c r="N254" s="448"/>
      <c r="O254" s="464"/>
      <c r="R254" s="448"/>
      <c r="S254" s="464"/>
      <c r="V254" s="448"/>
      <c r="W254" s="464"/>
      <c r="Z254" s="448"/>
      <c r="AA254" s="464"/>
      <c r="AD254" s="448"/>
      <c r="AE254" s="464"/>
      <c r="AH254" s="448"/>
      <c r="AI254" s="464"/>
      <c r="AL254" s="448"/>
      <c r="AP254" s="448"/>
    </row>
    <row r="255" spans="1:42" ht="13">
      <c r="A255" s="462"/>
      <c r="B255" s="462"/>
      <c r="N255" s="448"/>
      <c r="O255" s="464"/>
      <c r="R255" s="448"/>
      <c r="S255" s="464"/>
      <c r="V255" s="448"/>
      <c r="W255" s="464"/>
      <c r="Z255" s="448"/>
      <c r="AA255" s="464"/>
      <c r="AD255" s="448"/>
      <c r="AE255" s="464"/>
      <c r="AH255" s="448"/>
      <c r="AI255" s="464"/>
      <c r="AL255" s="448"/>
      <c r="AP255" s="448"/>
    </row>
    <row r="256" spans="1:42" ht="13">
      <c r="A256" s="462"/>
      <c r="B256" s="462"/>
      <c r="N256" s="448"/>
      <c r="O256" s="464"/>
      <c r="R256" s="448"/>
      <c r="S256" s="464"/>
      <c r="V256" s="448"/>
      <c r="W256" s="464"/>
      <c r="Z256" s="448"/>
      <c r="AA256" s="464"/>
      <c r="AD256" s="448"/>
      <c r="AE256" s="464"/>
      <c r="AH256" s="448"/>
      <c r="AI256" s="464"/>
      <c r="AL256" s="448"/>
      <c r="AP256" s="448"/>
    </row>
    <row r="257" spans="1:42" ht="13">
      <c r="A257" s="462"/>
      <c r="B257" s="462"/>
      <c r="N257" s="448"/>
      <c r="O257" s="464"/>
      <c r="R257" s="448"/>
      <c r="S257" s="464"/>
      <c r="V257" s="448"/>
      <c r="W257" s="464"/>
      <c r="Z257" s="448"/>
      <c r="AA257" s="464"/>
      <c r="AD257" s="448"/>
      <c r="AE257" s="464"/>
      <c r="AH257" s="448"/>
      <c r="AI257" s="464"/>
      <c r="AL257" s="448"/>
      <c r="AP257" s="448"/>
    </row>
    <row r="258" spans="1:42" ht="13">
      <c r="A258" s="462"/>
      <c r="B258" s="462"/>
      <c r="N258" s="448"/>
      <c r="O258" s="464"/>
      <c r="R258" s="448"/>
      <c r="S258" s="464"/>
      <c r="V258" s="448"/>
      <c r="W258" s="464"/>
      <c r="Z258" s="448"/>
      <c r="AA258" s="464"/>
      <c r="AD258" s="448"/>
      <c r="AE258" s="464"/>
      <c r="AH258" s="448"/>
      <c r="AI258" s="464"/>
      <c r="AL258" s="448"/>
      <c r="AP258" s="448"/>
    </row>
    <row r="259" spans="1:42" ht="13">
      <c r="A259" s="462"/>
      <c r="B259" s="462"/>
      <c r="N259" s="448"/>
      <c r="O259" s="464"/>
      <c r="R259" s="448"/>
      <c r="S259" s="464"/>
      <c r="V259" s="448"/>
      <c r="W259" s="464"/>
      <c r="Z259" s="448"/>
      <c r="AA259" s="464"/>
      <c r="AD259" s="448"/>
      <c r="AE259" s="464"/>
      <c r="AH259" s="448"/>
      <c r="AI259" s="464"/>
      <c r="AL259" s="448"/>
      <c r="AP259" s="448"/>
    </row>
    <row r="260" spans="1:42" ht="13">
      <c r="A260" s="462"/>
      <c r="B260" s="462"/>
      <c r="N260" s="448"/>
      <c r="O260" s="464"/>
      <c r="R260" s="448"/>
      <c r="S260" s="464"/>
      <c r="V260" s="448"/>
      <c r="W260" s="464"/>
      <c r="Z260" s="448"/>
      <c r="AA260" s="464"/>
      <c r="AD260" s="448"/>
      <c r="AE260" s="464"/>
      <c r="AH260" s="448"/>
      <c r="AI260" s="464"/>
      <c r="AL260" s="448"/>
      <c r="AP260" s="448"/>
    </row>
    <row r="261" spans="1:42" ht="13">
      <c r="A261" s="462"/>
      <c r="B261" s="462"/>
      <c r="N261" s="448"/>
      <c r="O261" s="464"/>
      <c r="R261" s="448"/>
      <c r="S261" s="464"/>
      <c r="V261" s="448"/>
      <c r="W261" s="464"/>
      <c r="Z261" s="448"/>
      <c r="AA261" s="464"/>
      <c r="AD261" s="448"/>
      <c r="AE261" s="464"/>
      <c r="AH261" s="448"/>
      <c r="AI261" s="464"/>
      <c r="AL261" s="448"/>
      <c r="AP261" s="448"/>
    </row>
    <row r="262" spans="1:42" ht="13">
      <c r="A262" s="462"/>
      <c r="B262" s="462"/>
      <c r="N262" s="448"/>
      <c r="O262" s="464"/>
      <c r="R262" s="448"/>
      <c r="S262" s="464"/>
      <c r="V262" s="448"/>
      <c r="W262" s="464"/>
      <c r="Z262" s="448"/>
      <c r="AA262" s="464"/>
      <c r="AD262" s="448"/>
      <c r="AE262" s="464"/>
      <c r="AH262" s="448"/>
      <c r="AI262" s="464"/>
      <c r="AL262" s="448"/>
      <c r="AP262" s="448"/>
    </row>
    <row r="263" spans="1:42" ht="13">
      <c r="A263" s="462"/>
      <c r="B263" s="462"/>
      <c r="N263" s="448"/>
      <c r="O263" s="464"/>
      <c r="R263" s="448"/>
      <c r="S263" s="464"/>
      <c r="V263" s="448"/>
      <c r="W263" s="464"/>
      <c r="Z263" s="448"/>
      <c r="AA263" s="464"/>
      <c r="AD263" s="448"/>
      <c r="AE263" s="464"/>
      <c r="AH263" s="448"/>
      <c r="AI263" s="464"/>
      <c r="AL263" s="448"/>
      <c r="AP263" s="448"/>
    </row>
    <row r="264" spans="1:42" ht="13">
      <c r="A264" s="462"/>
      <c r="B264" s="462"/>
      <c r="N264" s="448"/>
      <c r="O264" s="464"/>
      <c r="R264" s="448"/>
      <c r="S264" s="464"/>
      <c r="V264" s="448"/>
      <c r="W264" s="464"/>
      <c r="Z264" s="448"/>
      <c r="AA264" s="464"/>
      <c r="AD264" s="448"/>
      <c r="AE264" s="464"/>
      <c r="AH264" s="448"/>
      <c r="AI264" s="464"/>
      <c r="AL264" s="448"/>
      <c r="AP264" s="448"/>
    </row>
    <row r="265" spans="1:42" ht="13">
      <c r="A265" s="462"/>
      <c r="B265" s="462"/>
      <c r="N265" s="448"/>
      <c r="O265" s="464"/>
      <c r="R265" s="448"/>
      <c r="S265" s="464"/>
      <c r="V265" s="448"/>
      <c r="W265" s="464"/>
      <c r="Z265" s="448"/>
      <c r="AA265" s="464"/>
      <c r="AD265" s="448"/>
      <c r="AE265" s="464"/>
      <c r="AH265" s="448"/>
      <c r="AI265" s="464"/>
      <c r="AL265" s="448"/>
      <c r="AP265" s="448"/>
    </row>
    <row r="266" spans="1:42" ht="13">
      <c r="A266" s="462"/>
      <c r="B266" s="462"/>
      <c r="N266" s="448"/>
      <c r="O266" s="464"/>
      <c r="R266" s="448"/>
      <c r="S266" s="464"/>
      <c r="V266" s="448"/>
      <c r="W266" s="464"/>
      <c r="Z266" s="448"/>
      <c r="AA266" s="464"/>
      <c r="AD266" s="448"/>
      <c r="AE266" s="464"/>
      <c r="AH266" s="448"/>
      <c r="AI266" s="464"/>
      <c r="AL266" s="448"/>
      <c r="AP266" s="448"/>
    </row>
    <row r="267" spans="1:42" ht="13">
      <c r="A267" s="462"/>
      <c r="B267" s="462"/>
      <c r="N267" s="448"/>
      <c r="O267" s="464"/>
      <c r="R267" s="448"/>
      <c r="S267" s="464"/>
      <c r="V267" s="448"/>
      <c r="W267" s="464"/>
      <c r="Z267" s="448"/>
      <c r="AA267" s="464"/>
      <c r="AD267" s="448"/>
      <c r="AE267" s="464"/>
      <c r="AH267" s="448"/>
      <c r="AI267" s="464"/>
      <c r="AL267" s="448"/>
      <c r="AP267" s="448"/>
    </row>
    <row r="268" spans="1:42" ht="13">
      <c r="A268" s="462"/>
      <c r="B268" s="462"/>
      <c r="N268" s="448"/>
      <c r="O268" s="464"/>
      <c r="R268" s="448"/>
      <c r="S268" s="464"/>
      <c r="V268" s="448"/>
      <c r="W268" s="464"/>
      <c r="Z268" s="448"/>
      <c r="AA268" s="464"/>
      <c r="AD268" s="448"/>
      <c r="AE268" s="464"/>
      <c r="AH268" s="448"/>
      <c r="AI268" s="464"/>
      <c r="AL268" s="448"/>
      <c r="AP268" s="448"/>
    </row>
    <row r="269" spans="1:42" ht="13">
      <c r="A269" s="462"/>
      <c r="B269" s="462"/>
      <c r="N269" s="448"/>
      <c r="O269" s="464"/>
      <c r="R269" s="448"/>
      <c r="S269" s="464"/>
      <c r="V269" s="448"/>
      <c r="W269" s="464"/>
      <c r="Z269" s="448"/>
      <c r="AA269" s="464"/>
      <c r="AD269" s="448"/>
      <c r="AE269" s="464"/>
      <c r="AH269" s="448"/>
      <c r="AI269" s="464"/>
      <c r="AL269" s="448"/>
      <c r="AP269" s="448"/>
    </row>
    <row r="270" spans="1:42" ht="13">
      <c r="A270" s="462"/>
      <c r="B270" s="462"/>
      <c r="N270" s="448"/>
      <c r="O270" s="464"/>
      <c r="R270" s="448"/>
      <c r="S270" s="464"/>
      <c r="V270" s="448"/>
      <c r="W270" s="464"/>
      <c r="Z270" s="448"/>
      <c r="AA270" s="464"/>
      <c r="AD270" s="448"/>
      <c r="AE270" s="464"/>
      <c r="AH270" s="448"/>
      <c r="AI270" s="464"/>
      <c r="AL270" s="448"/>
      <c r="AP270" s="448"/>
    </row>
    <row r="271" spans="1:42" ht="13">
      <c r="A271" s="462"/>
      <c r="B271" s="462"/>
      <c r="N271" s="448"/>
      <c r="O271" s="464"/>
      <c r="R271" s="448"/>
      <c r="S271" s="464"/>
      <c r="V271" s="448"/>
      <c r="W271" s="464"/>
      <c r="Z271" s="448"/>
      <c r="AA271" s="464"/>
      <c r="AD271" s="448"/>
      <c r="AE271" s="464"/>
      <c r="AH271" s="448"/>
      <c r="AI271" s="464"/>
      <c r="AL271" s="448"/>
      <c r="AP271" s="448"/>
    </row>
    <row r="272" spans="1:42" ht="13">
      <c r="A272" s="462"/>
      <c r="B272" s="462"/>
      <c r="N272" s="448"/>
      <c r="O272" s="464"/>
      <c r="R272" s="448"/>
      <c r="S272" s="464"/>
      <c r="V272" s="448"/>
      <c r="W272" s="464"/>
      <c r="Z272" s="448"/>
      <c r="AA272" s="464"/>
      <c r="AD272" s="448"/>
      <c r="AE272" s="464"/>
      <c r="AH272" s="448"/>
      <c r="AI272" s="464"/>
      <c r="AL272" s="448"/>
      <c r="AP272" s="448"/>
    </row>
    <row r="273" spans="1:42" ht="13">
      <c r="A273" s="462"/>
      <c r="B273" s="462"/>
      <c r="N273" s="448"/>
      <c r="O273" s="464"/>
      <c r="R273" s="448"/>
      <c r="S273" s="464"/>
      <c r="V273" s="448"/>
      <c r="W273" s="464"/>
      <c r="Z273" s="448"/>
      <c r="AA273" s="464"/>
      <c r="AD273" s="448"/>
      <c r="AE273" s="464"/>
      <c r="AH273" s="448"/>
      <c r="AI273" s="464"/>
      <c r="AL273" s="448"/>
      <c r="AP273" s="448"/>
    </row>
    <row r="274" spans="1:42" ht="13">
      <c r="A274" s="462"/>
      <c r="B274" s="462"/>
      <c r="N274" s="448"/>
      <c r="O274" s="464"/>
      <c r="R274" s="448"/>
      <c r="S274" s="464"/>
      <c r="V274" s="448"/>
      <c r="W274" s="464"/>
      <c r="Z274" s="448"/>
      <c r="AA274" s="464"/>
      <c r="AD274" s="448"/>
      <c r="AE274" s="464"/>
      <c r="AH274" s="448"/>
      <c r="AI274" s="464"/>
      <c r="AL274" s="448"/>
      <c r="AP274" s="448"/>
    </row>
    <row r="275" spans="1:42" ht="13">
      <c r="A275" s="462"/>
      <c r="B275" s="462"/>
      <c r="N275" s="448"/>
      <c r="O275" s="464"/>
      <c r="R275" s="448"/>
      <c r="S275" s="464"/>
      <c r="V275" s="448"/>
      <c r="W275" s="464"/>
      <c r="Z275" s="448"/>
      <c r="AA275" s="464"/>
      <c r="AD275" s="448"/>
      <c r="AE275" s="464"/>
      <c r="AH275" s="448"/>
      <c r="AI275" s="464"/>
      <c r="AL275" s="448"/>
      <c r="AP275" s="448"/>
    </row>
    <row r="276" spans="1:42" ht="13">
      <c r="A276" s="462"/>
      <c r="B276" s="462"/>
      <c r="N276" s="448"/>
      <c r="O276" s="464"/>
      <c r="R276" s="448"/>
      <c r="S276" s="464"/>
      <c r="V276" s="448"/>
      <c r="W276" s="464"/>
      <c r="Z276" s="448"/>
      <c r="AA276" s="464"/>
      <c r="AD276" s="448"/>
      <c r="AE276" s="464"/>
      <c r="AH276" s="448"/>
      <c r="AI276" s="464"/>
      <c r="AL276" s="448"/>
      <c r="AP276" s="448"/>
    </row>
    <row r="277" spans="1:42" ht="13">
      <c r="A277" s="462"/>
      <c r="B277" s="462"/>
      <c r="N277" s="448"/>
      <c r="O277" s="464"/>
      <c r="R277" s="448"/>
      <c r="S277" s="464"/>
      <c r="V277" s="448"/>
      <c r="W277" s="464"/>
      <c r="Z277" s="448"/>
      <c r="AA277" s="464"/>
      <c r="AD277" s="448"/>
      <c r="AE277" s="464"/>
      <c r="AH277" s="448"/>
      <c r="AI277" s="464"/>
      <c r="AL277" s="448"/>
      <c r="AP277" s="448"/>
    </row>
    <row r="278" spans="1:42" ht="13">
      <c r="A278" s="462"/>
      <c r="B278" s="462"/>
      <c r="N278" s="448"/>
      <c r="O278" s="464"/>
      <c r="R278" s="448"/>
      <c r="S278" s="464"/>
      <c r="V278" s="448"/>
      <c r="W278" s="464"/>
      <c r="Z278" s="448"/>
      <c r="AA278" s="464"/>
      <c r="AD278" s="448"/>
      <c r="AE278" s="464"/>
      <c r="AH278" s="448"/>
      <c r="AI278" s="464"/>
      <c r="AL278" s="448"/>
      <c r="AP278" s="448"/>
    </row>
    <row r="279" spans="1:42" ht="13">
      <c r="A279" s="462"/>
      <c r="B279" s="462"/>
      <c r="N279" s="448"/>
      <c r="O279" s="464"/>
      <c r="R279" s="448"/>
      <c r="S279" s="464"/>
      <c r="V279" s="448"/>
      <c r="W279" s="464"/>
      <c r="Z279" s="448"/>
      <c r="AA279" s="464"/>
      <c r="AD279" s="448"/>
      <c r="AE279" s="464"/>
      <c r="AH279" s="448"/>
      <c r="AI279" s="464"/>
      <c r="AL279" s="448"/>
      <c r="AP279" s="448"/>
    </row>
    <row r="280" spans="1:42" ht="13">
      <c r="A280" s="462"/>
      <c r="B280" s="462"/>
      <c r="N280" s="448"/>
      <c r="O280" s="464"/>
      <c r="R280" s="448"/>
      <c r="S280" s="464"/>
      <c r="V280" s="448"/>
      <c r="W280" s="464"/>
      <c r="Z280" s="448"/>
      <c r="AA280" s="464"/>
      <c r="AD280" s="448"/>
      <c r="AE280" s="464"/>
      <c r="AH280" s="448"/>
      <c r="AI280" s="464"/>
      <c r="AL280" s="448"/>
      <c r="AP280" s="448"/>
    </row>
    <row r="281" spans="1:42" ht="13">
      <c r="A281" s="462"/>
      <c r="B281" s="462"/>
      <c r="N281" s="448"/>
      <c r="O281" s="464"/>
      <c r="R281" s="448"/>
      <c r="S281" s="464"/>
      <c r="V281" s="448"/>
      <c r="W281" s="464"/>
      <c r="Z281" s="448"/>
      <c r="AA281" s="464"/>
      <c r="AD281" s="448"/>
      <c r="AE281" s="464"/>
      <c r="AH281" s="448"/>
      <c r="AI281" s="464"/>
      <c r="AL281" s="448"/>
      <c r="AP281" s="448"/>
    </row>
    <row r="282" spans="1:42" ht="13">
      <c r="A282" s="462"/>
      <c r="B282" s="462"/>
      <c r="N282" s="448"/>
      <c r="O282" s="464"/>
      <c r="R282" s="448"/>
      <c r="S282" s="464"/>
      <c r="V282" s="448"/>
      <c r="W282" s="464"/>
      <c r="Z282" s="448"/>
      <c r="AA282" s="464"/>
      <c r="AD282" s="448"/>
      <c r="AE282" s="464"/>
      <c r="AH282" s="448"/>
      <c r="AI282" s="464"/>
      <c r="AL282" s="448"/>
      <c r="AP282" s="448"/>
    </row>
    <row r="283" spans="1:42" ht="13">
      <c r="A283" s="462"/>
      <c r="B283" s="462"/>
      <c r="N283" s="448"/>
      <c r="O283" s="464"/>
      <c r="R283" s="448"/>
      <c r="S283" s="464"/>
      <c r="V283" s="448"/>
      <c r="W283" s="464"/>
      <c r="Z283" s="448"/>
      <c r="AA283" s="464"/>
      <c r="AD283" s="448"/>
      <c r="AE283" s="464"/>
      <c r="AH283" s="448"/>
      <c r="AI283" s="464"/>
      <c r="AL283" s="448"/>
      <c r="AP283" s="448"/>
    </row>
    <row r="284" spans="1:42" ht="13">
      <c r="A284" s="462"/>
      <c r="B284" s="462"/>
      <c r="N284" s="448"/>
      <c r="O284" s="464"/>
      <c r="R284" s="448"/>
      <c r="S284" s="464"/>
      <c r="V284" s="448"/>
      <c r="W284" s="464"/>
      <c r="Z284" s="448"/>
      <c r="AA284" s="464"/>
      <c r="AD284" s="448"/>
      <c r="AE284" s="464"/>
      <c r="AH284" s="448"/>
      <c r="AI284" s="464"/>
      <c r="AL284" s="448"/>
      <c r="AP284" s="448"/>
    </row>
    <row r="285" spans="1:42" ht="13">
      <c r="A285" s="462"/>
      <c r="B285" s="462"/>
      <c r="N285" s="448"/>
      <c r="O285" s="464"/>
      <c r="R285" s="448"/>
      <c r="S285" s="464"/>
      <c r="V285" s="448"/>
      <c r="W285" s="464"/>
      <c r="Z285" s="448"/>
      <c r="AA285" s="464"/>
      <c r="AD285" s="448"/>
      <c r="AE285" s="464"/>
      <c r="AH285" s="448"/>
      <c r="AI285" s="464"/>
      <c r="AL285" s="448"/>
      <c r="AP285" s="448"/>
    </row>
    <row r="286" spans="1:42" ht="13">
      <c r="A286" s="462"/>
      <c r="B286" s="462"/>
      <c r="N286" s="448"/>
      <c r="O286" s="464"/>
      <c r="R286" s="448"/>
      <c r="S286" s="464"/>
      <c r="V286" s="448"/>
      <c r="W286" s="464"/>
      <c r="Z286" s="448"/>
      <c r="AA286" s="464"/>
      <c r="AD286" s="448"/>
      <c r="AE286" s="464"/>
      <c r="AH286" s="448"/>
      <c r="AI286" s="464"/>
      <c r="AL286" s="448"/>
      <c r="AP286" s="448"/>
    </row>
    <row r="287" spans="1:42" ht="13">
      <c r="A287" s="462"/>
      <c r="B287" s="462"/>
      <c r="N287" s="448"/>
      <c r="O287" s="464"/>
      <c r="R287" s="448"/>
      <c r="S287" s="464"/>
      <c r="V287" s="448"/>
      <c r="W287" s="464"/>
      <c r="Z287" s="448"/>
      <c r="AA287" s="464"/>
      <c r="AD287" s="448"/>
      <c r="AE287" s="464"/>
      <c r="AH287" s="448"/>
      <c r="AI287" s="464"/>
      <c r="AL287" s="448"/>
      <c r="AP287" s="448"/>
    </row>
    <row r="288" spans="1:42" ht="13">
      <c r="A288" s="462"/>
      <c r="B288" s="462"/>
      <c r="N288" s="448"/>
      <c r="O288" s="464"/>
      <c r="R288" s="448"/>
      <c r="S288" s="464"/>
      <c r="V288" s="448"/>
      <c r="W288" s="464"/>
      <c r="Z288" s="448"/>
      <c r="AA288" s="464"/>
      <c r="AD288" s="448"/>
      <c r="AE288" s="464"/>
      <c r="AH288" s="448"/>
      <c r="AI288" s="464"/>
      <c r="AL288" s="448"/>
      <c r="AP288" s="448"/>
    </row>
    <row r="289" spans="1:42" ht="13">
      <c r="A289" s="462"/>
      <c r="B289" s="462"/>
      <c r="N289" s="448"/>
      <c r="O289" s="464"/>
      <c r="R289" s="448"/>
      <c r="S289" s="464"/>
      <c r="V289" s="448"/>
      <c r="W289" s="464"/>
      <c r="Z289" s="448"/>
      <c r="AA289" s="464"/>
      <c r="AD289" s="448"/>
      <c r="AE289" s="464"/>
      <c r="AH289" s="448"/>
      <c r="AI289" s="464"/>
      <c r="AL289" s="448"/>
      <c r="AP289" s="448"/>
    </row>
    <row r="290" spans="1:42" ht="13">
      <c r="A290" s="462"/>
      <c r="B290" s="462"/>
      <c r="N290" s="448"/>
      <c r="O290" s="464"/>
      <c r="R290" s="448"/>
      <c r="S290" s="464"/>
      <c r="V290" s="448"/>
      <c r="W290" s="464"/>
      <c r="Z290" s="448"/>
      <c r="AA290" s="464"/>
      <c r="AD290" s="448"/>
      <c r="AE290" s="464"/>
      <c r="AH290" s="448"/>
      <c r="AI290" s="464"/>
      <c r="AL290" s="448"/>
      <c r="AP290" s="448"/>
    </row>
    <row r="291" spans="1:42" ht="13">
      <c r="A291" s="462"/>
      <c r="B291" s="462"/>
      <c r="N291" s="448"/>
      <c r="O291" s="464"/>
      <c r="R291" s="448"/>
      <c r="S291" s="464"/>
      <c r="V291" s="448"/>
      <c r="W291" s="464"/>
      <c r="Z291" s="448"/>
      <c r="AA291" s="464"/>
      <c r="AD291" s="448"/>
      <c r="AE291" s="464"/>
      <c r="AH291" s="448"/>
      <c r="AI291" s="464"/>
      <c r="AL291" s="448"/>
      <c r="AP291" s="448"/>
    </row>
    <row r="292" spans="1:42" ht="13">
      <c r="A292" s="462"/>
      <c r="B292" s="462"/>
      <c r="N292" s="448"/>
      <c r="O292" s="464"/>
      <c r="R292" s="448"/>
      <c r="S292" s="464"/>
      <c r="V292" s="448"/>
      <c r="W292" s="464"/>
      <c r="Z292" s="448"/>
      <c r="AA292" s="464"/>
      <c r="AD292" s="448"/>
      <c r="AE292" s="464"/>
      <c r="AH292" s="448"/>
      <c r="AI292" s="464"/>
      <c r="AL292" s="448"/>
      <c r="AP292" s="448"/>
    </row>
    <row r="293" spans="1:42" ht="13">
      <c r="A293" s="462"/>
      <c r="B293" s="462"/>
      <c r="N293" s="448"/>
      <c r="O293" s="464"/>
      <c r="R293" s="448"/>
      <c r="S293" s="464"/>
      <c r="V293" s="448"/>
      <c r="W293" s="464"/>
      <c r="Z293" s="448"/>
      <c r="AA293" s="464"/>
      <c r="AD293" s="448"/>
      <c r="AE293" s="464"/>
      <c r="AH293" s="448"/>
      <c r="AI293" s="464"/>
      <c r="AL293" s="448"/>
      <c r="AP293" s="448"/>
    </row>
    <row r="294" spans="1:42" ht="13">
      <c r="A294" s="462"/>
      <c r="B294" s="462"/>
      <c r="N294" s="448"/>
      <c r="O294" s="464"/>
      <c r="R294" s="448"/>
      <c r="S294" s="464"/>
      <c r="V294" s="448"/>
      <c r="W294" s="464"/>
      <c r="Z294" s="448"/>
      <c r="AA294" s="464"/>
      <c r="AD294" s="448"/>
      <c r="AE294" s="464"/>
      <c r="AH294" s="448"/>
      <c r="AI294" s="464"/>
      <c r="AL294" s="448"/>
      <c r="AP294" s="448"/>
    </row>
    <row r="295" spans="1:42" ht="13">
      <c r="A295" s="462"/>
      <c r="B295" s="462"/>
      <c r="N295" s="448"/>
      <c r="O295" s="464"/>
      <c r="R295" s="448"/>
      <c r="S295" s="464"/>
      <c r="V295" s="448"/>
      <c r="W295" s="464"/>
      <c r="Z295" s="448"/>
      <c r="AA295" s="464"/>
      <c r="AD295" s="448"/>
      <c r="AE295" s="464"/>
      <c r="AH295" s="448"/>
      <c r="AI295" s="464"/>
      <c r="AL295" s="448"/>
      <c r="AP295" s="448"/>
    </row>
    <row r="296" spans="1:42" ht="13">
      <c r="A296" s="462"/>
      <c r="B296" s="462"/>
      <c r="N296" s="448"/>
      <c r="O296" s="464"/>
      <c r="R296" s="448"/>
      <c r="S296" s="464"/>
      <c r="V296" s="448"/>
      <c r="W296" s="464"/>
      <c r="Z296" s="448"/>
      <c r="AA296" s="464"/>
      <c r="AD296" s="448"/>
      <c r="AE296" s="464"/>
      <c r="AH296" s="448"/>
      <c r="AI296" s="464"/>
      <c r="AL296" s="448"/>
      <c r="AP296" s="448"/>
    </row>
    <row r="297" spans="1:42" ht="13">
      <c r="A297" s="462"/>
      <c r="B297" s="462"/>
      <c r="N297" s="448"/>
      <c r="O297" s="464"/>
      <c r="R297" s="448"/>
      <c r="S297" s="464"/>
      <c r="V297" s="448"/>
      <c r="W297" s="464"/>
      <c r="Z297" s="448"/>
      <c r="AA297" s="464"/>
      <c r="AD297" s="448"/>
      <c r="AE297" s="464"/>
      <c r="AH297" s="448"/>
      <c r="AI297" s="464"/>
      <c r="AL297" s="448"/>
      <c r="AP297" s="448"/>
    </row>
    <row r="298" spans="1:42" ht="13">
      <c r="A298" s="462"/>
      <c r="B298" s="462"/>
      <c r="N298" s="448"/>
      <c r="O298" s="464"/>
      <c r="R298" s="448"/>
      <c r="S298" s="464"/>
      <c r="V298" s="448"/>
      <c r="W298" s="464"/>
      <c r="Z298" s="448"/>
      <c r="AA298" s="464"/>
      <c r="AD298" s="448"/>
      <c r="AE298" s="464"/>
      <c r="AH298" s="448"/>
      <c r="AI298" s="464"/>
      <c r="AL298" s="448"/>
      <c r="AP298" s="448"/>
    </row>
    <row r="299" spans="1:42" ht="13">
      <c r="A299" s="462"/>
      <c r="B299" s="462"/>
      <c r="N299" s="448"/>
      <c r="O299" s="464"/>
      <c r="R299" s="448"/>
      <c r="S299" s="464"/>
      <c r="V299" s="448"/>
      <c r="W299" s="464"/>
      <c r="Z299" s="448"/>
      <c r="AA299" s="464"/>
      <c r="AD299" s="448"/>
      <c r="AE299" s="464"/>
      <c r="AH299" s="448"/>
      <c r="AI299" s="464"/>
      <c r="AL299" s="448"/>
      <c r="AP299" s="448"/>
    </row>
    <row r="300" spans="1:42" ht="13">
      <c r="A300" s="462"/>
      <c r="B300" s="462"/>
      <c r="N300" s="448"/>
      <c r="O300" s="464"/>
      <c r="R300" s="448"/>
      <c r="S300" s="464"/>
      <c r="V300" s="448"/>
      <c r="W300" s="464"/>
      <c r="Z300" s="448"/>
      <c r="AA300" s="464"/>
      <c r="AD300" s="448"/>
      <c r="AE300" s="464"/>
      <c r="AH300" s="448"/>
      <c r="AI300" s="464"/>
      <c r="AL300" s="448"/>
      <c r="AP300" s="448"/>
    </row>
    <row r="301" spans="1:42" ht="13">
      <c r="A301" s="462"/>
      <c r="B301" s="462"/>
      <c r="N301" s="448"/>
      <c r="O301" s="464"/>
      <c r="R301" s="448"/>
      <c r="S301" s="464"/>
      <c r="V301" s="448"/>
      <c r="W301" s="464"/>
      <c r="Z301" s="448"/>
      <c r="AA301" s="464"/>
      <c r="AD301" s="448"/>
      <c r="AE301" s="464"/>
      <c r="AH301" s="448"/>
      <c r="AI301" s="464"/>
      <c r="AL301" s="448"/>
      <c r="AP301" s="448"/>
    </row>
    <row r="302" spans="1:42" ht="13">
      <c r="A302" s="462"/>
      <c r="B302" s="462"/>
      <c r="N302" s="448"/>
      <c r="O302" s="464"/>
      <c r="R302" s="448"/>
      <c r="S302" s="464"/>
      <c r="V302" s="448"/>
      <c r="W302" s="464"/>
      <c r="Z302" s="448"/>
      <c r="AA302" s="464"/>
      <c r="AD302" s="448"/>
      <c r="AE302" s="464"/>
      <c r="AH302" s="448"/>
      <c r="AI302" s="464"/>
      <c r="AL302" s="448"/>
      <c r="AP302" s="448"/>
    </row>
    <row r="303" spans="1:42" ht="13">
      <c r="A303" s="462"/>
      <c r="B303" s="462"/>
      <c r="N303" s="448"/>
      <c r="O303" s="464"/>
      <c r="R303" s="448"/>
      <c r="S303" s="464"/>
      <c r="V303" s="448"/>
      <c r="W303" s="464"/>
      <c r="Z303" s="448"/>
      <c r="AA303" s="464"/>
      <c r="AD303" s="448"/>
      <c r="AE303" s="464"/>
      <c r="AH303" s="448"/>
      <c r="AI303" s="464"/>
      <c r="AL303" s="448"/>
      <c r="AP303" s="448"/>
    </row>
    <row r="304" spans="1:42" ht="13">
      <c r="A304" s="462"/>
      <c r="B304" s="462"/>
      <c r="N304" s="448"/>
      <c r="O304" s="464"/>
      <c r="R304" s="448"/>
      <c r="S304" s="464"/>
      <c r="V304" s="448"/>
      <c r="W304" s="464"/>
      <c r="Z304" s="448"/>
      <c r="AA304" s="464"/>
      <c r="AD304" s="448"/>
      <c r="AE304" s="464"/>
      <c r="AH304" s="448"/>
      <c r="AI304" s="464"/>
      <c r="AL304" s="448"/>
      <c r="AP304" s="448"/>
    </row>
    <row r="305" spans="1:42" ht="13">
      <c r="A305" s="462"/>
      <c r="B305" s="462"/>
      <c r="N305" s="448"/>
      <c r="O305" s="464"/>
      <c r="R305" s="448"/>
      <c r="S305" s="464"/>
      <c r="V305" s="448"/>
      <c r="W305" s="464"/>
      <c r="Z305" s="448"/>
      <c r="AA305" s="464"/>
      <c r="AD305" s="448"/>
      <c r="AE305" s="464"/>
      <c r="AH305" s="448"/>
      <c r="AI305" s="464"/>
      <c r="AL305" s="448"/>
      <c r="AP305" s="448"/>
    </row>
    <row r="306" spans="1:42" ht="13">
      <c r="A306" s="462"/>
      <c r="B306" s="462"/>
      <c r="N306" s="448"/>
      <c r="O306" s="464"/>
      <c r="R306" s="448"/>
      <c r="S306" s="464"/>
      <c r="V306" s="448"/>
      <c r="W306" s="464"/>
      <c r="Z306" s="448"/>
      <c r="AA306" s="464"/>
      <c r="AD306" s="448"/>
      <c r="AE306" s="464"/>
      <c r="AH306" s="448"/>
      <c r="AI306" s="464"/>
      <c r="AL306" s="448"/>
      <c r="AP306" s="448"/>
    </row>
    <row r="307" spans="1:42" ht="13">
      <c r="A307" s="462"/>
      <c r="B307" s="462"/>
      <c r="N307" s="448"/>
      <c r="O307" s="464"/>
      <c r="R307" s="448"/>
      <c r="S307" s="464"/>
      <c r="V307" s="448"/>
      <c r="W307" s="464"/>
      <c r="Z307" s="448"/>
      <c r="AA307" s="464"/>
      <c r="AD307" s="448"/>
      <c r="AE307" s="464"/>
      <c r="AH307" s="448"/>
      <c r="AI307" s="464"/>
      <c r="AL307" s="448"/>
      <c r="AP307" s="448"/>
    </row>
    <row r="308" spans="1:42" ht="13">
      <c r="A308" s="462"/>
      <c r="B308" s="462"/>
      <c r="N308" s="448"/>
      <c r="O308" s="464"/>
      <c r="R308" s="448"/>
      <c r="S308" s="464"/>
      <c r="V308" s="448"/>
      <c r="W308" s="464"/>
      <c r="Z308" s="448"/>
      <c r="AA308" s="464"/>
      <c r="AD308" s="448"/>
      <c r="AE308" s="464"/>
      <c r="AH308" s="448"/>
      <c r="AI308" s="464"/>
      <c r="AL308" s="448"/>
      <c r="AP308" s="448"/>
    </row>
    <row r="309" spans="1:42" ht="13">
      <c r="A309" s="462"/>
      <c r="B309" s="462"/>
      <c r="N309" s="448"/>
      <c r="O309" s="464"/>
      <c r="R309" s="448"/>
      <c r="S309" s="464"/>
      <c r="V309" s="448"/>
      <c r="W309" s="464"/>
      <c r="Z309" s="448"/>
      <c r="AA309" s="464"/>
      <c r="AD309" s="448"/>
      <c r="AE309" s="464"/>
      <c r="AH309" s="448"/>
      <c r="AI309" s="464"/>
      <c r="AL309" s="448"/>
      <c r="AP309" s="448"/>
    </row>
    <row r="310" spans="1:42" ht="13">
      <c r="A310" s="462"/>
      <c r="B310" s="462"/>
      <c r="N310" s="448"/>
      <c r="O310" s="464"/>
      <c r="R310" s="448"/>
      <c r="S310" s="464"/>
      <c r="V310" s="448"/>
      <c r="W310" s="464"/>
      <c r="Z310" s="448"/>
      <c r="AA310" s="464"/>
      <c r="AD310" s="448"/>
      <c r="AE310" s="464"/>
      <c r="AH310" s="448"/>
      <c r="AI310" s="464"/>
      <c r="AL310" s="448"/>
      <c r="AP310" s="448"/>
    </row>
    <row r="311" spans="1:42" ht="13">
      <c r="A311" s="462"/>
      <c r="B311" s="462"/>
      <c r="N311" s="448"/>
      <c r="O311" s="464"/>
      <c r="R311" s="448"/>
      <c r="S311" s="464"/>
      <c r="V311" s="448"/>
      <c r="W311" s="464"/>
      <c r="Z311" s="448"/>
      <c r="AA311" s="464"/>
      <c r="AD311" s="448"/>
      <c r="AE311" s="464"/>
      <c r="AH311" s="448"/>
      <c r="AI311" s="464"/>
      <c r="AL311" s="448"/>
      <c r="AP311" s="448"/>
    </row>
    <row r="312" spans="1:42" ht="13">
      <c r="A312" s="462"/>
      <c r="B312" s="462"/>
      <c r="N312" s="448"/>
      <c r="O312" s="464"/>
      <c r="R312" s="448"/>
      <c r="S312" s="464"/>
      <c r="V312" s="448"/>
      <c r="W312" s="464"/>
      <c r="Z312" s="448"/>
      <c r="AA312" s="464"/>
      <c r="AD312" s="448"/>
      <c r="AE312" s="464"/>
      <c r="AH312" s="448"/>
      <c r="AI312" s="464"/>
      <c r="AL312" s="448"/>
      <c r="AP312" s="448"/>
    </row>
    <row r="313" spans="1:42" ht="13">
      <c r="A313" s="462"/>
      <c r="B313" s="462"/>
      <c r="N313" s="448"/>
      <c r="O313" s="464"/>
      <c r="R313" s="448"/>
      <c r="S313" s="464"/>
      <c r="V313" s="448"/>
      <c r="W313" s="464"/>
      <c r="Z313" s="448"/>
      <c r="AA313" s="464"/>
      <c r="AD313" s="448"/>
      <c r="AE313" s="464"/>
      <c r="AH313" s="448"/>
      <c r="AI313" s="464"/>
      <c r="AL313" s="448"/>
      <c r="AP313" s="448"/>
    </row>
    <row r="314" spans="1:42" ht="13">
      <c r="A314" s="462"/>
      <c r="B314" s="462"/>
      <c r="N314" s="448"/>
      <c r="O314" s="464"/>
      <c r="R314" s="448"/>
      <c r="S314" s="464"/>
      <c r="V314" s="448"/>
      <c r="W314" s="464"/>
      <c r="Z314" s="448"/>
      <c r="AA314" s="464"/>
      <c r="AD314" s="448"/>
      <c r="AE314" s="464"/>
      <c r="AH314" s="448"/>
      <c r="AI314" s="464"/>
      <c r="AL314" s="448"/>
      <c r="AP314" s="448"/>
    </row>
    <row r="315" spans="1:42" ht="13">
      <c r="A315" s="462"/>
      <c r="B315" s="462"/>
      <c r="N315" s="448"/>
      <c r="O315" s="464"/>
      <c r="R315" s="448"/>
      <c r="S315" s="464"/>
      <c r="V315" s="448"/>
      <c r="W315" s="464"/>
      <c r="Z315" s="448"/>
      <c r="AA315" s="464"/>
      <c r="AD315" s="448"/>
      <c r="AE315" s="464"/>
      <c r="AH315" s="448"/>
      <c r="AI315" s="464"/>
      <c r="AL315" s="448"/>
      <c r="AP315" s="448"/>
    </row>
    <row r="316" spans="1:42" ht="13">
      <c r="A316" s="462"/>
      <c r="B316" s="462"/>
      <c r="N316" s="448"/>
      <c r="O316" s="464"/>
      <c r="R316" s="448"/>
      <c r="S316" s="464"/>
      <c r="V316" s="448"/>
      <c r="W316" s="464"/>
      <c r="Z316" s="448"/>
      <c r="AA316" s="464"/>
      <c r="AD316" s="448"/>
      <c r="AE316" s="464"/>
      <c r="AH316" s="448"/>
      <c r="AI316" s="464"/>
      <c r="AL316" s="448"/>
      <c r="AP316" s="448"/>
    </row>
    <row r="317" spans="1:42" ht="13">
      <c r="A317" s="462"/>
      <c r="B317" s="462"/>
      <c r="N317" s="448"/>
      <c r="O317" s="464"/>
      <c r="R317" s="448"/>
      <c r="S317" s="464"/>
      <c r="V317" s="448"/>
      <c r="W317" s="464"/>
      <c r="Z317" s="448"/>
      <c r="AA317" s="464"/>
      <c r="AD317" s="448"/>
      <c r="AE317" s="464"/>
      <c r="AH317" s="448"/>
      <c r="AI317" s="464"/>
      <c r="AL317" s="448"/>
      <c r="AP317" s="448"/>
    </row>
    <row r="318" spans="1:42" ht="13">
      <c r="A318" s="462"/>
      <c r="B318" s="462"/>
      <c r="N318" s="448"/>
      <c r="O318" s="464"/>
      <c r="R318" s="448"/>
      <c r="S318" s="464"/>
      <c r="V318" s="448"/>
      <c r="W318" s="464"/>
      <c r="Z318" s="448"/>
      <c r="AA318" s="464"/>
      <c r="AD318" s="448"/>
      <c r="AE318" s="464"/>
      <c r="AH318" s="448"/>
      <c r="AI318" s="464"/>
      <c r="AL318" s="448"/>
      <c r="AP318" s="448"/>
    </row>
    <row r="319" spans="1:42" ht="13">
      <c r="A319" s="462"/>
      <c r="B319" s="462"/>
      <c r="N319" s="448"/>
      <c r="O319" s="464"/>
      <c r="R319" s="448"/>
      <c r="S319" s="464"/>
      <c r="V319" s="448"/>
      <c r="W319" s="464"/>
      <c r="Z319" s="448"/>
      <c r="AA319" s="464"/>
      <c r="AD319" s="448"/>
      <c r="AE319" s="464"/>
      <c r="AH319" s="448"/>
      <c r="AI319" s="464"/>
      <c r="AL319" s="448"/>
      <c r="AP319" s="448"/>
    </row>
    <row r="320" spans="1:42" ht="13">
      <c r="A320" s="462"/>
      <c r="B320" s="462"/>
      <c r="N320" s="448"/>
      <c r="O320" s="464"/>
      <c r="R320" s="448"/>
      <c r="S320" s="464"/>
      <c r="V320" s="448"/>
      <c r="W320" s="464"/>
      <c r="Z320" s="448"/>
      <c r="AA320" s="464"/>
      <c r="AD320" s="448"/>
      <c r="AE320" s="464"/>
      <c r="AH320" s="448"/>
      <c r="AI320" s="464"/>
      <c r="AL320" s="448"/>
      <c r="AP320" s="448"/>
    </row>
    <row r="321" spans="1:42" ht="13">
      <c r="A321" s="462"/>
      <c r="B321" s="462"/>
      <c r="N321" s="448"/>
      <c r="O321" s="464"/>
      <c r="R321" s="448"/>
      <c r="S321" s="464"/>
      <c r="V321" s="448"/>
      <c r="W321" s="464"/>
      <c r="Z321" s="448"/>
      <c r="AA321" s="464"/>
      <c r="AD321" s="448"/>
      <c r="AE321" s="464"/>
      <c r="AH321" s="448"/>
      <c r="AI321" s="464"/>
      <c r="AL321" s="448"/>
      <c r="AP321" s="448"/>
    </row>
    <row r="322" spans="1:42" ht="13">
      <c r="A322" s="462"/>
      <c r="B322" s="462"/>
      <c r="N322" s="448"/>
      <c r="O322" s="464"/>
      <c r="R322" s="448"/>
      <c r="S322" s="464"/>
      <c r="V322" s="448"/>
      <c r="W322" s="464"/>
      <c r="Z322" s="448"/>
      <c r="AA322" s="464"/>
      <c r="AD322" s="448"/>
      <c r="AE322" s="464"/>
      <c r="AH322" s="448"/>
      <c r="AI322" s="464"/>
      <c r="AL322" s="448"/>
      <c r="AP322" s="448"/>
    </row>
    <row r="323" spans="1:42" ht="13">
      <c r="A323" s="462"/>
      <c r="B323" s="462"/>
      <c r="N323" s="448"/>
      <c r="O323" s="464"/>
      <c r="R323" s="448"/>
      <c r="S323" s="464"/>
      <c r="V323" s="448"/>
      <c r="W323" s="464"/>
      <c r="Z323" s="448"/>
      <c r="AA323" s="464"/>
      <c r="AD323" s="448"/>
      <c r="AE323" s="464"/>
      <c r="AH323" s="448"/>
      <c r="AI323" s="464"/>
      <c r="AL323" s="448"/>
      <c r="AP323" s="448"/>
    </row>
    <row r="324" spans="1:42" ht="13">
      <c r="A324" s="462"/>
      <c r="B324" s="462"/>
      <c r="N324" s="448"/>
      <c r="O324" s="464"/>
      <c r="R324" s="448"/>
      <c r="S324" s="464"/>
      <c r="V324" s="448"/>
      <c r="W324" s="464"/>
      <c r="Z324" s="448"/>
      <c r="AA324" s="464"/>
      <c r="AD324" s="448"/>
      <c r="AE324" s="464"/>
      <c r="AH324" s="448"/>
      <c r="AI324" s="464"/>
      <c r="AL324" s="448"/>
      <c r="AP324" s="448"/>
    </row>
    <row r="325" spans="1:42" ht="13">
      <c r="A325" s="462"/>
      <c r="B325" s="462"/>
      <c r="N325" s="448"/>
      <c r="O325" s="464"/>
      <c r="R325" s="448"/>
      <c r="S325" s="464"/>
      <c r="V325" s="448"/>
      <c r="W325" s="464"/>
      <c r="Z325" s="448"/>
      <c r="AA325" s="464"/>
      <c r="AD325" s="448"/>
      <c r="AE325" s="464"/>
      <c r="AH325" s="448"/>
      <c r="AI325" s="464"/>
      <c r="AL325" s="448"/>
      <c r="AP325" s="448"/>
    </row>
    <row r="326" spans="1:42" ht="13">
      <c r="A326" s="462"/>
      <c r="B326" s="462"/>
      <c r="N326" s="448"/>
      <c r="O326" s="464"/>
      <c r="R326" s="448"/>
      <c r="S326" s="464"/>
      <c r="V326" s="448"/>
      <c r="W326" s="464"/>
      <c r="Z326" s="448"/>
      <c r="AA326" s="464"/>
      <c r="AD326" s="448"/>
      <c r="AE326" s="464"/>
      <c r="AH326" s="448"/>
      <c r="AI326" s="464"/>
      <c r="AL326" s="448"/>
      <c r="AP326" s="448"/>
    </row>
    <row r="327" spans="1:42" ht="13">
      <c r="A327" s="462"/>
      <c r="B327" s="462"/>
      <c r="N327" s="448"/>
      <c r="O327" s="464"/>
      <c r="R327" s="448"/>
      <c r="S327" s="464"/>
      <c r="V327" s="448"/>
      <c r="W327" s="464"/>
      <c r="Z327" s="448"/>
      <c r="AA327" s="464"/>
      <c r="AD327" s="448"/>
      <c r="AE327" s="464"/>
      <c r="AH327" s="448"/>
      <c r="AI327" s="464"/>
      <c r="AL327" s="448"/>
      <c r="AP327" s="448"/>
    </row>
    <row r="328" spans="1:42" ht="13">
      <c r="A328" s="462"/>
      <c r="B328" s="462"/>
      <c r="N328" s="448"/>
      <c r="O328" s="464"/>
      <c r="R328" s="448"/>
      <c r="S328" s="464"/>
      <c r="V328" s="448"/>
      <c r="W328" s="464"/>
      <c r="Z328" s="448"/>
      <c r="AA328" s="464"/>
      <c r="AD328" s="448"/>
      <c r="AE328" s="464"/>
      <c r="AH328" s="448"/>
      <c r="AI328" s="464"/>
      <c r="AL328" s="448"/>
      <c r="AP328" s="448"/>
    </row>
    <row r="329" spans="1:42" ht="13">
      <c r="A329" s="462"/>
      <c r="B329" s="462"/>
      <c r="N329" s="448"/>
      <c r="O329" s="464"/>
      <c r="R329" s="448"/>
      <c r="S329" s="464"/>
      <c r="V329" s="448"/>
      <c r="W329" s="464"/>
      <c r="Z329" s="448"/>
      <c r="AA329" s="464"/>
      <c r="AD329" s="448"/>
      <c r="AE329" s="464"/>
      <c r="AH329" s="448"/>
      <c r="AI329" s="464"/>
      <c r="AL329" s="448"/>
      <c r="AP329" s="448"/>
    </row>
    <row r="330" spans="1:42" ht="13">
      <c r="A330" s="462"/>
      <c r="B330" s="462"/>
      <c r="N330" s="448"/>
      <c r="O330" s="464"/>
      <c r="R330" s="448"/>
      <c r="S330" s="464"/>
      <c r="V330" s="448"/>
      <c r="W330" s="464"/>
      <c r="Z330" s="448"/>
      <c r="AA330" s="464"/>
      <c r="AD330" s="448"/>
      <c r="AE330" s="464"/>
      <c r="AH330" s="448"/>
      <c r="AI330" s="464"/>
      <c r="AL330" s="448"/>
      <c r="AP330" s="448"/>
    </row>
    <row r="331" spans="1:42" ht="13">
      <c r="A331" s="462"/>
      <c r="B331" s="462"/>
      <c r="N331" s="448"/>
      <c r="O331" s="464"/>
      <c r="R331" s="448"/>
      <c r="S331" s="464"/>
      <c r="V331" s="448"/>
      <c r="W331" s="464"/>
      <c r="Z331" s="448"/>
      <c r="AA331" s="464"/>
      <c r="AD331" s="448"/>
      <c r="AE331" s="464"/>
      <c r="AH331" s="448"/>
      <c r="AI331" s="464"/>
      <c r="AL331" s="448"/>
      <c r="AP331" s="448"/>
    </row>
    <row r="332" spans="1:42" ht="13">
      <c r="A332" s="462"/>
      <c r="B332" s="462"/>
      <c r="N332" s="448"/>
      <c r="O332" s="464"/>
      <c r="R332" s="448"/>
      <c r="S332" s="464"/>
      <c r="V332" s="448"/>
      <c r="W332" s="464"/>
      <c r="Z332" s="448"/>
      <c r="AA332" s="464"/>
      <c r="AD332" s="448"/>
      <c r="AE332" s="464"/>
      <c r="AH332" s="448"/>
      <c r="AI332" s="464"/>
      <c r="AL332" s="448"/>
      <c r="AP332" s="448"/>
    </row>
    <row r="333" spans="1:42" ht="13">
      <c r="A333" s="462"/>
      <c r="B333" s="462"/>
      <c r="N333" s="448"/>
      <c r="O333" s="464"/>
      <c r="R333" s="448"/>
      <c r="S333" s="464"/>
      <c r="V333" s="448"/>
      <c r="W333" s="464"/>
      <c r="Z333" s="448"/>
      <c r="AA333" s="464"/>
      <c r="AD333" s="448"/>
      <c r="AE333" s="464"/>
      <c r="AH333" s="448"/>
      <c r="AI333" s="464"/>
      <c r="AL333" s="448"/>
      <c r="AP333" s="448"/>
    </row>
    <row r="334" spans="1:42" ht="13">
      <c r="A334" s="462"/>
      <c r="B334" s="462"/>
      <c r="N334" s="448"/>
      <c r="O334" s="464"/>
      <c r="R334" s="448"/>
      <c r="S334" s="464"/>
      <c r="V334" s="448"/>
      <c r="W334" s="464"/>
      <c r="Z334" s="448"/>
      <c r="AA334" s="464"/>
      <c r="AD334" s="448"/>
      <c r="AE334" s="464"/>
      <c r="AH334" s="448"/>
      <c r="AI334" s="464"/>
      <c r="AL334" s="448"/>
      <c r="AP334" s="448"/>
    </row>
    <row r="335" spans="1:42" ht="13">
      <c r="A335" s="462"/>
      <c r="B335" s="462"/>
      <c r="N335" s="448"/>
      <c r="O335" s="464"/>
      <c r="R335" s="448"/>
      <c r="S335" s="464"/>
      <c r="V335" s="448"/>
      <c r="W335" s="464"/>
      <c r="Z335" s="448"/>
      <c r="AA335" s="464"/>
      <c r="AD335" s="448"/>
      <c r="AE335" s="464"/>
      <c r="AH335" s="448"/>
      <c r="AI335" s="464"/>
      <c r="AL335" s="448"/>
      <c r="AP335" s="448"/>
    </row>
    <row r="336" spans="1:42" ht="13">
      <c r="A336" s="462"/>
      <c r="B336" s="462"/>
      <c r="N336" s="448"/>
      <c r="O336" s="464"/>
      <c r="R336" s="448"/>
      <c r="S336" s="464"/>
      <c r="V336" s="448"/>
      <c r="W336" s="464"/>
      <c r="Z336" s="448"/>
      <c r="AA336" s="464"/>
      <c r="AD336" s="448"/>
      <c r="AE336" s="464"/>
      <c r="AH336" s="448"/>
      <c r="AI336" s="464"/>
      <c r="AL336" s="448"/>
      <c r="AP336" s="448"/>
    </row>
    <row r="337" spans="1:42" ht="13">
      <c r="A337" s="462"/>
      <c r="B337" s="462"/>
      <c r="N337" s="448"/>
      <c r="O337" s="464"/>
      <c r="R337" s="448"/>
      <c r="S337" s="464"/>
      <c r="V337" s="448"/>
      <c r="W337" s="464"/>
      <c r="Z337" s="448"/>
      <c r="AA337" s="464"/>
      <c r="AD337" s="448"/>
      <c r="AE337" s="464"/>
      <c r="AH337" s="448"/>
      <c r="AI337" s="464"/>
      <c r="AL337" s="448"/>
      <c r="AP337" s="448"/>
    </row>
    <row r="338" spans="1:42" ht="13">
      <c r="A338" s="462"/>
      <c r="B338" s="462"/>
      <c r="N338" s="448"/>
      <c r="O338" s="464"/>
      <c r="R338" s="448"/>
      <c r="S338" s="464"/>
      <c r="V338" s="448"/>
      <c r="W338" s="464"/>
      <c r="Z338" s="448"/>
      <c r="AA338" s="464"/>
      <c r="AD338" s="448"/>
      <c r="AE338" s="464"/>
      <c r="AH338" s="448"/>
      <c r="AI338" s="464"/>
      <c r="AL338" s="448"/>
      <c r="AP338" s="448"/>
    </row>
    <row r="339" spans="1:42" ht="13">
      <c r="A339" s="462"/>
      <c r="B339" s="462"/>
      <c r="N339" s="448"/>
      <c r="O339" s="464"/>
      <c r="R339" s="448"/>
      <c r="S339" s="464"/>
      <c r="V339" s="448"/>
      <c r="W339" s="464"/>
      <c r="Z339" s="448"/>
      <c r="AA339" s="464"/>
      <c r="AD339" s="448"/>
      <c r="AE339" s="464"/>
      <c r="AH339" s="448"/>
      <c r="AI339" s="464"/>
      <c r="AL339" s="448"/>
      <c r="AP339" s="448"/>
    </row>
    <row r="340" spans="1:42" ht="13">
      <c r="A340" s="462"/>
      <c r="B340" s="462"/>
      <c r="N340" s="448"/>
      <c r="O340" s="464"/>
      <c r="R340" s="448"/>
      <c r="S340" s="464"/>
      <c r="V340" s="448"/>
      <c r="W340" s="464"/>
      <c r="Z340" s="448"/>
      <c r="AA340" s="464"/>
      <c r="AD340" s="448"/>
      <c r="AE340" s="464"/>
      <c r="AH340" s="448"/>
      <c r="AI340" s="464"/>
      <c r="AL340" s="448"/>
      <c r="AP340" s="448"/>
    </row>
    <row r="341" spans="1:42" ht="13">
      <c r="A341" s="462"/>
      <c r="B341" s="462"/>
      <c r="N341" s="448"/>
      <c r="O341" s="464"/>
      <c r="R341" s="448"/>
      <c r="S341" s="464"/>
      <c r="V341" s="448"/>
      <c r="W341" s="464"/>
      <c r="Z341" s="448"/>
      <c r="AA341" s="464"/>
      <c r="AD341" s="448"/>
      <c r="AE341" s="464"/>
      <c r="AH341" s="448"/>
      <c r="AI341" s="464"/>
      <c r="AL341" s="448"/>
      <c r="AP341" s="448"/>
    </row>
    <row r="342" spans="1:42" ht="13">
      <c r="A342" s="462"/>
      <c r="B342" s="462"/>
      <c r="N342" s="448"/>
      <c r="O342" s="464"/>
      <c r="R342" s="448"/>
      <c r="S342" s="464"/>
      <c r="V342" s="448"/>
      <c r="W342" s="464"/>
      <c r="Z342" s="448"/>
      <c r="AA342" s="464"/>
      <c r="AD342" s="448"/>
      <c r="AE342" s="464"/>
      <c r="AH342" s="448"/>
      <c r="AI342" s="464"/>
      <c r="AL342" s="448"/>
      <c r="AP342" s="448"/>
    </row>
    <row r="343" spans="1:42" ht="13">
      <c r="A343" s="462"/>
      <c r="B343" s="462"/>
      <c r="N343" s="448"/>
      <c r="O343" s="464"/>
      <c r="R343" s="448"/>
      <c r="S343" s="464"/>
      <c r="V343" s="448"/>
      <c r="W343" s="464"/>
      <c r="Z343" s="448"/>
      <c r="AA343" s="464"/>
      <c r="AD343" s="448"/>
      <c r="AE343" s="464"/>
      <c r="AH343" s="448"/>
      <c r="AI343" s="464"/>
      <c r="AL343" s="448"/>
      <c r="AP343" s="448"/>
    </row>
    <row r="344" spans="1:42" ht="13">
      <c r="A344" s="462"/>
      <c r="B344" s="462"/>
      <c r="N344" s="448"/>
      <c r="O344" s="464"/>
      <c r="R344" s="448"/>
      <c r="S344" s="464"/>
      <c r="V344" s="448"/>
      <c r="W344" s="464"/>
      <c r="Z344" s="448"/>
      <c r="AA344" s="464"/>
      <c r="AD344" s="448"/>
      <c r="AE344" s="464"/>
      <c r="AH344" s="448"/>
      <c r="AI344" s="464"/>
      <c r="AL344" s="448"/>
      <c r="AP344" s="448"/>
    </row>
    <row r="345" spans="1:42" ht="13">
      <c r="A345" s="462"/>
      <c r="B345" s="462"/>
      <c r="N345" s="448"/>
      <c r="O345" s="464"/>
      <c r="R345" s="448"/>
      <c r="S345" s="464"/>
      <c r="V345" s="448"/>
      <c r="W345" s="464"/>
      <c r="Z345" s="448"/>
      <c r="AA345" s="464"/>
      <c r="AD345" s="448"/>
      <c r="AE345" s="464"/>
      <c r="AH345" s="448"/>
      <c r="AI345" s="464"/>
      <c r="AL345" s="448"/>
      <c r="AP345" s="448"/>
    </row>
    <row r="346" spans="1:42" ht="13">
      <c r="A346" s="462"/>
      <c r="B346" s="462"/>
      <c r="N346" s="448"/>
      <c r="O346" s="464"/>
      <c r="R346" s="448"/>
      <c r="S346" s="464"/>
      <c r="V346" s="448"/>
      <c r="W346" s="464"/>
      <c r="Z346" s="448"/>
      <c r="AA346" s="464"/>
      <c r="AD346" s="448"/>
      <c r="AE346" s="464"/>
      <c r="AH346" s="448"/>
      <c r="AI346" s="464"/>
      <c r="AL346" s="448"/>
      <c r="AP346" s="448"/>
    </row>
    <row r="347" spans="1:42" ht="13">
      <c r="A347" s="462"/>
      <c r="B347" s="462"/>
      <c r="N347" s="448"/>
      <c r="O347" s="464"/>
      <c r="R347" s="448"/>
      <c r="S347" s="464"/>
      <c r="V347" s="448"/>
      <c r="W347" s="464"/>
      <c r="Z347" s="448"/>
      <c r="AA347" s="464"/>
      <c r="AD347" s="448"/>
      <c r="AE347" s="464"/>
      <c r="AH347" s="448"/>
      <c r="AI347" s="464"/>
      <c r="AL347" s="448"/>
      <c r="AP347" s="448"/>
    </row>
    <row r="348" spans="1:42" ht="13">
      <c r="A348" s="462"/>
      <c r="B348" s="462"/>
      <c r="N348" s="448"/>
      <c r="O348" s="464"/>
      <c r="R348" s="448"/>
      <c r="S348" s="464"/>
      <c r="V348" s="448"/>
      <c r="W348" s="464"/>
      <c r="Z348" s="448"/>
      <c r="AA348" s="464"/>
      <c r="AD348" s="448"/>
      <c r="AE348" s="464"/>
      <c r="AH348" s="448"/>
      <c r="AI348" s="464"/>
      <c r="AL348" s="448"/>
      <c r="AP348" s="448"/>
    </row>
    <row r="349" spans="1:42" ht="13">
      <c r="A349" s="462"/>
      <c r="B349" s="462"/>
      <c r="N349" s="448"/>
      <c r="O349" s="464"/>
      <c r="R349" s="448"/>
      <c r="S349" s="464"/>
      <c r="V349" s="448"/>
      <c r="W349" s="464"/>
      <c r="Z349" s="448"/>
      <c r="AA349" s="464"/>
      <c r="AD349" s="448"/>
      <c r="AE349" s="464"/>
      <c r="AH349" s="448"/>
      <c r="AI349" s="464"/>
      <c r="AL349" s="448"/>
      <c r="AP349" s="448"/>
    </row>
    <row r="350" spans="1:42" ht="13">
      <c r="A350" s="462"/>
      <c r="B350" s="462"/>
      <c r="N350" s="448"/>
      <c r="O350" s="464"/>
      <c r="R350" s="448"/>
      <c r="S350" s="464"/>
      <c r="V350" s="448"/>
      <c r="W350" s="464"/>
      <c r="Z350" s="448"/>
      <c r="AA350" s="464"/>
      <c r="AD350" s="448"/>
      <c r="AE350" s="464"/>
      <c r="AH350" s="448"/>
      <c r="AI350" s="464"/>
      <c r="AL350" s="448"/>
      <c r="AP350" s="448"/>
    </row>
    <row r="351" spans="1:42" ht="13">
      <c r="A351" s="462"/>
      <c r="B351" s="462"/>
      <c r="N351" s="448"/>
      <c r="O351" s="464"/>
      <c r="R351" s="448"/>
      <c r="S351" s="464"/>
      <c r="V351" s="448"/>
      <c r="W351" s="464"/>
      <c r="Z351" s="448"/>
      <c r="AA351" s="464"/>
      <c r="AD351" s="448"/>
      <c r="AE351" s="464"/>
      <c r="AH351" s="448"/>
      <c r="AI351" s="464"/>
      <c r="AL351" s="448"/>
      <c r="AP351" s="448"/>
    </row>
    <row r="352" spans="1:42" ht="13">
      <c r="A352" s="462"/>
      <c r="B352" s="462"/>
      <c r="N352" s="448"/>
      <c r="O352" s="464"/>
      <c r="R352" s="448"/>
      <c r="S352" s="464"/>
      <c r="V352" s="448"/>
      <c r="W352" s="464"/>
      <c r="Z352" s="448"/>
      <c r="AA352" s="464"/>
      <c r="AD352" s="448"/>
      <c r="AE352" s="464"/>
      <c r="AH352" s="448"/>
      <c r="AI352" s="464"/>
      <c r="AL352" s="448"/>
      <c r="AP352" s="448"/>
    </row>
    <row r="353" spans="1:42" ht="13">
      <c r="A353" s="462"/>
      <c r="B353" s="462"/>
      <c r="N353" s="448"/>
      <c r="O353" s="464"/>
      <c r="R353" s="448"/>
      <c r="S353" s="464"/>
      <c r="V353" s="448"/>
      <c r="W353" s="464"/>
      <c r="Z353" s="448"/>
      <c r="AA353" s="464"/>
      <c r="AD353" s="448"/>
      <c r="AE353" s="464"/>
      <c r="AH353" s="448"/>
      <c r="AI353" s="464"/>
      <c r="AL353" s="448"/>
      <c r="AP353" s="448"/>
    </row>
    <row r="354" spans="1:42" ht="13">
      <c r="A354" s="462"/>
      <c r="B354" s="462"/>
      <c r="N354" s="448"/>
      <c r="O354" s="464"/>
      <c r="R354" s="448"/>
      <c r="S354" s="464"/>
      <c r="V354" s="448"/>
      <c r="W354" s="464"/>
      <c r="Z354" s="448"/>
      <c r="AA354" s="464"/>
      <c r="AD354" s="448"/>
      <c r="AE354" s="464"/>
      <c r="AH354" s="448"/>
      <c r="AI354" s="464"/>
      <c r="AL354" s="448"/>
      <c r="AP354" s="448"/>
    </row>
    <row r="355" spans="1:42" ht="13">
      <c r="A355" s="462"/>
      <c r="B355" s="462"/>
      <c r="N355" s="448"/>
      <c r="O355" s="464"/>
      <c r="R355" s="448"/>
      <c r="S355" s="464"/>
      <c r="V355" s="448"/>
      <c r="W355" s="464"/>
      <c r="Z355" s="448"/>
      <c r="AA355" s="464"/>
      <c r="AD355" s="448"/>
      <c r="AE355" s="464"/>
      <c r="AH355" s="448"/>
      <c r="AI355" s="464"/>
      <c r="AL355" s="448"/>
      <c r="AP355" s="448"/>
    </row>
    <row r="356" spans="1:42" ht="13">
      <c r="A356" s="462"/>
      <c r="B356" s="462"/>
      <c r="N356" s="448"/>
      <c r="O356" s="464"/>
      <c r="R356" s="448"/>
      <c r="S356" s="464"/>
      <c r="V356" s="448"/>
      <c r="W356" s="464"/>
      <c r="Z356" s="448"/>
      <c r="AA356" s="464"/>
      <c r="AD356" s="448"/>
      <c r="AE356" s="464"/>
      <c r="AH356" s="448"/>
      <c r="AI356" s="464"/>
      <c r="AL356" s="448"/>
      <c r="AP356" s="448"/>
    </row>
    <row r="357" spans="1:42" ht="13">
      <c r="A357" s="462"/>
      <c r="B357" s="462"/>
      <c r="N357" s="448"/>
      <c r="O357" s="464"/>
      <c r="R357" s="448"/>
      <c r="S357" s="464"/>
      <c r="V357" s="448"/>
      <c r="W357" s="464"/>
      <c r="Z357" s="448"/>
      <c r="AA357" s="464"/>
      <c r="AD357" s="448"/>
      <c r="AE357" s="464"/>
      <c r="AH357" s="448"/>
      <c r="AI357" s="464"/>
      <c r="AL357" s="448"/>
      <c r="AP357" s="448"/>
    </row>
    <row r="358" spans="1:42" ht="13">
      <c r="A358" s="462"/>
      <c r="B358" s="462"/>
      <c r="N358" s="448"/>
      <c r="O358" s="464"/>
      <c r="R358" s="448"/>
      <c r="S358" s="464"/>
      <c r="V358" s="448"/>
      <c r="W358" s="464"/>
      <c r="Z358" s="448"/>
      <c r="AA358" s="464"/>
      <c r="AD358" s="448"/>
      <c r="AE358" s="464"/>
      <c r="AH358" s="448"/>
      <c r="AI358" s="464"/>
      <c r="AL358" s="448"/>
      <c r="AP358" s="448"/>
    </row>
    <row r="359" spans="1:42" ht="13">
      <c r="A359" s="462"/>
      <c r="B359" s="462"/>
      <c r="N359" s="448"/>
      <c r="O359" s="464"/>
      <c r="R359" s="448"/>
      <c r="S359" s="464"/>
      <c r="V359" s="448"/>
      <c r="W359" s="464"/>
      <c r="Z359" s="448"/>
      <c r="AA359" s="464"/>
      <c r="AD359" s="448"/>
      <c r="AE359" s="464"/>
      <c r="AH359" s="448"/>
      <c r="AI359" s="464"/>
      <c r="AL359" s="448"/>
      <c r="AP359" s="448"/>
    </row>
    <row r="360" spans="1:42" ht="13">
      <c r="A360" s="462"/>
      <c r="B360" s="462"/>
      <c r="N360" s="448"/>
      <c r="O360" s="464"/>
      <c r="R360" s="448"/>
      <c r="S360" s="464"/>
      <c r="V360" s="448"/>
      <c r="W360" s="464"/>
      <c r="Z360" s="448"/>
      <c r="AA360" s="464"/>
      <c r="AD360" s="448"/>
      <c r="AE360" s="464"/>
      <c r="AH360" s="448"/>
      <c r="AI360" s="464"/>
      <c r="AL360" s="448"/>
      <c r="AP360" s="448"/>
    </row>
    <row r="361" spans="1:42" ht="13">
      <c r="A361" s="462"/>
      <c r="B361" s="462"/>
      <c r="N361" s="448"/>
      <c r="O361" s="464"/>
      <c r="R361" s="448"/>
      <c r="S361" s="464"/>
      <c r="V361" s="448"/>
      <c r="W361" s="464"/>
      <c r="Z361" s="448"/>
      <c r="AA361" s="464"/>
      <c r="AD361" s="448"/>
      <c r="AE361" s="464"/>
      <c r="AH361" s="448"/>
      <c r="AI361" s="464"/>
      <c r="AL361" s="448"/>
      <c r="AP361" s="448"/>
    </row>
    <row r="362" spans="1:42" ht="13">
      <c r="A362" s="462"/>
      <c r="B362" s="462"/>
      <c r="N362" s="448"/>
      <c r="O362" s="464"/>
      <c r="R362" s="448"/>
      <c r="S362" s="464"/>
      <c r="V362" s="448"/>
      <c r="W362" s="464"/>
      <c r="Z362" s="448"/>
      <c r="AA362" s="464"/>
      <c r="AD362" s="448"/>
      <c r="AE362" s="464"/>
      <c r="AH362" s="448"/>
      <c r="AI362" s="464"/>
      <c r="AL362" s="448"/>
      <c r="AP362" s="448"/>
    </row>
    <row r="363" spans="1:42" ht="13">
      <c r="A363" s="462"/>
      <c r="B363" s="462"/>
      <c r="N363" s="448"/>
      <c r="O363" s="464"/>
      <c r="R363" s="448"/>
      <c r="S363" s="464"/>
      <c r="V363" s="448"/>
      <c r="W363" s="464"/>
      <c r="Z363" s="448"/>
      <c r="AA363" s="464"/>
      <c r="AD363" s="448"/>
      <c r="AE363" s="464"/>
      <c r="AH363" s="448"/>
      <c r="AI363" s="464"/>
      <c r="AL363" s="448"/>
      <c r="AP363" s="448"/>
    </row>
    <row r="364" spans="1:42" ht="13">
      <c r="A364" s="462"/>
      <c r="B364" s="462"/>
      <c r="N364" s="448"/>
      <c r="O364" s="464"/>
      <c r="R364" s="448"/>
      <c r="S364" s="464"/>
      <c r="V364" s="448"/>
      <c r="W364" s="464"/>
      <c r="Z364" s="448"/>
      <c r="AA364" s="464"/>
      <c r="AD364" s="448"/>
      <c r="AE364" s="464"/>
      <c r="AH364" s="448"/>
      <c r="AI364" s="464"/>
      <c r="AL364" s="448"/>
      <c r="AP364" s="448"/>
    </row>
    <row r="365" spans="1:42" ht="13">
      <c r="A365" s="462"/>
      <c r="B365" s="462"/>
      <c r="N365" s="448"/>
      <c r="O365" s="464"/>
      <c r="R365" s="448"/>
      <c r="S365" s="464"/>
      <c r="V365" s="448"/>
      <c r="W365" s="464"/>
      <c r="Z365" s="448"/>
      <c r="AA365" s="464"/>
      <c r="AD365" s="448"/>
      <c r="AE365" s="464"/>
      <c r="AH365" s="448"/>
      <c r="AI365" s="464"/>
      <c r="AL365" s="448"/>
      <c r="AP365" s="448"/>
    </row>
    <row r="366" spans="1:42" ht="13">
      <c r="A366" s="462"/>
      <c r="B366" s="462"/>
      <c r="N366" s="448"/>
      <c r="O366" s="464"/>
      <c r="R366" s="448"/>
      <c r="S366" s="464"/>
      <c r="V366" s="448"/>
      <c r="W366" s="464"/>
      <c r="Z366" s="448"/>
      <c r="AA366" s="464"/>
      <c r="AD366" s="448"/>
      <c r="AE366" s="464"/>
      <c r="AH366" s="448"/>
      <c r="AI366" s="464"/>
      <c r="AL366" s="448"/>
      <c r="AP366" s="448"/>
    </row>
    <row r="367" spans="1:42" ht="13">
      <c r="A367" s="462"/>
      <c r="B367" s="462"/>
      <c r="N367" s="448"/>
      <c r="O367" s="464"/>
      <c r="R367" s="448"/>
      <c r="S367" s="464"/>
      <c r="V367" s="448"/>
      <c r="W367" s="464"/>
      <c r="Z367" s="448"/>
      <c r="AA367" s="464"/>
      <c r="AD367" s="448"/>
      <c r="AE367" s="464"/>
      <c r="AH367" s="448"/>
      <c r="AI367" s="464"/>
      <c r="AL367" s="448"/>
      <c r="AP367" s="448"/>
    </row>
    <row r="368" spans="1:42" ht="13">
      <c r="A368" s="462"/>
      <c r="B368" s="462"/>
      <c r="N368" s="448"/>
      <c r="O368" s="464"/>
      <c r="R368" s="448"/>
      <c r="S368" s="464"/>
      <c r="V368" s="448"/>
      <c r="W368" s="464"/>
      <c r="Z368" s="448"/>
      <c r="AA368" s="464"/>
      <c r="AD368" s="448"/>
      <c r="AE368" s="464"/>
      <c r="AH368" s="448"/>
      <c r="AI368" s="464"/>
      <c r="AL368" s="448"/>
      <c r="AP368" s="448"/>
    </row>
    <row r="369" spans="1:42" ht="13">
      <c r="A369" s="462"/>
      <c r="B369" s="462"/>
      <c r="N369" s="448"/>
      <c r="O369" s="464"/>
      <c r="R369" s="448"/>
      <c r="S369" s="464"/>
      <c r="V369" s="448"/>
      <c r="W369" s="464"/>
      <c r="Z369" s="448"/>
      <c r="AA369" s="464"/>
      <c r="AD369" s="448"/>
      <c r="AE369" s="464"/>
      <c r="AH369" s="448"/>
      <c r="AI369" s="464"/>
      <c r="AL369" s="448"/>
      <c r="AP369" s="448"/>
    </row>
    <row r="370" spans="1:42" ht="13">
      <c r="A370" s="462"/>
      <c r="B370" s="462"/>
      <c r="N370" s="448"/>
      <c r="O370" s="464"/>
      <c r="R370" s="448"/>
      <c r="S370" s="464"/>
      <c r="V370" s="448"/>
      <c r="W370" s="464"/>
      <c r="Z370" s="448"/>
      <c r="AA370" s="464"/>
      <c r="AD370" s="448"/>
      <c r="AE370" s="464"/>
      <c r="AH370" s="448"/>
      <c r="AI370" s="464"/>
      <c r="AL370" s="448"/>
      <c r="AP370" s="448"/>
    </row>
    <row r="371" spans="1:42" ht="13">
      <c r="A371" s="462"/>
      <c r="B371" s="462"/>
      <c r="N371" s="448"/>
      <c r="O371" s="464"/>
      <c r="R371" s="448"/>
      <c r="S371" s="464"/>
      <c r="V371" s="448"/>
      <c r="W371" s="464"/>
      <c r="Z371" s="448"/>
      <c r="AA371" s="464"/>
      <c r="AD371" s="448"/>
      <c r="AE371" s="464"/>
      <c r="AH371" s="448"/>
      <c r="AI371" s="464"/>
      <c r="AL371" s="448"/>
      <c r="AP371" s="448"/>
    </row>
    <row r="372" spans="1:42" ht="13">
      <c r="A372" s="462"/>
      <c r="B372" s="462"/>
      <c r="N372" s="448"/>
      <c r="O372" s="464"/>
      <c r="R372" s="448"/>
      <c r="S372" s="464"/>
      <c r="V372" s="448"/>
      <c r="W372" s="464"/>
      <c r="Z372" s="448"/>
      <c r="AA372" s="464"/>
      <c r="AD372" s="448"/>
      <c r="AE372" s="464"/>
      <c r="AH372" s="448"/>
      <c r="AI372" s="464"/>
      <c r="AL372" s="448"/>
      <c r="AP372" s="448"/>
    </row>
    <row r="373" spans="1:42" ht="13">
      <c r="A373" s="462"/>
      <c r="B373" s="462"/>
      <c r="N373" s="448"/>
      <c r="O373" s="464"/>
      <c r="R373" s="448"/>
      <c r="S373" s="464"/>
      <c r="V373" s="448"/>
      <c r="W373" s="464"/>
      <c r="Z373" s="448"/>
      <c r="AA373" s="464"/>
      <c r="AD373" s="448"/>
      <c r="AE373" s="464"/>
      <c r="AH373" s="448"/>
      <c r="AI373" s="464"/>
      <c r="AL373" s="448"/>
      <c r="AP373" s="448"/>
    </row>
    <row r="374" spans="1:42" ht="13">
      <c r="A374" s="462"/>
      <c r="B374" s="462"/>
      <c r="N374" s="448"/>
      <c r="O374" s="464"/>
      <c r="R374" s="448"/>
      <c r="S374" s="464"/>
      <c r="V374" s="448"/>
      <c r="W374" s="464"/>
      <c r="Z374" s="448"/>
      <c r="AA374" s="464"/>
      <c r="AD374" s="448"/>
      <c r="AE374" s="464"/>
      <c r="AH374" s="448"/>
      <c r="AI374" s="464"/>
      <c r="AL374" s="448"/>
      <c r="AP374" s="448"/>
    </row>
    <row r="375" spans="1:42" ht="13">
      <c r="A375" s="462"/>
      <c r="B375" s="462"/>
      <c r="N375" s="448"/>
      <c r="O375" s="464"/>
      <c r="R375" s="448"/>
      <c r="S375" s="464"/>
      <c r="V375" s="448"/>
      <c r="W375" s="464"/>
      <c r="Z375" s="448"/>
      <c r="AA375" s="464"/>
      <c r="AD375" s="448"/>
      <c r="AE375" s="464"/>
      <c r="AH375" s="448"/>
      <c r="AI375" s="464"/>
      <c r="AL375" s="448"/>
      <c r="AP375" s="448"/>
    </row>
    <row r="376" spans="1:42" ht="13">
      <c r="A376" s="462"/>
      <c r="B376" s="462"/>
      <c r="N376" s="448"/>
      <c r="O376" s="464"/>
      <c r="R376" s="448"/>
      <c r="S376" s="464"/>
      <c r="V376" s="448"/>
      <c r="W376" s="464"/>
      <c r="Z376" s="448"/>
      <c r="AA376" s="464"/>
      <c r="AD376" s="448"/>
      <c r="AE376" s="464"/>
      <c r="AH376" s="448"/>
      <c r="AI376" s="464"/>
      <c r="AL376" s="448"/>
      <c r="AP376" s="448"/>
    </row>
    <row r="377" spans="1:42" ht="13">
      <c r="A377" s="462"/>
      <c r="B377" s="462"/>
      <c r="N377" s="448"/>
      <c r="O377" s="464"/>
      <c r="R377" s="448"/>
      <c r="S377" s="464"/>
      <c r="V377" s="448"/>
      <c r="W377" s="464"/>
      <c r="Z377" s="448"/>
      <c r="AA377" s="464"/>
      <c r="AD377" s="448"/>
      <c r="AE377" s="464"/>
      <c r="AH377" s="448"/>
      <c r="AI377" s="464"/>
      <c r="AL377" s="448"/>
      <c r="AP377" s="448"/>
    </row>
    <row r="378" spans="1:42" ht="13">
      <c r="A378" s="462"/>
      <c r="B378" s="462"/>
      <c r="N378" s="448"/>
      <c r="O378" s="464"/>
      <c r="R378" s="448"/>
      <c r="S378" s="464"/>
      <c r="V378" s="448"/>
      <c r="W378" s="464"/>
      <c r="Z378" s="448"/>
      <c r="AA378" s="464"/>
      <c r="AD378" s="448"/>
      <c r="AE378" s="464"/>
      <c r="AH378" s="448"/>
      <c r="AI378" s="464"/>
      <c r="AL378" s="448"/>
      <c r="AP378" s="448"/>
    </row>
    <row r="379" spans="1:42" ht="13">
      <c r="A379" s="462"/>
      <c r="B379" s="462"/>
      <c r="N379" s="448"/>
      <c r="O379" s="464"/>
      <c r="R379" s="448"/>
      <c r="S379" s="464"/>
      <c r="V379" s="448"/>
      <c r="W379" s="464"/>
      <c r="Z379" s="448"/>
      <c r="AA379" s="464"/>
      <c r="AD379" s="448"/>
      <c r="AE379" s="464"/>
      <c r="AH379" s="448"/>
      <c r="AI379" s="464"/>
      <c r="AL379" s="448"/>
      <c r="AP379" s="448"/>
    </row>
    <row r="380" spans="1:42" ht="13">
      <c r="A380" s="462"/>
      <c r="B380" s="462"/>
      <c r="N380" s="448"/>
      <c r="O380" s="464"/>
      <c r="R380" s="448"/>
      <c r="S380" s="464"/>
      <c r="V380" s="448"/>
      <c r="W380" s="464"/>
      <c r="Z380" s="448"/>
      <c r="AA380" s="464"/>
      <c r="AD380" s="448"/>
      <c r="AE380" s="464"/>
      <c r="AH380" s="448"/>
      <c r="AI380" s="464"/>
      <c r="AL380" s="448"/>
      <c r="AP380" s="448"/>
    </row>
    <row r="381" spans="1:42" ht="13">
      <c r="A381" s="462"/>
      <c r="B381" s="462"/>
      <c r="N381" s="448"/>
      <c r="O381" s="464"/>
      <c r="R381" s="448"/>
      <c r="S381" s="464"/>
      <c r="V381" s="448"/>
      <c r="W381" s="464"/>
      <c r="Z381" s="448"/>
      <c r="AA381" s="464"/>
      <c r="AD381" s="448"/>
      <c r="AE381" s="464"/>
      <c r="AH381" s="448"/>
      <c r="AI381" s="464"/>
      <c r="AL381" s="448"/>
      <c r="AP381" s="448"/>
    </row>
    <row r="382" spans="1:42" ht="13">
      <c r="A382" s="462"/>
      <c r="B382" s="462"/>
      <c r="N382" s="448"/>
      <c r="O382" s="464"/>
      <c r="R382" s="448"/>
      <c r="S382" s="464"/>
      <c r="V382" s="448"/>
      <c r="W382" s="464"/>
      <c r="Z382" s="448"/>
      <c r="AA382" s="464"/>
      <c r="AD382" s="448"/>
      <c r="AE382" s="464"/>
      <c r="AH382" s="448"/>
      <c r="AI382" s="464"/>
      <c r="AL382" s="448"/>
      <c r="AP382" s="448"/>
    </row>
    <row r="383" spans="1:42" ht="13">
      <c r="A383" s="462"/>
      <c r="B383" s="462"/>
      <c r="N383" s="448"/>
      <c r="O383" s="464"/>
      <c r="R383" s="448"/>
      <c r="S383" s="464"/>
      <c r="V383" s="448"/>
      <c r="W383" s="464"/>
      <c r="Z383" s="448"/>
      <c r="AA383" s="464"/>
      <c r="AD383" s="448"/>
      <c r="AE383" s="464"/>
      <c r="AH383" s="448"/>
      <c r="AI383" s="464"/>
      <c r="AL383" s="448"/>
      <c r="AP383" s="448"/>
    </row>
    <row r="384" spans="1:42" ht="13">
      <c r="A384" s="462"/>
      <c r="B384" s="462"/>
      <c r="N384" s="448"/>
      <c r="O384" s="464"/>
      <c r="R384" s="448"/>
      <c r="S384" s="464"/>
      <c r="V384" s="448"/>
      <c r="W384" s="464"/>
      <c r="Z384" s="448"/>
      <c r="AA384" s="464"/>
      <c r="AD384" s="448"/>
      <c r="AE384" s="464"/>
      <c r="AH384" s="448"/>
      <c r="AI384" s="464"/>
      <c r="AL384" s="448"/>
      <c r="AP384" s="448"/>
    </row>
    <row r="385" spans="1:42" ht="13">
      <c r="A385" s="462"/>
      <c r="B385" s="462"/>
      <c r="N385" s="448"/>
      <c r="O385" s="464"/>
      <c r="R385" s="448"/>
      <c r="S385" s="464"/>
      <c r="V385" s="448"/>
      <c r="W385" s="464"/>
      <c r="Z385" s="448"/>
      <c r="AA385" s="464"/>
      <c r="AD385" s="448"/>
      <c r="AE385" s="464"/>
      <c r="AH385" s="448"/>
      <c r="AI385" s="464"/>
      <c r="AL385" s="448"/>
      <c r="AP385" s="448"/>
    </row>
    <row r="386" spans="1:42" ht="13">
      <c r="A386" s="462"/>
      <c r="B386" s="462"/>
      <c r="N386" s="448"/>
      <c r="O386" s="464"/>
      <c r="R386" s="448"/>
      <c r="S386" s="464"/>
      <c r="V386" s="448"/>
      <c r="W386" s="464"/>
      <c r="Z386" s="448"/>
      <c r="AA386" s="464"/>
      <c r="AD386" s="448"/>
      <c r="AE386" s="464"/>
      <c r="AH386" s="448"/>
      <c r="AI386" s="464"/>
      <c r="AL386" s="448"/>
      <c r="AP386" s="448"/>
    </row>
    <row r="387" spans="1:42" ht="13">
      <c r="A387" s="462"/>
      <c r="B387" s="462"/>
      <c r="N387" s="448"/>
      <c r="O387" s="464"/>
      <c r="R387" s="448"/>
      <c r="S387" s="464"/>
      <c r="V387" s="448"/>
      <c r="W387" s="464"/>
      <c r="Z387" s="448"/>
      <c r="AA387" s="464"/>
      <c r="AD387" s="448"/>
      <c r="AE387" s="464"/>
      <c r="AH387" s="448"/>
      <c r="AI387" s="464"/>
      <c r="AL387" s="448"/>
      <c r="AP387" s="448"/>
    </row>
    <row r="388" spans="1:42" ht="13">
      <c r="A388" s="462"/>
      <c r="B388" s="462"/>
      <c r="N388" s="448"/>
      <c r="O388" s="464"/>
      <c r="R388" s="448"/>
      <c r="S388" s="464"/>
      <c r="V388" s="448"/>
      <c r="W388" s="464"/>
      <c r="Z388" s="448"/>
      <c r="AA388" s="464"/>
      <c r="AD388" s="448"/>
      <c r="AE388" s="464"/>
      <c r="AH388" s="448"/>
      <c r="AI388" s="464"/>
      <c r="AL388" s="448"/>
      <c r="AP388" s="448"/>
    </row>
    <row r="389" spans="1:42" ht="13">
      <c r="A389" s="462"/>
      <c r="B389" s="462"/>
      <c r="N389" s="448"/>
      <c r="O389" s="464"/>
      <c r="R389" s="448"/>
      <c r="S389" s="464"/>
      <c r="V389" s="448"/>
      <c r="W389" s="464"/>
      <c r="Z389" s="448"/>
      <c r="AA389" s="464"/>
      <c r="AD389" s="448"/>
      <c r="AE389" s="464"/>
      <c r="AH389" s="448"/>
      <c r="AI389" s="464"/>
      <c r="AL389" s="448"/>
      <c r="AP389" s="448"/>
    </row>
    <row r="390" spans="1:42" ht="13">
      <c r="A390" s="462"/>
      <c r="B390" s="462"/>
      <c r="N390" s="448"/>
      <c r="O390" s="464"/>
      <c r="R390" s="448"/>
      <c r="S390" s="464"/>
      <c r="V390" s="448"/>
      <c r="W390" s="464"/>
      <c r="Z390" s="448"/>
      <c r="AA390" s="464"/>
      <c r="AD390" s="448"/>
      <c r="AE390" s="464"/>
      <c r="AH390" s="448"/>
      <c r="AI390" s="464"/>
      <c r="AL390" s="448"/>
      <c r="AP390" s="448"/>
    </row>
    <row r="391" spans="1:42" ht="13">
      <c r="A391" s="462"/>
      <c r="B391" s="462"/>
      <c r="N391" s="448"/>
      <c r="O391" s="464"/>
      <c r="R391" s="448"/>
      <c r="S391" s="464"/>
      <c r="V391" s="448"/>
      <c r="W391" s="464"/>
      <c r="Z391" s="448"/>
      <c r="AA391" s="464"/>
      <c r="AD391" s="448"/>
      <c r="AE391" s="464"/>
      <c r="AH391" s="448"/>
      <c r="AI391" s="464"/>
      <c r="AL391" s="448"/>
      <c r="AP391" s="448"/>
    </row>
    <row r="392" spans="1:42" ht="13">
      <c r="A392" s="462"/>
      <c r="B392" s="462"/>
      <c r="N392" s="448"/>
      <c r="O392" s="464"/>
      <c r="R392" s="448"/>
      <c r="S392" s="464"/>
      <c r="V392" s="448"/>
      <c r="W392" s="464"/>
      <c r="Z392" s="448"/>
      <c r="AA392" s="464"/>
      <c r="AD392" s="448"/>
      <c r="AE392" s="464"/>
      <c r="AH392" s="448"/>
      <c r="AI392" s="464"/>
      <c r="AL392" s="448"/>
      <c r="AP392" s="448"/>
    </row>
    <row r="393" spans="1:42" ht="13">
      <c r="A393" s="462"/>
      <c r="B393" s="462"/>
      <c r="N393" s="448"/>
      <c r="O393" s="464"/>
      <c r="R393" s="448"/>
      <c r="S393" s="464"/>
      <c r="V393" s="448"/>
      <c r="W393" s="464"/>
      <c r="Z393" s="448"/>
      <c r="AA393" s="464"/>
      <c r="AD393" s="448"/>
      <c r="AE393" s="464"/>
      <c r="AH393" s="448"/>
      <c r="AI393" s="464"/>
      <c r="AL393" s="448"/>
      <c r="AP393" s="448"/>
    </row>
    <row r="394" spans="1:42" ht="13">
      <c r="A394" s="462"/>
      <c r="B394" s="462"/>
      <c r="N394" s="448"/>
      <c r="O394" s="464"/>
      <c r="R394" s="448"/>
      <c r="S394" s="464"/>
      <c r="V394" s="448"/>
      <c r="W394" s="464"/>
      <c r="Z394" s="448"/>
      <c r="AA394" s="464"/>
      <c r="AD394" s="448"/>
      <c r="AE394" s="464"/>
      <c r="AH394" s="448"/>
      <c r="AI394" s="464"/>
      <c r="AL394" s="448"/>
      <c r="AP394" s="448"/>
    </row>
    <row r="395" spans="1:42" ht="13">
      <c r="A395" s="462"/>
      <c r="B395" s="462"/>
      <c r="N395" s="448"/>
      <c r="O395" s="464"/>
      <c r="R395" s="448"/>
      <c r="S395" s="464"/>
      <c r="V395" s="448"/>
      <c r="W395" s="464"/>
      <c r="Z395" s="448"/>
      <c r="AA395" s="464"/>
      <c r="AD395" s="448"/>
      <c r="AE395" s="464"/>
      <c r="AH395" s="448"/>
      <c r="AI395" s="464"/>
      <c r="AL395" s="448"/>
      <c r="AP395" s="448"/>
    </row>
    <row r="396" spans="1:42" ht="13">
      <c r="A396" s="462"/>
      <c r="B396" s="462"/>
      <c r="N396" s="448"/>
      <c r="O396" s="464"/>
      <c r="R396" s="448"/>
      <c r="S396" s="464"/>
      <c r="V396" s="448"/>
      <c r="W396" s="464"/>
      <c r="Z396" s="448"/>
      <c r="AA396" s="464"/>
      <c r="AD396" s="448"/>
      <c r="AE396" s="464"/>
      <c r="AH396" s="448"/>
      <c r="AI396" s="464"/>
      <c r="AL396" s="448"/>
      <c r="AP396" s="448"/>
    </row>
    <row r="397" spans="1:42" ht="13">
      <c r="A397" s="462"/>
      <c r="B397" s="462"/>
      <c r="N397" s="448"/>
      <c r="O397" s="464"/>
      <c r="R397" s="448"/>
      <c r="S397" s="464"/>
      <c r="V397" s="448"/>
      <c r="W397" s="464"/>
      <c r="Z397" s="448"/>
      <c r="AA397" s="464"/>
      <c r="AD397" s="448"/>
      <c r="AE397" s="464"/>
      <c r="AH397" s="448"/>
      <c r="AI397" s="464"/>
      <c r="AL397" s="448"/>
      <c r="AP397" s="448"/>
    </row>
    <row r="398" spans="1:42" ht="13">
      <c r="A398" s="462"/>
      <c r="B398" s="462"/>
      <c r="N398" s="448"/>
      <c r="O398" s="464"/>
      <c r="R398" s="448"/>
      <c r="S398" s="464"/>
      <c r="V398" s="448"/>
      <c r="W398" s="464"/>
      <c r="Z398" s="448"/>
      <c r="AA398" s="464"/>
      <c r="AD398" s="448"/>
      <c r="AE398" s="464"/>
      <c r="AH398" s="448"/>
      <c r="AI398" s="464"/>
      <c r="AL398" s="448"/>
      <c r="AP398" s="448"/>
    </row>
    <row r="399" spans="1:42" ht="13">
      <c r="A399" s="462"/>
      <c r="B399" s="462"/>
      <c r="N399" s="448"/>
      <c r="O399" s="464"/>
      <c r="R399" s="448"/>
      <c r="S399" s="464"/>
      <c r="V399" s="448"/>
      <c r="W399" s="464"/>
      <c r="Z399" s="448"/>
      <c r="AA399" s="464"/>
      <c r="AD399" s="448"/>
      <c r="AE399" s="464"/>
      <c r="AH399" s="448"/>
      <c r="AI399" s="464"/>
      <c r="AL399" s="448"/>
      <c r="AP399" s="448"/>
    </row>
    <row r="400" spans="1:42" ht="13">
      <c r="A400" s="462"/>
      <c r="B400" s="462"/>
      <c r="N400" s="448"/>
      <c r="O400" s="464"/>
      <c r="R400" s="448"/>
      <c r="S400" s="464"/>
      <c r="V400" s="448"/>
      <c r="W400" s="464"/>
      <c r="Z400" s="448"/>
      <c r="AA400" s="464"/>
      <c r="AD400" s="448"/>
      <c r="AE400" s="464"/>
      <c r="AH400" s="448"/>
      <c r="AI400" s="464"/>
      <c r="AL400" s="448"/>
      <c r="AP400" s="448"/>
    </row>
    <row r="401" spans="1:42" ht="13">
      <c r="A401" s="462"/>
      <c r="B401" s="462"/>
      <c r="N401" s="448"/>
      <c r="O401" s="464"/>
      <c r="R401" s="448"/>
      <c r="S401" s="464"/>
      <c r="V401" s="448"/>
      <c r="W401" s="464"/>
      <c r="Z401" s="448"/>
      <c r="AA401" s="464"/>
      <c r="AD401" s="448"/>
      <c r="AE401" s="464"/>
      <c r="AH401" s="448"/>
      <c r="AI401" s="464"/>
      <c r="AL401" s="448"/>
      <c r="AP401" s="448"/>
    </row>
    <row r="402" spans="1:42" ht="13">
      <c r="A402" s="462"/>
      <c r="B402" s="462"/>
      <c r="N402" s="448"/>
      <c r="O402" s="464"/>
      <c r="R402" s="448"/>
      <c r="S402" s="464"/>
      <c r="V402" s="448"/>
      <c r="W402" s="464"/>
      <c r="Z402" s="448"/>
      <c r="AA402" s="464"/>
      <c r="AD402" s="448"/>
      <c r="AE402" s="464"/>
      <c r="AH402" s="448"/>
      <c r="AI402" s="464"/>
      <c r="AL402" s="448"/>
      <c r="AP402" s="448"/>
    </row>
    <row r="403" spans="1:42" ht="13">
      <c r="A403" s="462"/>
      <c r="B403" s="462"/>
      <c r="N403" s="448"/>
      <c r="O403" s="464"/>
      <c r="R403" s="448"/>
      <c r="S403" s="464"/>
      <c r="V403" s="448"/>
      <c r="W403" s="464"/>
      <c r="Z403" s="448"/>
      <c r="AA403" s="464"/>
      <c r="AD403" s="448"/>
      <c r="AE403" s="464"/>
      <c r="AH403" s="448"/>
      <c r="AI403" s="464"/>
      <c r="AL403" s="448"/>
      <c r="AP403" s="448"/>
    </row>
    <row r="404" spans="1:42" ht="13">
      <c r="A404" s="462"/>
      <c r="B404" s="462"/>
      <c r="N404" s="448"/>
      <c r="O404" s="464"/>
      <c r="R404" s="448"/>
      <c r="S404" s="464"/>
      <c r="V404" s="448"/>
      <c r="W404" s="464"/>
      <c r="Z404" s="448"/>
      <c r="AA404" s="464"/>
      <c r="AD404" s="448"/>
      <c r="AE404" s="464"/>
      <c r="AH404" s="448"/>
      <c r="AI404" s="464"/>
      <c r="AL404" s="448"/>
      <c r="AP404" s="448"/>
    </row>
    <row r="405" spans="1:42" ht="13">
      <c r="A405" s="462"/>
      <c r="B405" s="462"/>
      <c r="N405" s="448"/>
      <c r="O405" s="464"/>
      <c r="R405" s="448"/>
      <c r="S405" s="464"/>
      <c r="V405" s="448"/>
      <c r="W405" s="464"/>
      <c r="Z405" s="448"/>
      <c r="AA405" s="464"/>
      <c r="AD405" s="448"/>
      <c r="AE405" s="464"/>
      <c r="AH405" s="448"/>
      <c r="AI405" s="464"/>
      <c r="AL405" s="448"/>
      <c r="AP405" s="448"/>
    </row>
    <row r="406" spans="1:42" ht="13">
      <c r="A406" s="462"/>
      <c r="B406" s="462"/>
      <c r="N406" s="448"/>
      <c r="O406" s="464"/>
      <c r="R406" s="448"/>
      <c r="S406" s="464"/>
      <c r="V406" s="448"/>
      <c r="W406" s="464"/>
      <c r="Z406" s="448"/>
      <c r="AA406" s="464"/>
      <c r="AD406" s="448"/>
      <c r="AE406" s="464"/>
      <c r="AH406" s="448"/>
      <c r="AI406" s="464"/>
      <c r="AL406" s="448"/>
      <c r="AP406" s="448"/>
    </row>
    <row r="407" spans="1:42" ht="13">
      <c r="A407" s="462"/>
      <c r="B407" s="462"/>
      <c r="N407" s="448"/>
      <c r="O407" s="464"/>
      <c r="R407" s="448"/>
      <c r="S407" s="464"/>
      <c r="V407" s="448"/>
      <c r="W407" s="464"/>
      <c r="Z407" s="448"/>
      <c r="AA407" s="464"/>
      <c r="AD407" s="448"/>
      <c r="AE407" s="464"/>
      <c r="AH407" s="448"/>
      <c r="AI407" s="464"/>
      <c r="AL407" s="448"/>
      <c r="AP407" s="448"/>
    </row>
    <row r="408" spans="1:42" ht="13">
      <c r="A408" s="462"/>
      <c r="B408" s="462"/>
      <c r="N408" s="448"/>
      <c r="O408" s="464"/>
      <c r="R408" s="448"/>
      <c r="S408" s="464"/>
      <c r="V408" s="448"/>
      <c r="W408" s="464"/>
      <c r="Z408" s="448"/>
      <c r="AA408" s="464"/>
      <c r="AD408" s="448"/>
      <c r="AE408" s="464"/>
      <c r="AH408" s="448"/>
      <c r="AI408" s="464"/>
      <c r="AL408" s="448"/>
      <c r="AP408" s="448"/>
    </row>
    <row r="409" spans="1:42" ht="13">
      <c r="A409" s="462"/>
      <c r="B409" s="462"/>
      <c r="N409" s="448"/>
      <c r="O409" s="464"/>
      <c r="R409" s="448"/>
      <c r="S409" s="464"/>
      <c r="V409" s="448"/>
      <c r="W409" s="464"/>
      <c r="Z409" s="448"/>
      <c r="AA409" s="464"/>
      <c r="AD409" s="448"/>
      <c r="AE409" s="464"/>
      <c r="AH409" s="448"/>
      <c r="AI409" s="464"/>
      <c r="AL409" s="448"/>
      <c r="AP409" s="448"/>
    </row>
    <row r="410" spans="1:42" ht="13">
      <c r="A410" s="462"/>
      <c r="B410" s="462"/>
      <c r="N410" s="448"/>
      <c r="O410" s="464"/>
      <c r="R410" s="448"/>
      <c r="S410" s="464"/>
      <c r="V410" s="448"/>
      <c r="W410" s="464"/>
      <c r="Z410" s="448"/>
      <c r="AA410" s="464"/>
      <c r="AD410" s="448"/>
      <c r="AE410" s="464"/>
      <c r="AH410" s="448"/>
      <c r="AI410" s="464"/>
      <c r="AL410" s="448"/>
      <c r="AP410" s="448"/>
    </row>
    <row r="411" spans="1:42" ht="13">
      <c r="A411" s="462"/>
      <c r="B411" s="462"/>
      <c r="N411" s="448"/>
      <c r="O411" s="464"/>
      <c r="R411" s="448"/>
      <c r="S411" s="464"/>
      <c r="V411" s="448"/>
      <c r="W411" s="464"/>
      <c r="Z411" s="448"/>
      <c r="AA411" s="464"/>
      <c r="AD411" s="448"/>
      <c r="AE411" s="464"/>
      <c r="AH411" s="448"/>
      <c r="AI411" s="464"/>
      <c r="AL411" s="448"/>
      <c r="AP411" s="448"/>
    </row>
    <row r="412" spans="1:42" ht="13">
      <c r="A412" s="462"/>
      <c r="B412" s="462"/>
      <c r="N412" s="448"/>
      <c r="O412" s="464"/>
      <c r="R412" s="448"/>
      <c r="S412" s="464"/>
      <c r="V412" s="448"/>
      <c r="W412" s="464"/>
      <c r="Z412" s="448"/>
      <c r="AA412" s="464"/>
      <c r="AD412" s="448"/>
      <c r="AE412" s="464"/>
      <c r="AH412" s="448"/>
      <c r="AI412" s="464"/>
      <c r="AL412" s="448"/>
      <c r="AP412" s="448"/>
    </row>
    <row r="413" spans="1:42" ht="13">
      <c r="A413" s="462"/>
      <c r="B413" s="462"/>
      <c r="N413" s="448"/>
      <c r="O413" s="464"/>
      <c r="R413" s="448"/>
      <c r="S413" s="464"/>
      <c r="V413" s="448"/>
      <c r="W413" s="464"/>
      <c r="Z413" s="448"/>
      <c r="AA413" s="464"/>
      <c r="AD413" s="448"/>
      <c r="AE413" s="464"/>
      <c r="AH413" s="448"/>
      <c r="AI413" s="464"/>
      <c r="AL413" s="448"/>
      <c r="AP413" s="448"/>
    </row>
    <row r="414" spans="1:42" ht="13">
      <c r="A414" s="462"/>
      <c r="B414" s="462"/>
      <c r="N414" s="448"/>
      <c r="O414" s="464"/>
      <c r="R414" s="448"/>
      <c r="S414" s="464"/>
      <c r="V414" s="448"/>
      <c r="W414" s="464"/>
      <c r="Z414" s="448"/>
      <c r="AA414" s="464"/>
      <c r="AD414" s="448"/>
      <c r="AE414" s="464"/>
      <c r="AH414" s="448"/>
      <c r="AI414" s="464"/>
      <c r="AL414" s="448"/>
      <c r="AP414" s="448"/>
    </row>
    <row r="415" spans="1:42" ht="13">
      <c r="A415" s="462"/>
      <c r="B415" s="462"/>
      <c r="N415" s="448"/>
      <c r="O415" s="464"/>
      <c r="R415" s="448"/>
      <c r="S415" s="464"/>
      <c r="V415" s="448"/>
      <c r="W415" s="464"/>
      <c r="Z415" s="448"/>
      <c r="AA415" s="464"/>
      <c r="AD415" s="448"/>
      <c r="AE415" s="464"/>
      <c r="AH415" s="448"/>
      <c r="AI415" s="464"/>
      <c r="AL415" s="448"/>
      <c r="AP415" s="448"/>
    </row>
    <row r="416" spans="1:42" ht="13">
      <c r="A416" s="462"/>
      <c r="B416" s="462"/>
      <c r="N416" s="448"/>
      <c r="O416" s="464"/>
      <c r="R416" s="448"/>
      <c r="S416" s="464"/>
      <c r="V416" s="448"/>
      <c r="W416" s="464"/>
      <c r="Z416" s="448"/>
      <c r="AA416" s="464"/>
      <c r="AD416" s="448"/>
      <c r="AE416" s="464"/>
      <c r="AH416" s="448"/>
      <c r="AI416" s="464"/>
      <c r="AL416" s="448"/>
      <c r="AP416" s="448"/>
    </row>
    <row r="417" spans="1:42" ht="13">
      <c r="A417" s="462"/>
      <c r="B417" s="462"/>
      <c r="N417" s="448"/>
      <c r="O417" s="464"/>
      <c r="R417" s="448"/>
      <c r="S417" s="464"/>
      <c r="V417" s="448"/>
      <c r="W417" s="464"/>
      <c r="Z417" s="448"/>
      <c r="AA417" s="464"/>
      <c r="AD417" s="448"/>
      <c r="AE417" s="464"/>
      <c r="AH417" s="448"/>
      <c r="AI417" s="464"/>
      <c r="AL417" s="448"/>
      <c r="AP417" s="448"/>
    </row>
    <row r="418" spans="1:42" ht="13">
      <c r="A418" s="462"/>
      <c r="B418" s="462"/>
      <c r="N418" s="448"/>
      <c r="O418" s="464"/>
      <c r="R418" s="448"/>
      <c r="S418" s="464"/>
      <c r="V418" s="448"/>
      <c r="W418" s="464"/>
      <c r="Z418" s="448"/>
      <c r="AA418" s="464"/>
      <c r="AD418" s="448"/>
      <c r="AE418" s="464"/>
      <c r="AH418" s="448"/>
      <c r="AI418" s="464"/>
      <c r="AL418" s="448"/>
      <c r="AP418" s="448"/>
    </row>
    <row r="419" spans="1:42" ht="13">
      <c r="A419" s="462"/>
      <c r="B419" s="462"/>
      <c r="N419" s="448"/>
      <c r="O419" s="464"/>
      <c r="R419" s="448"/>
      <c r="S419" s="464"/>
      <c r="V419" s="448"/>
      <c r="W419" s="464"/>
      <c r="Z419" s="448"/>
      <c r="AA419" s="464"/>
      <c r="AD419" s="448"/>
      <c r="AE419" s="464"/>
      <c r="AH419" s="448"/>
      <c r="AI419" s="464"/>
      <c r="AL419" s="448"/>
      <c r="AP419" s="448"/>
    </row>
    <row r="420" spans="1:42" ht="13">
      <c r="A420" s="462"/>
      <c r="B420" s="462"/>
      <c r="N420" s="448"/>
      <c r="O420" s="464"/>
      <c r="R420" s="448"/>
      <c r="S420" s="464"/>
      <c r="V420" s="448"/>
      <c r="W420" s="464"/>
      <c r="Z420" s="448"/>
      <c r="AA420" s="464"/>
      <c r="AD420" s="448"/>
      <c r="AE420" s="464"/>
      <c r="AH420" s="448"/>
      <c r="AI420" s="464"/>
      <c r="AL420" s="448"/>
      <c r="AP420" s="448"/>
    </row>
    <row r="421" spans="1:42" ht="13">
      <c r="A421" s="462"/>
      <c r="B421" s="462"/>
      <c r="N421" s="448"/>
      <c r="O421" s="464"/>
      <c r="R421" s="448"/>
      <c r="S421" s="464"/>
      <c r="V421" s="448"/>
      <c r="W421" s="464"/>
      <c r="Z421" s="448"/>
      <c r="AA421" s="464"/>
      <c r="AD421" s="448"/>
      <c r="AE421" s="464"/>
      <c r="AH421" s="448"/>
      <c r="AI421" s="464"/>
      <c r="AL421" s="448"/>
      <c r="AP421" s="448"/>
    </row>
    <row r="422" spans="1:42" ht="13">
      <c r="A422" s="462"/>
      <c r="B422" s="462"/>
      <c r="N422" s="448"/>
      <c r="O422" s="464"/>
      <c r="R422" s="448"/>
      <c r="S422" s="464"/>
      <c r="V422" s="448"/>
      <c r="W422" s="464"/>
      <c r="Z422" s="448"/>
      <c r="AA422" s="464"/>
      <c r="AD422" s="448"/>
      <c r="AE422" s="464"/>
      <c r="AH422" s="448"/>
      <c r="AI422" s="464"/>
      <c r="AL422" s="448"/>
      <c r="AP422" s="448"/>
    </row>
    <row r="423" spans="1:42" ht="13">
      <c r="A423" s="462"/>
      <c r="B423" s="462"/>
      <c r="N423" s="448"/>
      <c r="O423" s="464"/>
      <c r="R423" s="448"/>
      <c r="S423" s="464"/>
      <c r="V423" s="448"/>
      <c r="W423" s="464"/>
      <c r="Z423" s="448"/>
      <c r="AA423" s="464"/>
      <c r="AD423" s="448"/>
      <c r="AE423" s="464"/>
      <c r="AH423" s="448"/>
      <c r="AI423" s="464"/>
      <c r="AL423" s="448"/>
      <c r="AP423" s="448"/>
    </row>
    <row r="424" spans="1:42" ht="13">
      <c r="A424" s="462"/>
      <c r="B424" s="462"/>
      <c r="N424" s="448"/>
      <c r="O424" s="464"/>
      <c r="R424" s="448"/>
      <c r="S424" s="464"/>
      <c r="V424" s="448"/>
      <c r="W424" s="464"/>
      <c r="Z424" s="448"/>
      <c r="AA424" s="464"/>
      <c r="AD424" s="448"/>
      <c r="AE424" s="464"/>
      <c r="AH424" s="448"/>
      <c r="AI424" s="464"/>
      <c r="AL424" s="448"/>
      <c r="AP424" s="448"/>
    </row>
    <row r="425" spans="1:42" ht="13">
      <c r="A425" s="462"/>
      <c r="B425" s="462"/>
      <c r="N425" s="448"/>
      <c r="O425" s="464"/>
      <c r="R425" s="448"/>
      <c r="S425" s="464"/>
      <c r="V425" s="448"/>
      <c r="W425" s="464"/>
      <c r="Z425" s="448"/>
      <c r="AA425" s="464"/>
      <c r="AD425" s="448"/>
      <c r="AE425" s="464"/>
      <c r="AH425" s="448"/>
      <c r="AI425" s="464"/>
      <c r="AL425" s="448"/>
      <c r="AP425" s="448"/>
    </row>
    <row r="426" spans="1:42" ht="13">
      <c r="A426" s="462"/>
      <c r="B426" s="462"/>
      <c r="N426" s="448"/>
      <c r="O426" s="464"/>
      <c r="R426" s="448"/>
      <c r="S426" s="464"/>
      <c r="V426" s="448"/>
      <c r="W426" s="464"/>
      <c r="Z426" s="448"/>
      <c r="AA426" s="464"/>
      <c r="AD426" s="448"/>
      <c r="AE426" s="464"/>
      <c r="AH426" s="448"/>
      <c r="AI426" s="464"/>
      <c r="AL426" s="448"/>
      <c r="AP426" s="448"/>
    </row>
    <row r="427" spans="1:42" ht="13">
      <c r="A427" s="462"/>
      <c r="B427" s="462"/>
      <c r="N427" s="448"/>
      <c r="O427" s="464"/>
      <c r="R427" s="448"/>
      <c r="S427" s="464"/>
      <c r="V427" s="448"/>
      <c r="W427" s="464"/>
      <c r="Z427" s="448"/>
      <c r="AA427" s="464"/>
      <c r="AD427" s="448"/>
      <c r="AE427" s="464"/>
      <c r="AH427" s="448"/>
      <c r="AI427" s="464"/>
      <c r="AL427" s="448"/>
      <c r="AP427" s="448"/>
    </row>
    <row r="428" spans="1:42" ht="13">
      <c r="A428" s="462"/>
      <c r="B428" s="462"/>
      <c r="N428" s="448"/>
      <c r="O428" s="464"/>
      <c r="R428" s="448"/>
      <c r="S428" s="464"/>
      <c r="V428" s="448"/>
      <c r="W428" s="464"/>
      <c r="Z428" s="448"/>
      <c r="AA428" s="464"/>
      <c r="AD428" s="448"/>
      <c r="AE428" s="464"/>
      <c r="AH428" s="448"/>
      <c r="AI428" s="464"/>
      <c r="AL428" s="448"/>
      <c r="AP428" s="448"/>
    </row>
    <row r="429" spans="1:42" ht="13">
      <c r="A429" s="462"/>
      <c r="B429" s="462"/>
      <c r="N429" s="448"/>
      <c r="O429" s="464"/>
      <c r="R429" s="448"/>
      <c r="S429" s="464"/>
      <c r="V429" s="448"/>
      <c r="W429" s="464"/>
      <c r="Z429" s="448"/>
      <c r="AA429" s="464"/>
      <c r="AD429" s="448"/>
      <c r="AE429" s="464"/>
      <c r="AH429" s="448"/>
      <c r="AI429" s="464"/>
      <c r="AL429" s="448"/>
      <c r="AP429" s="448"/>
    </row>
    <row r="430" spans="1:42" ht="13">
      <c r="A430" s="462"/>
      <c r="B430" s="462"/>
      <c r="N430" s="448"/>
      <c r="O430" s="464"/>
      <c r="R430" s="448"/>
      <c r="S430" s="464"/>
      <c r="V430" s="448"/>
      <c r="W430" s="464"/>
      <c r="Z430" s="448"/>
      <c r="AA430" s="464"/>
      <c r="AD430" s="448"/>
      <c r="AE430" s="464"/>
      <c r="AH430" s="448"/>
      <c r="AI430" s="464"/>
      <c r="AL430" s="448"/>
      <c r="AP430" s="448"/>
    </row>
    <row r="431" spans="1:42" ht="13">
      <c r="A431" s="462"/>
      <c r="B431" s="462"/>
      <c r="N431" s="448"/>
      <c r="O431" s="464"/>
      <c r="R431" s="448"/>
      <c r="S431" s="464"/>
      <c r="V431" s="448"/>
      <c r="W431" s="464"/>
      <c r="Z431" s="448"/>
      <c r="AA431" s="464"/>
      <c r="AD431" s="448"/>
      <c r="AE431" s="464"/>
      <c r="AH431" s="448"/>
      <c r="AI431" s="464"/>
      <c r="AL431" s="448"/>
      <c r="AP431" s="448"/>
    </row>
    <row r="432" spans="1:42" ht="13">
      <c r="A432" s="462"/>
      <c r="B432" s="462"/>
      <c r="N432" s="448"/>
      <c r="O432" s="464"/>
      <c r="R432" s="448"/>
      <c r="S432" s="464"/>
      <c r="V432" s="448"/>
      <c r="W432" s="464"/>
      <c r="Z432" s="448"/>
      <c r="AA432" s="464"/>
      <c r="AD432" s="448"/>
      <c r="AE432" s="464"/>
      <c r="AH432" s="448"/>
      <c r="AI432" s="464"/>
      <c r="AL432" s="448"/>
      <c r="AP432" s="448"/>
    </row>
    <row r="433" spans="1:42" ht="13">
      <c r="A433" s="462"/>
      <c r="B433" s="462"/>
      <c r="N433" s="448"/>
      <c r="O433" s="464"/>
      <c r="R433" s="448"/>
      <c r="S433" s="464"/>
      <c r="V433" s="448"/>
      <c r="W433" s="464"/>
      <c r="Z433" s="448"/>
      <c r="AA433" s="464"/>
      <c r="AD433" s="448"/>
      <c r="AE433" s="464"/>
      <c r="AH433" s="448"/>
      <c r="AI433" s="464"/>
      <c r="AL433" s="448"/>
      <c r="AP433" s="448"/>
    </row>
    <row r="434" spans="1:42" ht="13">
      <c r="A434" s="462"/>
      <c r="B434" s="462"/>
      <c r="N434" s="448"/>
      <c r="O434" s="464"/>
      <c r="R434" s="448"/>
      <c r="S434" s="464"/>
      <c r="V434" s="448"/>
      <c r="W434" s="464"/>
      <c r="Z434" s="448"/>
      <c r="AA434" s="464"/>
      <c r="AD434" s="448"/>
      <c r="AE434" s="464"/>
      <c r="AH434" s="448"/>
      <c r="AI434" s="464"/>
      <c r="AL434" s="448"/>
      <c r="AP434" s="448"/>
    </row>
    <row r="435" spans="1:42" ht="13">
      <c r="A435" s="462"/>
      <c r="B435" s="462"/>
      <c r="N435" s="448"/>
      <c r="O435" s="464"/>
      <c r="R435" s="448"/>
      <c r="S435" s="464"/>
      <c r="V435" s="448"/>
      <c r="W435" s="464"/>
      <c r="Z435" s="448"/>
      <c r="AA435" s="464"/>
      <c r="AD435" s="448"/>
      <c r="AE435" s="464"/>
      <c r="AH435" s="448"/>
      <c r="AI435" s="464"/>
      <c r="AL435" s="448"/>
      <c r="AP435" s="448"/>
    </row>
    <row r="436" spans="1:42" ht="13">
      <c r="A436" s="462"/>
      <c r="B436" s="462"/>
      <c r="N436" s="448"/>
      <c r="O436" s="464"/>
      <c r="R436" s="448"/>
      <c r="S436" s="464"/>
      <c r="V436" s="448"/>
      <c r="W436" s="464"/>
      <c r="Z436" s="448"/>
      <c r="AA436" s="464"/>
      <c r="AD436" s="448"/>
      <c r="AE436" s="464"/>
      <c r="AH436" s="448"/>
      <c r="AI436" s="464"/>
      <c r="AL436" s="448"/>
      <c r="AP436" s="448"/>
    </row>
    <row r="437" spans="1:42" ht="13">
      <c r="A437" s="462"/>
      <c r="B437" s="462"/>
      <c r="N437" s="448"/>
      <c r="O437" s="464"/>
      <c r="R437" s="448"/>
      <c r="S437" s="464"/>
      <c r="V437" s="448"/>
      <c r="W437" s="464"/>
      <c r="Z437" s="448"/>
      <c r="AA437" s="464"/>
      <c r="AD437" s="448"/>
      <c r="AE437" s="464"/>
      <c r="AH437" s="448"/>
      <c r="AI437" s="464"/>
      <c r="AL437" s="448"/>
      <c r="AP437" s="448"/>
    </row>
    <row r="438" spans="1:42" ht="13">
      <c r="A438" s="462"/>
      <c r="B438" s="462"/>
      <c r="N438" s="448"/>
      <c r="O438" s="464"/>
      <c r="R438" s="448"/>
      <c r="S438" s="464"/>
      <c r="V438" s="448"/>
      <c r="W438" s="464"/>
      <c r="Z438" s="448"/>
      <c r="AA438" s="464"/>
      <c r="AD438" s="448"/>
      <c r="AE438" s="464"/>
      <c r="AH438" s="448"/>
      <c r="AI438" s="464"/>
      <c r="AL438" s="448"/>
      <c r="AP438" s="448"/>
    </row>
    <row r="439" spans="1:42" ht="13">
      <c r="A439" s="462"/>
      <c r="B439" s="462"/>
      <c r="N439" s="448"/>
      <c r="O439" s="464"/>
      <c r="R439" s="448"/>
      <c r="S439" s="464"/>
      <c r="V439" s="448"/>
      <c r="W439" s="464"/>
      <c r="Z439" s="448"/>
      <c r="AA439" s="464"/>
      <c r="AD439" s="448"/>
      <c r="AE439" s="464"/>
      <c r="AH439" s="448"/>
      <c r="AI439" s="464"/>
      <c r="AL439" s="448"/>
      <c r="AP439" s="448"/>
    </row>
    <row r="440" spans="1:42" ht="13">
      <c r="A440" s="462"/>
      <c r="B440" s="462"/>
      <c r="N440" s="448"/>
      <c r="O440" s="464"/>
      <c r="R440" s="448"/>
      <c r="S440" s="464"/>
      <c r="V440" s="448"/>
      <c r="W440" s="464"/>
      <c r="Z440" s="448"/>
      <c r="AA440" s="464"/>
      <c r="AD440" s="448"/>
      <c r="AE440" s="464"/>
      <c r="AH440" s="448"/>
      <c r="AI440" s="464"/>
      <c r="AL440" s="448"/>
      <c r="AP440" s="448"/>
    </row>
    <row r="441" spans="1:42" ht="13">
      <c r="A441" s="462"/>
      <c r="B441" s="462"/>
      <c r="N441" s="448"/>
      <c r="O441" s="464"/>
      <c r="R441" s="448"/>
      <c r="S441" s="464"/>
      <c r="V441" s="448"/>
      <c r="W441" s="464"/>
      <c r="Z441" s="448"/>
      <c r="AA441" s="464"/>
      <c r="AD441" s="448"/>
      <c r="AE441" s="464"/>
      <c r="AH441" s="448"/>
      <c r="AI441" s="464"/>
      <c r="AL441" s="448"/>
      <c r="AP441" s="448"/>
    </row>
    <row r="442" spans="1:42" ht="13">
      <c r="A442" s="462"/>
      <c r="B442" s="462"/>
      <c r="N442" s="448"/>
      <c r="O442" s="464"/>
      <c r="R442" s="448"/>
      <c r="S442" s="464"/>
      <c r="V442" s="448"/>
      <c r="W442" s="464"/>
      <c r="Z442" s="448"/>
      <c r="AA442" s="464"/>
      <c r="AD442" s="448"/>
      <c r="AE442" s="464"/>
      <c r="AH442" s="448"/>
      <c r="AI442" s="464"/>
      <c r="AL442" s="448"/>
      <c r="AP442" s="448"/>
    </row>
    <row r="443" spans="1:42" ht="13">
      <c r="A443" s="462"/>
      <c r="B443" s="462"/>
      <c r="N443" s="448"/>
      <c r="O443" s="464"/>
      <c r="R443" s="448"/>
      <c r="S443" s="464"/>
      <c r="V443" s="448"/>
      <c r="W443" s="464"/>
      <c r="Z443" s="448"/>
      <c r="AA443" s="464"/>
      <c r="AD443" s="448"/>
      <c r="AE443" s="464"/>
      <c r="AH443" s="448"/>
      <c r="AI443" s="464"/>
      <c r="AL443" s="448"/>
      <c r="AP443" s="448"/>
    </row>
    <row r="444" spans="1:42" ht="13">
      <c r="A444" s="462"/>
      <c r="B444" s="462"/>
      <c r="N444" s="448"/>
      <c r="O444" s="464"/>
      <c r="R444" s="448"/>
      <c r="S444" s="464"/>
      <c r="V444" s="448"/>
      <c r="W444" s="464"/>
      <c r="Z444" s="448"/>
      <c r="AA444" s="464"/>
      <c r="AD444" s="448"/>
      <c r="AE444" s="464"/>
      <c r="AH444" s="448"/>
      <c r="AI444" s="464"/>
      <c r="AL444" s="448"/>
      <c r="AP444" s="448"/>
    </row>
    <row r="445" spans="1:42" ht="13">
      <c r="A445" s="462"/>
      <c r="B445" s="462"/>
      <c r="N445" s="448"/>
      <c r="O445" s="464"/>
      <c r="R445" s="448"/>
      <c r="S445" s="464"/>
      <c r="V445" s="448"/>
      <c r="W445" s="464"/>
      <c r="Z445" s="448"/>
      <c r="AA445" s="464"/>
      <c r="AD445" s="448"/>
      <c r="AE445" s="464"/>
      <c r="AH445" s="448"/>
      <c r="AI445" s="464"/>
      <c r="AL445" s="448"/>
      <c r="AP445" s="448"/>
    </row>
    <row r="446" spans="1:42" ht="13">
      <c r="A446" s="462"/>
      <c r="B446" s="462"/>
      <c r="N446" s="448"/>
      <c r="O446" s="464"/>
      <c r="R446" s="448"/>
      <c r="S446" s="464"/>
      <c r="V446" s="448"/>
      <c r="W446" s="464"/>
      <c r="Z446" s="448"/>
      <c r="AA446" s="464"/>
      <c r="AD446" s="448"/>
      <c r="AE446" s="464"/>
      <c r="AH446" s="448"/>
      <c r="AI446" s="464"/>
      <c r="AL446" s="448"/>
      <c r="AP446" s="448"/>
    </row>
    <row r="447" spans="1:42" ht="13">
      <c r="A447" s="462"/>
      <c r="B447" s="462"/>
      <c r="N447" s="448"/>
      <c r="O447" s="464"/>
      <c r="R447" s="448"/>
      <c r="S447" s="464"/>
      <c r="V447" s="448"/>
      <c r="W447" s="464"/>
      <c r="Z447" s="448"/>
      <c r="AA447" s="464"/>
      <c r="AD447" s="448"/>
      <c r="AE447" s="464"/>
      <c r="AH447" s="448"/>
      <c r="AI447" s="464"/>
      <c r="AL447" s="448"/>
      <c r="AP447" s="448"/>
    </row>
    <row r="448" spans="1:42" ht="13">
      <c r="A448" s="462"/>
      <c r="B448" s="462"/>
      <c r="N448" s="448"/>
      <c r="O448" s="464"/>
      <c r="R448" s="448"/>
      <c r="S448" s="464"/>
      <c r="V448" s="448"/>
      <c r="W448" s="464"/>
      <c r="Z448" s="448"/>
      <c r="AA448" s="464"/>
      <c r="AD448" s="448"/>
      <c r="AE448" s="464"/>
      <c r="AH448" s="448"/>
      <c r="AI448" s="464"/>
      <c r="AL448" s="448"/>
      <c r="AP448" s="448"/>
    </row>
    <row r="449" spans="1:42" ht="13">
      <c r="A449" s="462"/>
      <c r="B449" s="462"/>
      <c r="N449" s="448"/>
      <c r="O449" s="464"/>
      <c r="R449" s="448"/>
      <c r="S449" s="464"/>
      <c r="V449" s="448"/>
      <c r="W449" s="464"/>
      <c r="Z449" s="448"/>
      <c r="AA449" s="464"/>
      <c r="AD449" s="448"/>
      <c r="AE449" s="464"/>
      <c r="AH449" s="448"/>
      <c r="AI449" s="464"/>
      <c r="AL449" s="448"/>
      <c r="AP449" s="448"/>
    </row>
    <row r="450" spans="1:42" ht="13">
      <c r="A450" s="462"/>
      <c r="B450" s="462"/>
      <c r="N450" s="448"/>
      <c r="O450" s="464"/>
      <c r="R450" s="448"/>
      <c r="S450" s="464"/>
      <c r="V450" s="448"/>
      <c r="W450" s="464"/>
      <c r="Z450" s="448"/>
      <c r="AA450" s="464"/>
      <c r="AD450" s="448"/>
      <c r="AE450" s="464"/>
      <c r="AH450" s="448"/>
      <c r="AI450" s="464"/>
      <c r="AL450" s="448"/>
      <c r="AP450" s="448"/>
    </row>
    <row r="451" spans="1:42" ht="13">
      <c r="A451" s="462"/>
      <c r="B451" s="462"/>
      <c r="N451" s="448"/>
      <c r="O451" s="464"/>
      <c r="R451" s="448"/>
      <c r="S451" s="464"/>
      <c r="V451" s="448"/>
      <c r="W451" s="464"/>
      <c r="Z451" s="448"/>
      <c r="AA451" s="464"/>
      <c r="AD451" s="448"/>
      <c r="AE451" s="464"/>
      <c r="AH451" s="448"/>
      <c r="AI451" s="464"/>
      <c r="AL451" s="448"/>
      <c r="AP451" s="448"/>
    </row>
    <row r="452" spans="1:42" ht="13">
      <c r="A452" s="462"/>
      <c r="B452" s="462"/>
      <c r="N452" s="448"/>
      <c r="O452" s="464"/>
      <c r="R452" s="448"/>
      <c r="S452" s="464"/>
      <c r="V452" s="448"/>
      <c r="W452" s="464"/>
      <c r="Z452" s="448"/>
      <c r="AA452" s="464"/>
      <c r="AD452" s="448"/>
      <c r="AE452" s="464"/>
      <c r="AH452" s="448"/>
      <c r="AI452" s="464"/>
      <c r="AL452" s="448"/>
      <c r="AP452" s="448"/>
    </row>
    <row r="453" spans="1:42" ht="13">
      <c r="A453" s="462"/>
      <c r="B453" s="462"/>
      <c r="N453" s="448"/>
      <c r="O453" s="464"/>
      <c r="R453" s="448"/>
      <c r="S453" s="464"/>
      <c r="V453" s="448"/>
      <c r="W453" s="464"/>
      <c r="Z453" s="448"/>
      <c r="AA453" s="464"/>
      <c r="AD453" s="448"/>
      <c r="AE453" s="464"/>
      <c r="AH453" s="448"/>
      <c r="AI453" s="464"/>
      <c r="AL453" s="448"/>
      <c r="AP453" s="448"/>
    </row>
    <row r="454" spans="1:42" ht="13">
      <c r="A454" s="462"/>
      <c r="B454" s="462"/>
      <c r="N454" s="448"/>
      <c r="O454" s="464"/>
      <c r="R454" s="448"/>
      <c r="S454" s="464"/>
      <c r="V454" s="448"/>
      <c r="W454" s="464"/>
      <c r="Z454" s="448"/>
      <c r="AA454" s="464"/>
      <c r="AD454" s="448"/>
      <c r="AE454" s="464"/>
      <c r="AH454" s="448"/>
      <c r="AI454" s="464"/>
      <c r="AL454" s="448"/>
      <c r="AP454" s="448"/>
    </row>
    <row r="455" spans="1:42" ht="13">
      <c r="A455" s="462"/>
      <c r="B455" s="462"/>
      <c r="N455" s="448"/>
      <c r="O455" s="464"/>
      <c r="R455" s="448"/>
      <c r="S455" s="464"/>
      <c r="V455" s="448"/>
      <c r="W455" s="464"/>
      <c r="Z455" s="448"/>
      <c r="AA455" s="464"/>
      <c r="AD455" s="448"/>
      <c r="AE455" s="464"/>
      <c r="AH455" s="448"/>
      <c r="AI455" s="464"/>
      <c r="AL455" s="448"/>
      <c r="AP455" s="448"/>
    </row>
    <row r="456" spans="1:42" ht="13">
      <c r="A456" s="462"/>
      <c r="B456" s="462"/>
      <c r="N456" s="448"/>
      <c r="O456" s="464"/>
      <c r="R456" s="448"/>
      <c r="S456" s="464"/>
      <c r="V456" s="448"/>
      <c r="W456" s="464"/>
      <c r="Z456" s="448"/>
      <c r="AA456" s="464"/>
      <c r="AD456" s="448"/>
      <c r="AE456" s="464"/>
      <c r="AH456" s="448"/>
      <c r="AI456" s="464"/>
      <c r="AL456" s="448"/>
      <c r="AP456" s="448"/>
    </row>
    <row r="457" spans="1:42" ht="13">
      <c r="A457" s="462"/>
      <c r="B457" s="462"/>
      <c r="N457" s="448"/>
      <c r="O457" s="464"/>
      <c r="R457" s="448"/>
      <c r="S457" s="464"/>
      <c r="V457" s="448"/>
      <c r="W457" s="464"/>
      <c r="Z457" s="448"/>
      <c r="AA457" s="464"/>
      <c r="AD457" s="448"/>
      <c r="AE457" s="464"/>
      <c r="AH457" s="448"/>
      <c r="AI457" s="464"/>
      <c r="AL457" s="448"/>
      <c r="AP457" s="448"/>
    </row>
    <row r="458" spans="1:42" ht="13">
      <c r="A458" s="462"/>
      <c r="B458" s="462"/>
      <c r="N458" s="448"/>
      <c r="O458" s="464"/>
      <c r="R458" s="448"/>
      <c r="S458" s="464"/>
      <c r="V458" s="448"/>
      <c r="W458" s="464"/>
      <c r="Z458" s="448"/>
      <c r="AA458" s="464"/>
      <c r="AD458" s="448"/>
      <c r="AE458" s="464"/>
      <c r="AH458" s="448"/>
      <c r="AI458" s="464"/>
      <c r="AL458" s="448"/>
      <c r="AP458" s="448"/>
    </row>
    <row r="459" spans="1:42" ht="13">
      <c r="A459" s="462"/>
      <c r="B459" s="462"/>
      <c r="N459" s="448"/>
      <c r="O459" s="464"/>
      <c r="R459" s="448"/>
      <c r="S459" s="464"/>
      <c r="V459" s="448"/>
      <c r="W459" s="464"/>
      <c r="Z459" s="448"/>
      <c r="AA459" s="464"/>
      <c r="AD459" s="448"/>
      <c r="AE459" s="464"/>
      <c r="AH459" s="448"/>
      <c r="AI459" s="464"/>
      <c r="AL459" s="448"/>
      <c r="AP459" s="448"/>
    </row>
    <row r="460" spans="1:42" ht="13">
      <c r="A460" s="462"/>
      <c r="B460" s="462"/>
      <c r="N460" s="448"/>
      <c r="O460" s="464"/>
      <c r="R460" s="448"/>
      <c r="S460" s="464"/>
      <c r="V460" s="448"/>
      <c r="W460" s="464"/>
      <c r="Z460" s="448"/>
      <c r="AA460" s="464"/>
      <c r="AD460" s="448"/>
      <c r="AE460" s="464"/>
      <c r="AH460" s="448"/>
      <c r="AI460" s="464"/>
      <c r="AL460" s="448"/>
      <c r="AP460" s="448"/>
    </row>
    <row r="461" spans="1:42" ht="13">
      <c r="A461" s="462"/>
      <c r="B461" s="462"/>
      <c r="N461" s="448"/>
      <c r="O461" s="464"/>
      <c r="R461" s="448"/>
      <c r="S461" s="464"/>
      <c r="V461" s="448"/>
      <c r="W461" s="464"/>
      <c r="Z461" s="448"/>
      <c r="AA461" s="464"/>
      <c r="AD461" s="448"/>
      <c r="AE461" s="464"/>
      <c r="AH461" s="448"/>
      <c r="AI461" s="464"/>
      <c r="AL461" s="448"/>
      <c r="AP461" s="448"/>
    </row>
    <row r="462" spans="1:42" ht="13">
      <c r="A462" s="462"/>
      <c r="B462" s="462"/>
      <c r="N462" s="448"/>
      <c r="O462" s="464"/>
      <c r="R462" s="448"/>
      <c r="S462" s="464"/>
      <c r="V462" s="448"/>
      <c r="W462" s="464"/>
      <c r="Z462" s="448"/>
      <c r="AA462" s="464"/>
      <c r="AD462" s="448"/>
      <c r="AE462" s="464"/>
      <c r="AH462" s="448"/>
      <c r="AI462" s="464"/>
      <c r="AL462" s="448"/>
      <c r="AP462" s="448"/>
    </row>
    <row r="463" spans="1:42" ht="13">
      <c r="A463" s="462"/>
      <c r="B463" s="462"/>
      <c r="N463" s="448"/>
      <c r="O463" s="464"/>
      <c r="R463" s="448"/>
      <c r="S463" s="464"/>
      <c r="V463" s="448"/>
      <c r="W463" s="464"/>
      <c r="Z463" s="448"/>
      <c r="AA463" s="464"/>
      <c r="AD463" s="448"/>
      <c r="AE463" s="464"/>
      <c r="AH463" s="448"/>
      <c r="AI463" s="464"/>
      <c r="AL463" s="448"/>
      <c r="AP463" s="448"/>
    </row>
    <row r="464" spans="1:42" ht="13">
      <c r="A464" s="462"/>
      <c r="B464" s="462"/>
      <c r="N464" s="448"/>
      <c r="O464" s="464"/>
      <c r="R464" s="448"/>
      <c r="S464" s="464"/>
      <c r="V464" s="448"/>
      <c r="W464" s="464"/>
      <c r="Z464" s="448"/>
      <c r="AA464" s="464"/>
      <c r="AD464" s="448"/>
      <c r="AE464" s="464"/>
      <c r="AH464" s="448"/>
      <c r="AI464" s="464"/>
      <c r="AL464" s="448"/>
      <c r="AP464" s="448"/>
    </row>
    <row r="465" spans="1:42" ht="13">
      <c r="A465" s="462"/>
      <c r="B465" s="462"/>
      <c r="N465" s="448"/>
      <c r="O465" s="464"/>
      <c r="R465" s="448"/>
      <c r="S465" s="464"/>
      <c r="V465" s="448"/>
      <c r="W465" s="464"/>
      <c r="Z465" s="448"/>
      <c r="AA465" s="464"/>
      <c r="AD465" s="448"/>
      <c r="AE465" s="464"/>
      <c r="AH465" s="448"/>
      <c r="AI465" s="464"/>
      <c r="AL465" s="448"/>
      <c r="AP465" s="448"/>
    </row>
    <row r="466" spans="1:42" ht="13">
      <c r="A466" s="462"/>
      <c r="B466" s="462"/>
      <c r="N466" s="448"/>
      <c r="O466" s="464"/>
      <c r="R466" s="448"/>
      <c r="S466" s="464"/>
      <c r="V466" s="448"/>
      <c r="W466" s="464"/>
      <c r="Z466" s="448"/>
      <c r="AA466" s="464"/>
      <c r="AD466" s="448"/>
      <c r="AE466" s="464"/>
      <c r="AH466" s="448"/>
      <c r="AI466" s="464"/>
      <c r="AL466" s="448"/>
      <c r="AP466" s="448"/>
    </row>
    <row r="467" spans="1:42" ht="13">
      <c r="A467" s="462"/>
      <c r="B467" s="462"/>
      <c r="N467" s="448"/>
      <c r="O467" s="464"/>
      <c r="R467" s="448"/>
      <c r="S467" s="464"/>
      <c r="V467" s="448"/>
      <c r="W467" s="464"/>
      <c r="Z467" s="448"/>
      <c r="AA467" s="464"/>
      <c r="AD467" s="448"/>
      <c r="AE467" s="464"/>
      <c r="AH467" s="448"/>
      <c r="AI467" s="464"/>
      <c r="AL467" s="448"/>
      <c r="AP467" s="448"/>
    </row>
    <row r="468" spans="1:42" ht="13">
      <c r="A468" s="462"/>
      <c r="B468" s="462"/>
      <c r="N468" s="448"/>
      <c r="O468" s="464"/>
      <c r="R468" s="448"/>
      <c r="S468" s="464"/>
      <c r="V468" s="448"/>
      <c r="W468" s="464"/>
      <c r="Z468" s="448"/>
      <c r="AA468" s="464"/>
      <c r="AD468" s="448"/>
      <c r="AE468" s="464"/>
      <c r="AH468" s="448"/>
      <c r="AI468" s="464"/>
      <c r="AL468" s="448"/>
      <c r="AP468" s="448"/>
    </row>
    <row r="469" spans="1:42" ht="13">
      <c r="A469" s="462"/>
      <c r="B469" s="462"/>
      <c r="N469" s="448"/>
      <c r="O469" s="464"/>
      <c r="R469" s="448"/>
      <c r="S469" s="464"/>
      <c r="V469" s="448"/>
      <c r="W469" s="464"/>
      <c r="Z469" s="448"/>
      <c r="AA469" s="464"/>
      <c r="AD469" s="448"/>
      <c r="AE469" s="464"/>
      <c r="AH469" s="448"/>
      <c r="AI469" s="464"/>
      <c r="AL469" s="448"/>
      <c r="AP469" s="448"/>
    </row>
    <row r="470" spans="1:42" ht="13">
      <c r="A470" s="462"/>
      <c r="B470" s="462"/>
      <c r="N470" s="448"/>
      <c r="O470" s="464"/>
      <c r="R470" s="448"/>
      <c r="S470" s="464"/>
      <c r="V470" s="448"/>
      <c r="W470" s="464"/>
      <c r="Z470" s="448"/>
      <c r="AA470" s="464"/>
      <c r="AD470" s="448"/>
      <c r="AE470" s="464"/>
      <c r="AH470" s="448"/>
      <c r="AI470" s="464"/>
      <c r="AL470" s="448"/>
      <c r="AP470" s="448"/>
    </row>
    <row r="471" spans="1:42" ht="13">
      <c r="A471" s="462"/>
      <c r="B471" s="462"/>
      <c r="N471" s="448"/>
      <c r="O471" s="464"/>
      <c r="R471" s="448"/>
      <c r="S471" s="464"/>
      <c r="V471" s="448"/>
      <c r="W471" s="464"/>
      <c r="Z471" s="448"/>
      <c r="AA471" s="464"/>
      <c r="AD471" s="448"/>
      <c r="AE471" s="464"/>
      <c r="AH471" s="448"/>
      <c r="AI471" s="464"/>
      <c r="AL471" s="448"/>
      <c r="AP471" s="448"/>
    </row>
    <row r="472" spans="1:42" ht="13">
      <c r="A472" s="462"/>
      <c r="B472" s="462"/>
      <c r="N472" s="448"/>
      <c r="O472" s="464"/>
      <c r="R472" s="448"/>
      <c r="S472" s="464"/>
      <c r="V472" s="448"/>
      <c r="W472" s="464"/>
      <c r="Z472" s="448"/>
      <c r="AA472" s="464"/>
      <c r="AD472" s="448"/>
      <c r="AE472" s="464"/>
      <c r="AH472" s="448"/>
      <c r="AI472" s="464"/>
      <c r="AL472" s="448"/>
      <c r="AP472" s="448"/>
    </row>
    <row r="473" spans="1:42" ht="13">
      <c r="A473" s="462"/>
      <c r="B473" s="462"/>
      <c r="N473" s="448"/>
      <c r="O473" s="464"/>
      <c r="R473" s="448"/>
      <c r="S473" s="464"/>
      <c r="V473" s="448"/>
      <c r="W473" s="464"/>
      <c r="Z473" s="448"/>
      <c r="AA473" s="464"/>
      <c r="AD473" s="448"/>
      <c r="AE473" s="464"/>
      <c r="AH473" s="448"/>
      <c r="AI473" s="464"/>
      <c r="AL473" s="448"/>
      <c r="AP473" s="448"/>
    </row>
    <row r="474" spans="1:42" ht="13">
      <c r="A474" s="462"/>
      <c r="B474" s="462"/>
      <c r="N474" s="448"/>
      <c r="O474" s="464"/>
      <c r="R474" s="448"/>
      <c r="S474" s="464"/>
      <c r="V474" s="448"/>
      <c r="W474" s="464"/>
      <c r="Z474" s="448"/>
      <c r="AA474" s="464"/>
      <c r="AD474" s="448"/>
      <c r="AE474" s="464"/>
      <c r="AH474" s="448"/>
      <c r="AI474" s="464"/>
      <c r="AL474" s="448"/>
      <c r="AP474" s="448"/>
    </row>
    <row r="475" spans="1:42" ht="13">
      <c r="A475" s="462"/>
      <c r="B475" s="462"/>
      <c r="N475" s="448"/>
      <c r="O475" s="464"/>
      <c r="R475" s="448"/>
      <c r="S475" s="464"/>
      <c r="V475" s="448"/>
      <c r="W475" s="464"/>
      <c r="Z475" s="448"/>
      <c r="AA475" s="464"/>
      <c r="AD475" s="448"/>
      <c r="AE475" s="464"/>
      <c r="AH475" s="448"/>
      <c r="AI475" s="464"/>
      <c r="AL475" s="448"/>
      <c r="AP475" s="448"/>
    </row>
    <row r="476" spans="1:42" ht="13">
      <c r="A476" s="462"/>
      <c r="B476" s="462"/>
      <c r="N476" s="448"/>
      <c r="O476" s="464"/>
      <c r="R476" s="448"/>
      <c r="S476" s="464"/>
      <c r="V476" s="448"/>
      <c r="W476" s="464"/>
      <c r="Z476" s="448"/>
      <c r="AA476" s="464"/>
      <c r="AD476" s="448"/>
      <c r="AE476" s="464"/>
      <c r="AH476" s="448"/>
      <c r="AI476" s="464"/>
      <c r="AL476" s="448"/>
      <c r="AP476" s="448"/>
    </row>
    <row r="477" spans="1:42" ht="13">
      <c r="A477" s="462"/>
      <c r="B477" s="462"/>
      <c r="N477" s="448"/>
      <c r="O477" s="464"/>
      <c r="R477" s="448"/>
      <c r="S477" s="464"/>
      <c r="V477" s="448"/>
      <c r="W477" s="464"/>
      <c r="Z477" s="448"/>
      <c r="AA477" s="464"/>
      <c r="AD477" s="448"/>
      <c r="AE477" s="464"/>
      <c r="AH477" s="448"/>
      <c r="AI477" s="464"/>
      <c r="AL477" s="448"/>
      <c r="AP477" s="448"/>
    </row>
    <row r="478" spans="1:42" ht="13">
      <c r="A478" s="462"/>
      <c r="B478" s="462"/>
      <c r="N478" s="448"/>
      <c r="O478" s="464"/>
      <c r="R478" s="448"/>
      <c r="S478" s="464"/>
      <c r="V478" s="448"/>
      <c r="W478" s="464"/>
      <c r="Z478" s="448"/>
      <c r="AA478" s="464"/>
      <c r="AD478" s="448"/>
      <c r="AE478" s="464"/>
      <c r="AH478" s="448"/>
      <c r="AI478" s="464"/>
      <c r="AL478" s="448"/>
      <c r="AP478" s="448"/>
    </row>
    <row r="479" spans="1:42" ht="13">
      <c r="A479" s="462"/>
      <c r="B479" s="462"/>
      <c r="N479" s="448"/>
      <c r="O479" s="464"/>
      <c r="R479" s="448"/>
      <c r="S479" s="464"/>
      <c r="V479" s="448"/>
      <c r="W479" s="464"/>
      <c r="Z479" s="448"/>
      <c r="AA479" s="464"/>
      <c r="AD479" s="448"/>
      <c r="AE479" s="464"/>
      <c r="AH479" s="448"/>
      <c r="AI479" s="464"/>
      <c r="AL479" s="448"/>
      <c r="AP479" s="448"/>
    </row>
    <row r="480" spans="1:42" ht="13">
      <c r="A480" s="462"/>
      <c r="B480" s="462"/>
      <c r="N480" s="448"/>
      <c r="O480" s="464"/>
      <c r="R480" s="448"/>
      <c r="S480" s="464"/>
      <c r="V480" s="448"/>
      <c r="W480" s="464"/>
      <c r="Z480" s="448"/>
      <c r="AA480" s="464"/>
      <c r="AD480" s="448"/>
      <c r="AE480" s="464"/>
      <c r="AH480" s="448"/>
      <c r="AI480" s="464"/>
      <c r="AL480" s="448"/>
      <c r="AP480" s="448"/>
    </row>
    <row r="481" spans="1:42" ht="13">
      <c r="A481" s="462"/>
      <c r="B481" s="462"/>
      <c r="N481" s="448"/>
      <c r="O481" s="464"/>
      <c r="R481" s="448"/>
      <c r="S481" s="464"/>
      <c r="V481" s="448"/>
      <c r="W481" s="464"/>
      <c r="Z481" s="448"/>
      <c r="AA481" s="464"/>
      <c r="AD481" s="448"/>
      <c r="AE481" s="464"/>
      <c r="AH481" s="448"/>
      <c r="AI481" s="464"/>
      <c r="AL481" s="448"/>
      <c r="AP481" s="448"/>
    </row>
    <row r="482" spans="1:42" ht="13">
      <c r="A482" s="462"/>
      <c r="B482" s="462"/>
      <c r="N482" s="448"/>
      <c r="O482" s="464"/>
      <c r="R482" s="448"/>
      <c r="S482" s="464"/>
      <c r="V482" s="448"/>
      <c r="W482" s="464"/>
      <c r="Z482" s="448"/>
      <c r="AA482" s="464"/>
      <c r="AD482" s="448"/>
      <c r="AE482" s="464"/>
      <c r="AH482" s="448"/>
      <c r="AI482" s="464"/>
      <c r="AL482" s="448"/>
      <c r="AP482" s="448"/>
    </row>
    <row r="483" spans="1:42" ht="13">
      <c r="A483" s="462"/>
      <c r="B483" s="462"/>
      <c r="N483" s="448"/>
      <c r="O483" s="464"/>
      <c r="R483" s="448"/>
      <c r="S483" s="464"/>
      <c r="V483" s="448"/>
      <c r="W483" s="464"/>
      <c r="Z483" s="448"/>
      <c r="AA483" s="464"/>
      <c r="AD483" s="448"/>
      <c r="AE483" s="464"/>
      <c r="AH483" s="448"/>
      <c r="AI483" s="464"/>
      <c r="AL483" s="448"/>
      <c r="AP483" s="448"/>
    </row>
    <row r="484" spans="1:42" ht="13">
      <c r="A484" s="462"/>
      <c r="B484" s="462"/>
      <c r="N484" s="448"/>
      <c r="O484" s="464"/>
      <c r="R484" s="448"/>
      <c r="S484" s="464"/>
      <c r="V484" s="448"/>
      <c r="W484" s="464"/>
      <c r="Z484" s="448"/>
      <c r="AA484" s="464"/>
      <c r="AD484" s="448"/>
      <c r="AE484" s="464"/>
      <c r="AH484" s="448"/>
      <c r="AI484" s="464"/>
      <c r="AL484" s="448"/>
      <c r="AP484" s="448"/>
    </row>
    <row r="485" spans="1:42" ht="13">
      <c r="A485" s="462"/>
      <c r="B485" s="462"/>
      <c r="N485" s="448"/>
      <c r="O485" s="464"/>
      <c r="R485" s="448"/>
      <c r="S485" s="464"/>
      <c r="V485" s="448"/>
      <c r="W485" s="464"/>
      <c r="Z485" s="448"/>
      <c r="AA485" s="464"/>
      <c r="AD485" s="448"/>
      <c r="AE485" s="464"/>
      <c r="AH485" s="448"/>
      <c r="AI485" s="464"/>
      <c r="AL485" s="448"/>
      <c r="AP485" s="448"/>
    </row>
    <row r="486" spans="1:42" ht="13">
      <c r="A486" s="462"/>
      <c r="B486" s="462"/>
      <c r="N486" s="448"/>
      <c r="O486" s="464"/>
      <c r="R486" s="448"/>
      <c r="S486" s="464"/>
      <c r="V486" s="448"/>
      <c r="W486" s="464"/>
      <c r="Z486" s="448"/>
      <c r="AA486" s="464"/>
      <c r="AD486" s="448"/>
      <c r="AE486" s="464"/>
      <c r="AH486" s="448"/>
      <c r="AI486" s="464"/>
      <c r="AL486" s="448"/>
      <c r="AP486" s="448"/>
    </row>
    <row r="487" spans="1:42" ht="13">
      <c r="A487" s="462"/>
      <c r="B487" s="462"/>
      <c r="N487" s="448"/>
      <c r="O487" s="464"/>
      <c r="R487" s="448"/>
      <c r="S487" s="464"/>
      <c r="V487" s="448"/>
      <c r="W487" s="464"/>
      <c r="Z487" s="448"/>
      <c r="AA487" s="464"/>
      <c r="AD487" s="448"/>
      <c r="AE487" s="464"/>
      <c r="AH487" s="448"/>
      <c r="AI487" s="464"/>
      <c r="AL487" s="448"/>
      <c r="AP487" s="448"/>
    </row>
    <row r="488" spans="1:42" ht="13">
      <c r="A488" s="462"/>
      <c r="B488" s="462"/>
      <c r="N488" s="448"/>
      <c r="O488" s="464"/>
      <c r="R488" s="448"/>
      <c r="S488" s="464"/>
      <c r="V488" s="448"/>
      <c r="W488" s="464"/>
      <c r="Z488" s="448"/>
      <c r="AA488" s="464"/>
      <c r="AD488" s="448"/>
      <c r="AE488" s="464"/>
      <c r="AH488" s="448"/>
      <c r="AI488" s="464"/>
      <c r="AL488" s="448"/>
      <c r="AP488" s="448"/>
    </row>
    <row r="489" spans="1:42" ht="13">
      <c r="A489" s="462"/>
      <c r="B489" s="462"/>
      <c r="N489" s="448"/>
      <c r="O489" s="464"/>
      <c r="R489" s="448"/>
      <c r="S489" s="464"/>
      <c r="V489" s="448"/>
      <c r="W489" s="464"/>
      <c r="Z489" s="448"/>
      <c r="AA489" s="464"/>
      <c r="AD489" s="448"/>
      <c r="AE489" s="464"/>
      <c r="AH489" s="448"/>
      <c r="AI489" s="464"/>
      <c r="AL489" s="448"/>
      <c r="AP489" s="448"/>
    </row>
    <row r="490" spans="1:42" ht="13">
      <c r="A490" s="462"/>
      <c r="B490" s="462"/>
      <c r="N490" s="448"/>
      <c r="O490" s="464"/>
      <c r="R490" s="448"/>
      <c r="S490" s="464"/>
      <c r="V490" s="448"/>
      <c r="W490" s="464"/>
      <c r="Z490" s="448"/>
      <c r="AA490" s="464"/>
      <c r="AD490" s="448"/>
      <c r="AE490" s="464"/>
      <c r="AH490" s="448"/>
      <c r="AI490" s="464"/>
      <c r="AL490" s="448"/>
      <c r="AP490" s="448"/>
    </row>
    <row r="491" spans="1:42" ht="13">
      <c r="A491" s="462"/>
      <c r="B491" s="462"/>
      <c r="N491" s="448"/>
      <c r="O491" s="464"/>
      <c r="R491" s="448"/>
      <c r="S491" s="464"/>
      <c r="V491" s="448"/>
      <c r="W491" s="464"/>
      <c r="Z491" s="448"/>
      <c r="AA491" s="464"/>
      <c r="AD491" s="448"/>
      <c r="AE491" s="464"/>
      <c r="AH491" s="448"/>
      <c r="AI491" s="464"/>
      <c r="AL491" s="448"/>
      <c r="AP491" s="448"/>
    </row>
    <row r="492" spans="1:42" ht="13">
      <c r="A492" s="462"/>
      <c r="B492" s="462"/>
      <c r="N492" s="448"/>
      <c r="O492" s="464"/>
      <c r="R492" s="448"/>
      <c r="S492" s="464"/>
      <c r="V492" s="448"/>
      <c r="W492" s="464"/>
      <c r="Z492" s="448"/>
      <c r="AA492" s="464"/>
      <c r="AD492" s="448"/>
      <c r="AE492" s="464"/>
      <c r="AH492" s="448"/>
      <c r="AI492" s="464"/>
      <c r="AL492" s="448"/>
      <c r="AP492" s="448"/>
    </row>
    <row r="493" spans="1:42" ht="13">
      <c r="A493" s="462"/>
      <c r="B493" s="462"/>
      <c r="N493" s="448"/>
      <c r="O493" s="464"/>
      <c r="R493" s="448"/>
      <c r="S493" s="464"/>
      <c r="V493" s="448"/>
      <c r="W493" s="464"/>
      <c r="Z493" s="448"/>
      <c r="AA493" s="464"/>
      <c r="AD493" s="448"/>
      <c r="AE493" s="464"/>
      <c r="AH493" s="448"/>
      <c r="AI493" s="464"/>
      <c r="AL493" s="448"/>
      <c r="AP493" s="448"/>
    </row>
    <row r="494" spans="1:42" ht="13">
      <c r="A494" s="462"/>
      <c r="B494" s="462"/>
      <c r="N494" s="448"/>
      <c r="O494" s="464"/>
      <c r="R494" s="448"/>
      <c r="S494" s="464"/>
      <c r="V494" s="448"/>
      <c r="W494" s="464"/>
      <c r="Z494" s="448"/>
      <c r="AA494" s="464"/>
      <c r="AD494" s="448"/>
      <c r="AE494" s="464"/>
      <c r="AH494" s="448"/>
      <c r="AI494" s="464"/>
      <c r="AL494" s="448"/>
      <c r="AP494" s="448"/>
    </row>
    <row r="495" spans="1:42" ht="13">
      <c r="A495" s="462"/>
      <c r="B495" s="462"/>
      <c r="N495" s="448"/>
      <c r="O495" s="464"/>
      <c r="R495" s="448"/>
      <c r="S495" s="464"/>
      <c r="V495" s="448"/>
      <c r="W495" s="464"/>
      <c r="Z495" s="448"/>
      <c r="AA495" s="464"/>
      <c r="AD495" s="448"/>
      <c r="AE495" s="464"/>
      <c r="AH495" s="448"/>
      <c r="AI495" s="464"/>
      <c r="AL495" s="448"/>
      <c r="AP495" s="448"/>
    </row>
    <row r="496" spans="1:42" ht="13">
      <c r="A496" s="462"/>
      <c r="B496" s="462"/>
      <c r="N496" s="448"/>
      <c r="O496" s="464"/>
      <c r="R496" s="448"/>
      <c r="S496" s="464"/>
      <c r="V496" s="448"/>
      <c r="W496" s="464"/>
      <c r="Z496" s="448"/>
      <c r="AA496" s="464"/>
      <c r="AD496" s="448"/>
      <c r="AE496" s="464"/>
      <c r="AH496" s="448"/>
      <c r="AI496" s="464"/>
      <c r="AL496" s="448"/>
      <c r="AP496" s="448"/>
    </row>
    <row r="497" spans="1:42" ht="13">
      <c r="A497" s="462"/>
      <c r="B497" s="462"/>
      <c r="N497" s="448"/>
      <c r="O497" s="464"/>
      <c r="R497" s="448"/>
      <c r="S497" s="464"/>
      <c r="V497" s="448"/>
      <c r="W497" s="464"/>
      <c r="Z497" s="448"/>
      <c r="AA497" s="464"/>
      <c r="AD497" s="448"/>
      <c r="AE497" s="464"/>
      <c r="AH497" s="448"/>
      <c r="AI497" s="464"/>
      <c r="AL497" s="448"/>
      <c r="AP497" s="448"/>
    </row>
    <row r="498" spans="1:42" ht="13">
      <c r="A498" s="462"/>
      <c r="B498" s="462"/>
      <c r="N498" s="448"/>
      <c r="O498" s="464"/>
      <c r="R498" s="448"/>
      <c r="S498" s="464"/>
      <c r="V498" s="448"/>
      <c r="W498" s="464"/>
      <c r="Z498" s="448"/>
      <c r="AA498" s="464"/>
      <c r="AD498" s="448"/>
      <c r="AE498" s="464"/>
      <c r="AH498" s="448"/>
      <c r="AI498" s="464"/>
      <c r="AL498" s="448"/>
      <c r="AP498" s="448"/>
    </row>
    <row r="499" spans="1:42" ht="13">
      <c r="A499" s="462"/>
      <c r="B499" s="462"/>
      <c r="N499" s="448"/>
      <c r="O499" s="464"/>
      <c r="R499" s="448"/>
      <c r="S499" s="464"/>
      <c r="V499" s="448"/>
      <c r="W499" s="464"/>
      <c r="Z499" s="448"/>
      <c r="AA499" s="464"/>
      <c r="AD499" s="448"/>
      <c r="AE499" s="464"/>
      <c r="AH499" s="448"/>
      <c r="AI499" s="464"/>
      <c r="AL499" s="448"/>
      <c r="AP499" s="448"/>
    </row>
    <row r="500" spans="1:42" ht="13">
      <c r="A500" s="462"/>
      <c r="B500" s="462"/>
      <c r="N500" s="448"/>
      <c r="O500" s="464"/>
      <c r="R500" s="448"/>
      <c r="S500" s="464"/>
      <c r="V500" s="448"/>
      <c r="W500" s="464"/>
      <c r="Z500" s="448"/>
      <c r="AA500" s="464"/>
      <c r="AD500" s="448"/>
      <c r="AE500" s="464"/>
      <c r="AH500" s="448"/>
      <c r="AI500" s="464"/>
      <c r="AL500" s="448"/>
      <c r="AP500" s="448"/>
    </row>
    <row r="501" spans="1:42" ht="13">
      <c r="A501" s="462"/>
      <c r="B501" s="462"/>
      <c r="N501" s="448"/>
      <c r="O501" s="464"/>
      <c r="R501" s="448"/>
      <c r="S501" s="464"/>
      <c r="V501" s="448"/>
      <c r="W501" s="464"/>
      <c r="Z501" s="448"/>
      <c r="AA501" s="464"/>
      <c r="AD501" s="448"/>
      <c r="AE501" s="464"/>
      <c r="AH501" s="448"/>
      <c r="AI501" s="464"/>
      <c r="AL501" s="448"/>
      <c r="AP501" s="448"/>
    </row>
    <row r="502" spans="1:42" ht="13">
      <c r="A502" s="462"/>
      <c r="B502" s="462"/>
      <c r="N502" s="448"/>
      <c r="O502" s="464"/>
      <c r="R502" s="448"/>
      <c r="S502" s="464"/>
      <c r="V502" s="448"/>
      <c r="W502" s="464"/>
      <c r="Z502" s="448"/>
      <c r="AA502" s="464"/>
      <c r="AD502" s="448"/>
      <c r="AE502" s="464"/>
      <c r="AH502" s="448"/>
      <c r="AI502" s="464"/>
      <c r="AL502" s="448"/>
      <c r="AP502" s="448"/>
    </row>
    <row r="503" spans="1:42" ht="13">
      <c r="A503" s="462"/>
      <c r="B503" s="462"/>
      <c r="N503" s="448"/>
      <c r="O503" s="464"/>
      <c r="R503" s="448"/>
      <c r="S503" s="464"/>
      <c r="V503" s="448"/>
      <c r="W503" s="464"/>
      <c r="Z503" s="448"/>
      <c r="AA503" s="464"/>
      <c r="AD503" s="448"/>
      <c r="AE503" s="464"/>
      <c r="AH503" s="448"/>
      <c r="AI503" s="464"/>
      <c r="AL503" s="448"/>
      <c r="AP503" s="448"/>
    </row>
    <row r="504" spans="1:42" ht="13">
      <c r="A504" s="462"/>
      <c r="B504" s="462"/>
      <c r="N504" s="448"/>
      <c r="O504" s="464"/>
      <c r="R504" s="448"/>
      <c r="S504" s="464"/>
      <c r="V504" s="448"/>
      <c r="W504" s="464"/>
      <c r="Z504" s="448"/>
      <c r="AA504" s="464"/>
      <c r="AD504" s="448"/>
      <c r="AE504" s="464"/>
      <c r="AH504" s="448"/>
      <c r="AI504" s="464"/>
      <c r="AL504" s="448"/>
      <c r="AP504" s="448"/>
    </row>
    <row r="505" spans="1:42" ht="13">
      <c r="A505" s="462"/>
      <c r="B505" s="462"/>
      <c r="N505" s="448"/>
      <c r="O505" s="464"/>
      <c r="R505" s="448"/>
      <c r="S505" s="464"/>
      <c r="V505" s="448"/>
      <c r="W505" s="464"/>
      <c r="Z505" s="448"/>
      <c r="AA505" s="464"/>
      <c r="AD505" s="448"/>
      <c r="AE505" s="464"/>
      <c r="AH505" s="448"/>
      <c r="AI505" s="464"/>
      <c r="AL505" s="448"/>
      <c r="AP505" s="448"/>
    </row>
    <row r="506" spans="1:42" ht="13">
      <c r="A506" s="462"/>
      <c r="B506" s="462"/>
      <c r="N506" s="448"/>
      <c r="O506" s="464"/>
      <c r="R506" s="448"/>
      <c r="S506" s="464"/>
      <c r="V506" s="448"/>
      <c r="W506" s="464"/>
      <c r="Z506" s="448"/>
      <c r="AA506" s="464"/>
      <c r="AD506" s="448"/>
      <c r="AE506" s="464"/>
      <c r="AH506" s="448"/>
      <c r="AI506" s="464"/>
      <c r="AL506" s="448"/>
      <c r="AP506" s="448"/>
    </row>
    <row r="507" spans="1:42" ht="13">
      <c r="A507" s="462"/>
      <c r="B507" s="462"/>
      <c r="N507" s="448"/>
      <c r="O507" s="464"/>
      <c r="R507" s="448"/>
      <c r="S507" s="464"/>
      <c r="V507" s="448"/>
      <c r="W507" s="464"/>
      <c r="Z507" s="448"/>
      <c r="AA507" s="464"/>
      <c r="AD507" s="448"/>
      <c r="AE507" s="464"/>
      <c r="AH507" s="448"/>
      <c r="AI507" s="464"/>
      <c r="AL507" s="448"/>
      <c r="AP507" s="448"/>
    </row>
    <row r="508" spans="1:42" ht="13">
      <c r="A508" s="462"/>
      <c r="B508" s="462"/>
      <c r="N508" s="448"/>
      <c r="O508" s="464"/>
      <c r="R508" s="448"/>
      <c r="S508" s="464"/>
      <c r="V508" s="448"/>
      <c r="W508" s="464"/>
      <c r="Z508" s="448"/>
      <c r="AA508" s="464"/>
      <c r="AD508" s="448"/>
      <c r="AE508" s="464"/>
      <c r="AH508" s="448"/>
      <c r="AI508" s="464"/>
      <c r="AL508" s="448"/>
      <c r="AP508" s="448"/>
    </row>
    <row r="509" spans="1:42" ht="13">
      <c r="A509" s="462"/>
      <c r="B509" s="462"/>
      <c r="N509" s="448"/>
      <c r="O509" s="464"/>
      <c r="R509" s="448"/>
      <c r="S509" s="464"/>
      <c r="V509" s="448"/>
      <c r="W509" s="464"/>
      <c r="Z509" s="448"/>
      <c r="AA509" s="464"/>
      <c r="AD509" s="448"/>
      <c r="AE509" s="464"/>
      <c r="AH509" s="448"/>
      <c r="AI509" s="464"/>
      <c r="AL509" s="448"/>
      <c r="AP509" s="448"/>
    </row>
    <row r="510" spans="1:42" ht="13">
      <c r="A510" s="462"/>
      <c r="B510" s="462"/>
      <c r="N510" s="448"/>
      <c r="O510" s="464"/>
      <c r="R510" s="448"/>
      <c r="S510" s="464"/>
      <c r="V510" s="448"/>
      <c r="W510" s="464"/>
      <c r="Z510" s="448"/>
      <c r="AA510" s="464"/>
      <c r="AD510" s="448"/>
      <c r="AE510" s="464"/>
      <c r="AH510" s="448"/>
      <c r="AI510" s="464"/>
      <c r="AL510" s="448"/>
      <c r="AP510" s="448"/>
    </row>
    <row r="511" spans="1:42" ht="13">
      <c r="A511" s="462"/>
      <c r="B511" s="462"/>
      <c r="N511" s="448"/>
      <c r="O511" s="464"/>
      <c r="R511" s="448"/>
      <c r="S511" s="464"/>
      <c r="V511" s="448"/>
      <c r="W511" s="464"/>
      <c r="Z511" s="448"/>
      <c r="AA511" s="464"/>
      <c r="AD511" s="448"/>
      <c r="AE511" s="464"/>
      <c r="AH511" s="448"/>
      <c r="AI511" s="464"/>
      <c r="AL511" s="448"/>
      <c r="AP511" s="448"/>
    </row>
    <row r="512" spans="1:42" ht="13">
      <c r="A512" s="462"/>
      <c r="B512" s="462"/>
      <c r="N512" s="448"/>
      <c r="O512" s="464"/>
      <c r="R512" s="448"/>
      <c r="S512" s="464"/>
      <c r="V512" s="448"/>
      <c r="W512" s="464"/>
      <c r="Z512" s="448"/>
      <c r="AA512" s="464"/>
      <c r="AD512" s="448"/>
      <c r="AE512" s="464"/>
      <c r="AH512" s="448"/>
      <c r="AI512" s="464"/>
      <c r="AL512" s="448"/>
      <c r="AP512" s="448"/>
    </row>
    <row r="513" spans="1:42" ht="13">
      <c r="A513" s="462"/>
      <c r="B513" s="462"/>
      <c r="N513" s="448"/>
      <c r="O513" s="464"/>
      <c r="R513" s="448"/>
      <c r="S513" s="464"/>
      <c r="V513" s="448"/>
      <c r="W513" s="464"/>
      <c r="Z513" s="448"/>
      <c r="AA513" s="464"/>
      <c r="AD513" s="448"/>
      <c r="AE513" s="464"/>
      <c r="AH513" s="448"/>
      <c r="AI513" s="464"/>
      <c r="AL513" s="448"/>
      <c r="AP513" s="448"/>
    </row>
    <row r="514" spans="1:42" ht="13">
      <c r="A514" s="462"/>
      <c r="B514" s="462"/>
      <c r="N514" s="448"/>
      <c r="O514" s="464"/>
      <c r="R514" s="448"/>
      <c r="S514" s="464"/>
      <c r="V514" s="448"/>
      <c r="W514" s="464"/>
      <c r="Z514" s="448"/>
      <c r="AA514" s="464"/>
      <c r="AD514" s="448"/>
      <c r="AE514" s="464"/>
      <c r="AH514" s="448"/>
      <c r="AI514" s="464"/>
      <c r="AL514" s="448"/>
      <c r="AP514" s="448"/>
    </row>
    <row r="515" spans="1:42" ht="13">
      <c r="A515" s="462"/>
      <c r="B515" s="462"/>
      <c r="N515" s="448"/>
      <c r="O515" s="464"/>
      <c r="R515" s="448"/>
      <c r="S515" s="464"/>
      <c r="V515" s="448"/>
      <c r="W515" s="464"/>
      <c r="Z515" s="448"/>
      <c r="AA515" s="464"/>
      <c r="AD515" s="448"/>
      <c r="AE515" s="464"/>
      <c r="AH515" s="448"/>
      <c r="AI515" s="464"/>
      <c r="AL515" s="448"/>
      <c r="AP515" s="448"/>
    </row>
    <row r="516" spans="1:42" ht="13">
      <c r="A516" s="462"/>
      <c r="B516" s="462"/>
      <c r="N516" s="448"/>
      <c r="O516" s="464"/>
      <c r="R516" s="448"/>
      <c r="S516" s="464"/>
      <c r="V516" s="448"/>
      <c r="W516" s="464"/>
      <c r="Z516" s="448"/>
      <c r="AA516" s="464"/>
      <c r="AD516" s="448"/>
      <c r="AE516" s="464"/>
      <c r="AH516" s="448"/>
      <c r="AI516" s="464"/>
      <c r="AL516" s="448"/>
      <c r="AP516" s="448"/>
    </row>
    <row r="517" spans="1:42" ht="13">
      <c r="A517" s="462"/>
      <c r="B517" s="462"/>
      <c r="N517" s="448"/>
      <c r="O517" s="464"/>
      <c r="R517" s="448"/>
      <c r="S517" s="464"/>
      <c r="V517" s="448"/>
      <c r="W517" s="464"/>
      <c r="Z517" s="448"/>
      <c r="AA517" s="464"/>
      <c r="AD517" s="448"/>
      <c r="AE517" s="464"/>
      <c r="AH517" s="448"/>
      <c r="AI517" s="464"/>
      <c r="AL517" s="448"/>
      <c r="AP517" s="448"/>
    </row>
    <row r="518" spans="1:42" ht="13">
      <c r="A518" s="462"/>
      <c r="B518" s="462"/>
      <c r="N518" s="448"/>
      <c r="O518" s="464"/>
      <c r="R518" s="448"/>
      <c r="S518" s="464"/>
      <c r="V518" s="448"/>
      <c r="W518" s="464"/>
      <c r="Z518" s="448"/>
      <c r="AA518" s="464"/>
      <c r="AD518" s="448"/>
      <c r="AE518" s="464"/>
      <c r="AH518" s="448"/>
      <c r="AI518" s="464"/>
      <c r="AL518" s="448"/>
      <c r="AP518" s="448"/>
    </row>
    <row r="519" spans="1:42" ht="13">
      <c r="A519" s="462"/>
      <c r="B519" s="462"/>
      <c r="N519" s="448"/>
      <c r="O519" s="464"/>
      <c r="R519" s="448"/>
      <c r="S519" s="464"/>
      <c r="V519" s="448"/>
      <c r="W519" s="464"/>
      <c r="Z519" s="448"/>
      <c r="AA519" s="464"/>
      <c r="AD519" s="448"/>
      <c r="AE519" s="464"/>
      <c r="AH519" s="448"/>
      <c r="AI519" s="464"/>
      <c r="AL519" s="448"/>
      <c r="AP519" s="448"/>
    </row>
    <row r="520" spans="1:42" ht="13">
      <c r="A520" s="462"/>
      <c r="B520" s="462"/>
      <c r="N520" s="448"/>
      <c r="O520" s="464"/>
      <c r="R520" s="448"/>
      <c r="S520" s="464"/>
      <c r="V520" s="448"/>
      <c r="W520" s="464"/>
      <c r="Z520" s="448"/>
      <c r="AA520" s="464"/>
      <c r="AD520" s="448"/>
      <c r="AE520" s="464"/>
      <c r="AH520" s="448"/>
      <c r="AI520" s="464"/>
      <c r="AL520" s="448"/>
      <c r="AP520" s="448"/>
    </row>
    <row r="521" spans="1:42" ht="13">
      <c r="A521" s="462"/>
      <c r="B521" s="462"/>
      <c r="N521" s="448"/>
      <c r="O521" s="464"/>
      <c r="R521" s="448"/>
      <c r="S521" s="464"/>
      <c r="V521" s="448"/>
      <c r="W521" s="464"/>
      <c r="Z521" s="448"/>
      <c r="AA521" s="464"/>
      <c r="AD521" s="448"/>
      <c r="AE521" s="464"/>
      <c r="AH521" s="448"/>
      <c r="AI521" s="464"/>
      <c r="AL521" s="448"/>
      <c r="AP521" s="448"/>
    </row>
    <row r="522" spans="1:42" ht="13">
      <c r="A522" s="462"/>
      <c r="B522" s="462"/>
      <c r="N522" s="448"/>
      <c r="O522" s="464"/>
      <c r="R522" s="448"/>
      <c r="S522" s="464"/>
      <c r="V522" s="448"/>
      <c r="W522" s="464"/>
      <c r="Z522" s="448"/>
      <c r="AA522" s="464"/>
      <c r="AD522" s="448"/>
      <c r="AE522" s="464"/>
      <c r="AH522" s="448"/>
      <c r="AI522" s="464"/>
      <c r="AL522" s="448"/>
      <c r="AP522" s="448"/>
    </row>
    <row r="523" spans="1:42" ht="13">
      <c r="A523" s="462"/>
      <c r="B523" s="462"/>
      <c r="N523" s="448"/>
      <c r="O523" s="464"/>
      <c r="R523" s="448"/>
      <c r="S523" s="464"/>
      <c r="V523" s="448"/>
      <c r="W523" s="464"/>
      <c r="Z523" s="448"/>
      <c r="AA523" s="464"/>
      <c r="AD523" s="448"/>
      <c r="AE523" s="464"/>
      <c r="AH523" s="448"/>
      <c r="AI523" s="464"/>
      <c r="AL523" s="448"/>
      <c r="AP523" s="448"/>
    </row>
    <row r="524" spans="1:42" ht="13">
      <c r="A524" s="462"/>
      <c r="B524" s="462"/>
      <c r="N524" s="448"/>
      <c r="O524" s="464"/>
      <c r="R524" s="448"/>
      <c r="S524" s="464"/>
      <c r="V524" s="448"/>
      <c r="W524" s="464"/>
      <c r="Z524" s="448"/>
      <c r="AA524" s="464"/>
      <c r="AD524" s="448"/>
      <c r="AE524" s="464"/>
      <c r="AH524" s="448"/>
      <c r="AI524" s="464"/>
      <c r="AL524" s="448"/>
      <c r="AP524" s="448"/>
    </row>
    <row r="525" spans="1:42" ht="13">
      <c r="A525" s="462"/>
      <c r="B525" s="462"/>
      <c r="N525" s="448"/>
      <c r="O525" s="464"/>
      <c r="R525" s="448"/>
      <c r="S525" s="464"/>
      <c r="V525" s="448"/>
      <c r="W525" s="464"/>
      <c r="Z525" s="448"/>
      <c r="AA525" s="464"/>
      <c r="AD525" s="448"/>
      <c r="AE525" s="464"/>
      <c r="AH525" s="448"/>
      <c r="AI525" s="464"/>
      <c r="AL525" s="448"/>
      <c r="AP525" s="448"/>
    </row>
    <row r="526" spans="1:42" ht="13">
      <c r="A526" s="462"/>
      <c r="B526" s="462"/>
      <c r="N526" s="448"/>
      <c r="O526" s="464"/>
      <c r="R526" s="448"/>
      <c r="S526" s="464"/>
      <c r="V526" s="448"/>
      <c r="W526" s="464"/>
      <c r="Z526" s="448"/>
      <c r="AA526" s="464"/>
      <c r="AD526" s="448"/>
      <c r="AE526" s="464"/>
      <c r="AH526" s="448"/>
      <c r="AI526" s="464"/>
      <c r="AL526" s="448"/>
      <c r="AP526" s="448"/>
    </row>
    <row r="527" spans="1:42" ht="13">
      <c r="A527" s="462"/>
      <c r="B527" s="462"/>
      <c r="N527" s="448"/>
      <c r="O527" s="464"/>
      <c r="R527" s="448"/>
      <c r="S527" s="464"/>
      <c r="V527" s="448"/>
      <c r="W527" s="464"/>
      <c r="Z527" s="448"/>
      <c r="AA527" s="464"/>
      <c r="AD527" s="448"/>
      <c r="AE527" s="464"/>
      <c r="AH527" s="448"/>
      <c r="AI527" s="464"/>
      <c r="AL527" s="448"/>
      <c r="AP527" s="448"/>
    </row>
    <row r="528" spans="1:42" ht="13">
      <c r="A528" s="462"/>
      <c r="B528" s="462"/>
      <c r="N528" s="448"/>
      <c r="O528" s="464"/>
      <c r="R528" s="448"/>
      <c r="S528" s="464"/>
      <c r="V528" s="448"/>
      <c r="W528" s="464"/>
      <c r="Z528" s="448"/>
      <c r="AA528" s="464"/>
      <c r="AD528" s="448"/>
      <c r="AE528" s="464"/>
      <c r="AH528" s="448"/>
      <c r="AI528" s="464"/>
      <c r="AL528" s="448"/>
      <c r="AP528" s="448"/>
    </row>
    <row r="529" spans="1:42" ht="13">
      <c r="A529" s="462"/>
      <c r="B529" s="462"/>
      <c r="N529" s="448"/>
      <c r="O529" s="464"/>
      <c r="R529" s="448"/>
      <c r="S529" s="464"/>
      <c r="V529" s="448"/>
      <c r="W529" s="464"/>
      <c r="Z529" s="448"/>
      <c r="AA529" s="464"/>
      <c r="AD529" s="448"/>
      <c r="AE529" s="464"/>
      <c r="AH529" s="448"/>
      <c r="AI529" s="464"/>
      <c r="AL529" s="448"/>
      <c r="AP529" s="448"/>
    </row>
    <row r="530" spans="1:42" ht="13">
      <c r="A530" s="462"/>
      <c r="B530" s="462"/>
      <c r="N530" s="448"/>
      <c r="O530" s="464"/>
      <c r="R530" s="448"/>
      <c r="S530" s="464"/>
      <c r="V530" s="448"/>
      <c r="W530" s="464"/>
      <c r="Z530" s="448"/>
      <c r="AA530" s="464"/>
      <c r="AD530" s="448"/>
      <c r="AE530" s="464"/>
      <c r="AH530" s="448"/>
      <c r="AI530" s="464"/>
      <c r="AL530" s="448"/>
      <c r="AP530" s="448"/>
    </row>
    <row r="531" spans="1:42" ht="13">
      <c r="A531" s="462"/>
      <c r="B531" s="462"/>
      <c r="N531" s="448"/>
      <c r="O531" s="464"/>
      <c r="R531" s="448"/>
      <c r="S531" s="464"/>
      <c r="V531" s="448"/>
      <c r="W531" s="464"/>
      <c r="Z531" s="448"/>
      <c r="AA531" s="464"/>
      <c r="AD531" s="448"/>
      <c r="AE531" s="464"/>
      <c r="AH531" s="448"/>
      <c r="AI531" s="464"/>
      <c r="AL531" s="448"/>
      <c r="AP531" s="448"/>
    </row>
    <row r="532" spans="1:42" ht="13">
      <c r="A532" s="462"/>
      <c r="B532" s="462"/>
      <c r="N532" s="448"/>
      <c r="O532" s="464"/>
      <c r="R532" s="448"/>
      <c r="S532" s="464"/>
      <c r="V532" s="448"/>
      <c r="W532" s="464"/>
      <c r="Z532" s="448"/>
      <c r="AA532" s="464"/>
      <c r="AD532" s="448"/>
      <c r="AE532" s="464"/>
      <c r="AH532" s="448"/>
      <c r="AI532" s="464"/>
      <c r="AL532" s="448"/>
      <c r="AP532" s="448"/>
    </row>
    <row r="533" spans="1:42" ht="13">
      <c r="A533" s="462"/>
      <c r="B533" s="462"/>
      <c r="N533" s="448"/>
      <c r="O533" s="464"/>
      <c r="R533" s="448"/>
      <c r="S533" s="464"/>
      <c r="V533" s="448"/>
      <c r="W533" s="464"/>
      <c r="Z533" s="448"/>
      <c r="AA533" s="464"/>
      <c r="AD533" s="448"/>
      <c r="AE533" s="464"/>
      <c r="AH533" s="448"/>
      <c r="AI533" s="464"/>
      <c r="AL533" s="448"/>
      <c r="AP533" s="448"/>
    </row>
    <row r="534" spans="1:42" ht="13">
      <c r="A534" s="462"/>
      <c r="B534" s="462"/>
      <c r="N534" s="448"/>
      <c r="O534" s="464"/>
      <c r="R534" s="448"/>
      <c r="S534" s="464"/>
      <c r="V534" s="448"/>
      <c r="W534" s="464"/>
      <c r="Z534" s="448"/>
      <c r="AA534" s="464"/>
      <c r="AD534" s="448"/>
      <c r="AE534" s="464"/>
      <c r="AH534" s="448"/>
      <c r="AI534" s="464"/>
      <c r="AL534" s="448"/>
      <c r="AP534" s="448"/>
    </row>
    <row r="535" spans="1:42" ht="13">
      <c r="A535" s="462"/>
      <c r="B535" s="462"/>
      <c r="N535" s="448"/>
      <c r="O535" s="464"/>
      <c r="R535" s="448"/>
      <c r="S535" s="464"/>
      <c r="V535" s="448"/>
      <c r="W535" s="464"/>
      <c r="Z535" s="448"/>
      <c r="AA535" s="464"/>
      <c r="AD535" s="448"/>
      <c r="AE535" s="464"/>
      <c r="AH535" s="448"/>
      <c r="AI535" s="464"/>
      <c r="AL535" s="448"/>
      <c r="AP535" s="448"/>
    </row>
    <row r="536" spans="1:42" ht="13">
      <c r="A536" s="462"/>
      <c r="B536" s="462"/>
      <c r="N536" s="448"/>
      <c r="O536" s="464"/>
      <c r="R536" s="448"/>
      <c r="S536" s="464"/>
      <c r="V536" s="448"/>
      <c r="W536" s="464"/>
      <c r="Z536" s="448"/>
      <c r="AA536" s="464"/>
      <c r="AD536" s="448"/>
      <c r="AE536" s="464"/>
      <c r="AH536" s="448"/>
      <c r="AI536" s="464"/>
      <c r="AL536" s="448"/>
      <c r="AP536" s="448"/>
    </row>
    <row r="537" spans="1:42" ht="13">
      <c r="A537" s="462"/>
      <c r="B537" s="462"/>
      <c r="N537" s="448"/>
      <c r="O537" s="464"/>
      <c r="R537" s="448"/>
      <c r="S537" s="464"/>
      <c r="V537" s="448"/>
      <c r="W537" s="464"/>
      <c r="Z537" s="448"/>
      <c r="AA537" s="464"/>
      <c r="AD537" s="448"/>
      <c r="AE537" s="464"/>
      <c r="AH537" s="448"/>
      <c r="AI537" s="464"/>
      <c r="AL537" s="448"/>
      <c r="AP537" s="448"/>
    </row>
    <row r="538" spans="1:42" ht="13">
      <c r="A538" s="462"/>
      <c r="B538" s="462"/>
      <c r="N538" s="448"/>
      <c r="O538" s="464"/>
      <c r="R538" s="448"/>
      <c r="S538" s="464"/>
      <c r="V538" s="448"/>
      <c r="W538" s="464"/>
      <c r="Z538" s="448"/>
      <c r="AA538" s="464"/>
      <c r="AD538" s="448"/>
      <c r="AE538" s="464"/>
      <c r="AH538" s="448"/>
      <c r="AI538" s="464"/>
      <c r="AL538" s="448"/>
      <c r="AP538" s="448"/>
    </row>
    <row r="539" spans="1:42" ht="13">
      <c r="A539" s="462"/>
      <c r="B539" s="462"/>
      <c r="N539" s="448"/>
      <c r="O539" s="464"/>
      <c r="R539" s="448"/>
      <c r="S539" s="464"/>
      <c r="V539" s="448"/>
      <c r="W539" s="464"/>
      <c r="Z539" s="448"/>
      <c r="AA539" s="464"/>
      <c r="AD539" s="448"/>
      <c r="AE539" s="464"/>
      <c r="AH539" s="448"/>
      <c r="AI539" s="464"/>
      <c r="AL539" s="448"/>
      <c r="AP539" s="448"/>
    </row>
    <row r="540" spans="1:42" ht="13">
      <c r="A540" s="462"/>
      <c r="B540" s="462"/>
      <c r="N540" s="448"/>
      <c r="O540" s="464"/>
      <c r="R540" s="448"/>
      <c r="S540" s="464"/>
      <c r="V540" s="448"/>
      <c r="W540" s="464"/>
      <c r="Z540" s="448"/>
      <c r="AA540" s="464"/>
      <c r="AD540" s="448"/>
      <c r="AE540" s="464"/>
      <c r="AH540" s="448"/>
      <c r="AI540" s="464"/>
      <c r="AL540" s="448"/>
      <c r="AP540" s="448"/>
    </row>
    <row r="541" spans="1:42" ht="13">
      <c r="A541" s="462"/>
      <c r="B541" s="462"/>
      <c r="N541" s="448"/>
      <c r="O541" s="464"/>
      <c r="R541" s="448"/>
      <c r="S541" s="464"/>
      <c r="V541" s="448"/>
      <c r="W541" s="464"/>
      <c r="Z541" s="448"/>
      <c r="AA541" s="464"/>
      <c r="AD541" s="448"/>
      <c r="AE541" s="464"/>
      <c r="AH541" s="448"/>
      <c r="AI541" s="464"/>
      <c r="AL541" s="448"/>
      <c r="AP541" s="448"/>
    </row>
    <row r="542" spans="1:42" ht="13">
      <c r="A542" s="462"/>
      <c r="B542" s="462"/>
      <c r="N542" s="448"/>
      <c r="O542" s="464"/>
      <c r="R542" s="448"/>
      <c r="S542" s="464"/>
      <c r="V542" s="448"/>
      <c r="W542" s="464"/>
      <c r="Z542" s="448"/>
      <c r="AA542" s="464"/>
      <c r="AD542" s="448"/>
      <c r="AE542" s="464"/>
      <c r="AH542" s="448"/>
      <c r="AI542" s="464"/>
      <c r="AL542" s="448"/>
      <c r="AP542" s="448"/>
    </row>
    <row r="543" spans="1:42" ht="13">
      <c r="A543" s="462"/>
      <c r="B543" s="462"/>
      <c r="N543" s="448"/>
      <c r="O543" s="464"/>
      <c r="R543" s="448"/>
      <c r="S543" s="464"/>
      <c r="V543" s="448"/>
      <c r="W543" s="464"/>
      <c r="Z543" s="448"/>
      <c r="AA543" s="464"/>
      <c r="AD543" s="448"/>
      <c r="AE543" s="464"/>
      <c r="AH543" s="448"/>
      <c r="AI543" s="464"/>
      <c r="AL543" s="448"/>
      <c r="AP543" s="448"/>
    </row>
    <row r="544" spans="1:42" ht="13">
      <c r="A544" s="462"/>
      <c r="B544" s="462"/>
      <c r="N544" s="448"/>
      <c r="O544" s="464"/>
      <c r="R544" s="448"/>
      <c r="S544" s="464"/>
      <c r="V544" s="448"/>
      <c r="W544" s="464"/>
      <c r="Z544" s="448"/>
      <c r="AA544" s="464"/>
      <c r="AD544" s="448"/>
      <c r="AE544" s="464"/>
      <c r="AH544" s="448"/>
      <c r="AI544" s="464"/>
      <c r="AL544" s="448"/>
      <c r="AP544" s="448"/>
    </row>
    <row r="545" spans="1:42" ht="13">
      <c r="A545" s="462"/>
      <c r="B545" s="462"/>
      <c r="N545" s="448"/>
      <c r="O545" s="464"/>
      <c r="R545" s="448"/>
      <c r="S545" s="464"/>
      <c r="V545" s="448"/>
      <c r="W545" s="464"/>
      <c r="Z545" s="448"/>
      <c r="AA545" s="464"/>
      <c r="AD545" s="448"/>
      <c r="AE545" s="464"/>
      <c r="AH545" s="448"/>
      <c r="AI545" s="464"/>
      <c r="AL545" s="448"/>
      <c r="AP545" s="448"/>
    </row>
    <row r="546" spans="1:42" ht="13">
      <c r="A546" s="462"/>
      <c r="B546" s="462"/>
      <c r="N546" s="448"/>
      <c r="O546" s="464"/>
      <c r="R546" s="448"/>
      <c r="S546" s="464"/>
      <c r="V546" s="448"/>
      <c r="W546" s="464"/>
      <c r="Z546" s="448"/>
      <c r="AA546" s="464"/>
      <c r="AD546" s="448"/>
      <c r="AE546" s="464"/>
      <c r="AH546" s="448"/>
      <c r="AI546" s="464"/>
      <c r="AL546" s="448"/>
      <c r="AP546" s="448"/>
    </row>
    <row r="547" spans="1:42" ht="13">
      <c r="A547" s="462"/>
      <c r="B547" s="462"/>
      <c r="N547" s="448"/>
      <c r="O547" s="464"/>
      <c r="R547" s="448"/>
      <c r="S547" s="464"/>
      <c r="V547" s="448"/>
      <c r="W547" s="464"/>
      <c r="Z547" s="448"/>
      <c r="AA547" s="464"/>
      <c r="AD547" s="448"/>
      <c r="AE547" s="464"/>
      <c r="AH547" s="448"/>
      <c r="AI547" s="464"/>
      <c r="AL547" s="448"/>
      <c r="AP547" s="448"/>
    </row>
    <row r="548" spans="1:42" ht="13">
      <c r="A548" s="462"/>
      <c r="B548" s="462"/>
      <c r="N548" s="448"/>
      <c r="O548" s="464"/>
      <c r="R548" s="448"/>
      <c r="S548" s="464"/>
      <c r="V548" s="448"/>
      <c r="W548" s="464"/>
      <c r="Z548" s="448"/>
      <c r="AA548" s="464"/>
      <c r="AD548" s="448"/>
      <c r="AE548" s="464"/>
      <c r="AH548" s="448"/>
      <c r="AI548" s="464"/>
      <c r="AL548" s="448"/>
      <c r="AP548" s="448"/>
    </row>
    <row r="549" spans="1:42" ht="13">
      <c r="A549" s="462"/>
      <c r="B549" s="462"/>
      <c r="N549" s="448"/>
      <c r="O549" s="464"/>
      <c r="R549" s="448"/>
      <c r="S549" s="464"/>
      <c r="V549" s="448"/>
      <c r="W549" s="464"/>
      <c r="Z549" s="448"/>
      <c r="AA549" s="464"/>
      <c r="AD549" s="448"/>
      <c r="AE549" s="464"/>
      <c r="AH549" s="448"/>
      <c r="AI549" s="464"/>
      <c r="AL549" s="448"/>
      <c r="AP549" s="448"/>
    </row>
    <row r="550" spans="1:42" ht="13">
      <c r="A550" s="462"/>
      <c r="B550" s="462"/>
      <c r="N550" s="448"/>
      <c r="O550" s="464"/>
      <c r="R550" s="448"/>
      <c r="S550" s="464"/>
      <c r="V550" s="448"/>
      <c r="W550" s="464"/>
      <c r="Z550" s="448"/>
      <c r="AA550" s="464"/>
      <c r="AD550" s="448"/>
      <c r="AE550" s="464"/>
      <c r="AH550" s="448"/>
      <c r="AI550" s="464"/>
      <c r="AL550" s="448"/>
      <c r="AP550" s="448"/>
    </row>
    <row r="551" spans="1:42" ht="13">
      <c r="A551" s="462"/>
      <c r="B551" s="462"/>
      <c r="N551" s="448"/>
      <c r="O551" s="464"/>
      <c r="R551" s="448"/>
      <c r="S551" s="464"/>
      <c r="V551" s="448"/>
      <c r="W551" s="464"/>
      <c r="Z551" s="448"/>
      <c r="AA551" s="464"/>
      <c r="AD551" s="448"/>
      <c r="AE551" s="464"/>
      <c r="AH551" s="448"/>
      <c r="AI551" s="464"/>
      <c r="AL551" s="448"/>
      <c r="AP551" s="448"/>
    </row>
    <row r="552" spans="1:42" ht="13">
      <c r="A552" s="462"/>
      <c r="B552" s="462"/>
      <c r="N552" s="448"/>
      <c r="O552" s="464"/>
      <c r="R552" s="448"/>
      <c r="S552" s="464"/>
      <c r="V552" s="448"/>
      <c r="W552" s="464"/>
      <c r="Z552" s="448"/>
      <c r="AA552" s="464"/>
      <c r="AD552" s="448"/>
      <c r="AE552" s="464"/>
      <c r="AH552" s="448"/>
      <c r="AI552" s="464"/>
      <c r="AL552" s="448"/>
      <c r="AP552" s="448"/>
    </row>
    <row r="553" spans="1:42" ht="13">
      <c r="A553" s="462"/>
      <c r="B553" s="462"/>
      <c r="N553" s="448"/>
      <c r="O553" s="464"/>
      <c r="R553" s="448"/>
      <c r="S553" s="464"/>
      <c r="V553" s="448"/>
      <c r="W553" s="464"/>
      <c r="Z553" s="448"/>
      <c r="AA553" s="464"/>
      <c r="AD553" s="448"/>
      <c r="AE553" s="464"/>
      <c r="AH553" s="448"/>
      <c r="AI553" s="464"/>
      <c r="AL553" s="448"/>
      <c r="AP553" s="448"/>
    </row>
    <row r="554" spans="1:42" ht="13">
      <c r="A554" s="462"/>
      <c r="B554" s="462"/>
      <c r="N554" s="448"/>
      <c r="O554" s="464"/>
      <c r="R554" s="448"/>
      <c r="S554" s="464"/>
      <c r="V554" s="448"/>
      <c r="W554" s="464"/>
      <c r="Z554" s="448"/>
      <c r="AA554" s="464"/>
      <c r="AD554" s="448"/>
      <c r="AE554" s="464"/>
      <c r="AH554" s="448"/>
      <c r="AI554" s="464"/>
      <c r="AL554" s="448"/>
      <c r="AP554" s="448"/>
    </row>
    <row r="555" spans="1:42" ht="13">
      <c r="A555" s="462"/>
      <c r="B555" s="462"/>
      <c r="N555" s="448"/>
      <c r="O555" s="464"/>
      <c r="R555" s="448"/>
      <c r="S555" s="464"/>
      <c r="V555" s="448"/>
      <c r="W555" s="464"/>
      <c r="Z555" s="448"/>
      <c r="AA555" s="464"/>
      <c r="AD555" s="448"/>
      <c r="AE555" s="464"/>
      <c r="AH555" s="448"/>
      <c r="AI555" s="464"/>
      <c r="AL555" s="448"/>
      <c r="AP555" s="448"/>
    </row>
    <row r="556" spans="1:42" ht="13">
      <c r="A556" s="462"/>
      <c r="B556" s="462"/>
      <c r="N556" s="448"/>
      <c r="O556" s="464"/>
      <c r="R556" s="448"/>
      <c r="S556" s="464"/>
      <c r="V556" s="448"/>
      <c r="W556" s="464"/>
      <c r="Z556" s="448"/>
      <c r="AA556" s="464"/>
      <c r="AD556" s="448"/>
      <c r="AE556" s="464"/>
      <c r="AH556" s="448"/>
      <c r="AI556" s="464"/>
      <c r="AL556" s="448"/>
      <c r="AP556" s="448"/>
    </row>
    <row r="557" spans="1:42" ht="13">
      <c r="A557" s="462"/>
      <c r="B557" s="462"/>
      <c r="N557" s="448"/>
      <c r="O557" s="464"/>
      <c r="R557" s="448"/>
      <c r="S557" s="464"/>
      <c r="V557" s="448"/>
      <c r="W557" s="464"/>
      <c r="Z557" s="448"/>
      <c r="AA557" s="464"/>
      <c r="AD557" s="448"/>
      <c r="AE557" s="464"/>
      <c r="AH557" s="448"/>
      <c r="AI557" s="464"/>
      <c r="AL557" s="448"/>
      <c r="AP557" s="448"/>
    </row>
    <row r="558" spans="1:42" ht="13">
      <c r="A558" s="462"/>
      <c r="B558" s="462"/>
      <c r="N558" s="448"/>
      <c r="O558" s="464"/>
      <c r="R558" s="448"/>
      <c r="S558" s="464"/>
      <c r="V558" s="448"/>
      <c r="W558" s="464"/>
      <c r="Z558" s="448"/>
      <c r="AA558" s="464"/>
      <c r="AD558" s="448"/>
      <c r="AE558" s="464"/>
      <c r="AH558" s="448"/>
      <c r="AI558" s="464"/>
      <c r="AL558" s="448"/>
      <c r="AP558" s="448"/>
    </row>
    <row r="559" spans="1:42" ht="13">
      <c r="A559" s="462"/>
      <c r="B559" s="462"/>
      <c r="N559" s="448"/>
      <c r="O559" s="464"/>
      <c r="R559" s="448"/>
      <c r="S559" s="464"/>
      <c r="V559" s="448"/>
      <c r="W559" s="464"/>
      <c r="Z559" s="448"/>
      <c r="AA559" s="464"/>
      <c r="AD559" s="448"/>
      <c r="AE559" s="464"/>
      <c r="AH559" s="448"/>
      <c r="AI559" s="464"/>
      <c r="AL559" s="448"/>
      <c r="AP559" s="448"/>
    </row>
    <row r="560" spans="1:42" ht="13">
      <c r="A560" s="462"/>
      <c r="B560" s="462"/>
      <c r="N560" s="448"/>
      <c r="O560" s="464"/>
      <c r="R560" s="448"/>
      <c r="S560" s="464"/>
      <c r="V560" s="448"/>
      <c r="W560" s="464"/>
      <c r="Z560" s="448"/>
      <c r="AA560" s="464"/>
      <c r="AD560" s="448"/>
      <c r="AE560" s="464"/>
      <c r="AH560" s="448"/>
      <c r="AI560" s="464"/>
      <c r="AL560" s="448"/>
      <c r="AP560" s="448"/>
    </row>
    <row r="561" spans="1:42" ht="13">
      <c r="A561" s="462"/>
      <c r="B561" s="462"/>
      <c r="N561" s="448"/>
      <c r="O561" s="464"/>
      <c r="R561" s="448"/>
      <c r="S561" s="464"/>
      <c r="V561" s="448"/>
      <c r="W561" s="464"/>
      <c r="Z561" s="448"/>
      <c r="AA561" s="464"/>
      <c r="AD561" s="448"/>
      <c r="AE561" s="464"/>
      <c r="AH561" s="448"/>
      <c r="AI561" s="464"/>
      <c r="AL561" s="448"/>
      <c r="AP561" s="448"/>
    </row>
    <row r="562" spans="1:42" ht="13">
      <c r="A562" s="462"/>
      <c r="B562" s="462"/>
      <c r="N562" s="448"/>
      <c r="O562" s="464"/>
      <c r="R562" s="448"/>
      <c r="S562" s="464"/>
      <c r="V562" s="448"/>
      <c r="W562" s="464"/>
      <c r="Z562" s="448"/>
      <c r="AA562" s="464"/>
      <c r="AD562" s="448"/>
      <c r="AE562" s="464"/>
      <c r="AH562" s="448"/>
      <c r="AI562" s="464"/>
      <c r="AL562" s="448"/>
      <c r="AP562" s="448"/>
    </row>
    <row r="563" spans="1:42" ht="13">
      <c r="A563" s="462"/>
      <c r="B563" s="462"/>
      <c r="N563" s="448"/>
      <c r="O563" s="464"/>
      <c r="R563" s="448"/>
      <c r="S563" s="464"/>
      <c r="V563" s="448"/>
      <c r="W563" s="464"/>
      <c r="Z563" s="448"/>
      <c r="AA563" s="464"/>
      <c r="AD563" s="448"/>
      <c r="AE563" s="464"/>
      <c r="AH563" s="448"/>
      <c r="AI563" s="464"/>
      <c r="AL563" s="448"/>
      <c r="AP563" s="448"/>
    </row>
    <row r="564" spans="1:42" ht="13">
      <c r="A564" s="462"/>
      <c r="B564" s="462"/>
      <c r="N564" s="448"/>
      <c r="O564" s="464"/>
      <c r="R564" s="448"/>
      <c r="S564" s="464"/>
      <c r="V564" s="448"/>
      <c r="W564" s="464"/>
      <c r="Z564" s="448"/>
      <c r="AA564" s="464"/>
      <c r="AD564" s="448"/>
      <c r="AE564" s="464"/>
      <c r="AH564" s="448"/>
      <c r="AI564" s="464"/>
      <c r="AL564" s="448"/>
      <c r="AP564" s="448"/>
    </row>
    <row r="565" spans="1:42" ht="13">
      <c r="A565" s="462"/>
      <c r="B565" s="462"/>
      <c r="N565" s="448"/>
      <c r="O565" s="464"/>
      <c r="R565" s="448"/>
      <c r="S565" s="464"/>
      <c r="V565" s="448"/>
      <c r="W565" s="464"/>
      <c r="Z565" s="448"/>
      <c r="AA565" s="464"/>
      <c r="AD565" s="448"/>
      <c r="AE565" s="464"/>
      <c r="AH565" s="448"/>
      <c r="AI565" s="464"/>
      <c r="AL565" s="448"/>
      <c r="AP565" s="448"/>
    </row>
    <row r="566" spans="1:42" ht="13">
      <c r="A566" s="462"/>
      <c r="B566" s="462"/>
      <c r="N566" s="448"/>
      <c r="O566" s="464"/>
      <c r="R566" s="448"/>
      <c r="S566" s="464"/>
      <c r="V566" s="448"/>
      <c r="W566" s="464"/>
      <c r="Z566" s="448"/>
      <c r="AA566" s="464"/>
      <c r="AD566" s="448"/>
      <c r="AE566" s="464"/>
      <c r="AH566" s="448"/>
      <c r="AI566" s="464"/>
      <c r="AL566" s="448"/>
      <c r="AP566" s="448"/>
    </row>
    <row r="567" spans="1:42" ht="13">
      <c r="A567" s="462"/>
      <c r="B567" s="462"/>
      <c r="N567" s="448"/>
      <c r="O567" s="464"/>
      <c r="R567" s="448"/>
      <c r="S567" s="464"/>
      <c r="V567" s="448"/>
      <c r="W567" s="464"/>
      <c r="Z567" s="448"/>
      <c r="AA567" s="464"/>
      <c r="AD567" s="448"/>
      <c r="AE567" s="464"/>
      <c r="AH567" s="448"/>
      <c r="AI567" s="464"/>
      <c r="AL567" s="448"/>
      <c r="AP567" s="448"/>
    </row>
    <row r="568" spans="1:42" ht="13">
      <c r="A568" s="462"/>
      <c r="B568" s="462"/>
      <c r="N568" s="448"/>
      <c r="O568" s="464"/>
      <c r="R568" s="448"/>
      <c r="S568" s="464"/>
      <c r="V568" s="448"/>
      <c r="W568" s="464"/>
      <c r="Z568" s="448"/>
      <c r="AA568" s="464"/>
      <c r="AD568" s="448"/>
      <c r="AE568" s="464"/>
      <c r="AH568" s="448"/>
      <c r="AI568" s="464"/>
      <c r="AL568" s="448"/>
      <c r="AP568" s="448"/>
    </row>
    <row r="569" spans="1:42" ht="13">
      <c r="A569" s="462"/>
      <c r="B569" s="462"/>
      <c r="N569" s="448"/>
      <c r="O569" s="464"/>
      <c r="R569" s="448"/>
      <c r="S569" s="464"/>
      <c r="V569" s="448"/>
      <c r="W569" s="464"/>
      <c r="Z569" s="448"/>
      <c r="AA569" s="464"/>
      <c r="AD569" s="448"/>
      <c r="AE569" s="464"/>
      <c r="AH569" s="448"/>
      <c r="AI569" s="464"/>
      <c r="AL569" s="448"/>
      <c r="AP569" s="448"/>
    </row>
    <row r="570" spans="1:42" ht="13">
      <c r="A570" s="462"/>
      <c r="B570" s="462"/>
      <c r="N570" s="448"/>
      <c r="O570" s="464"/>
      <c r="R570" s="448"/>
      <c r="S570" s="464"/>
      <c r="V570" s="448"/>
      <c r="W570" s="464"/>
      <c r="Z570" s="448"/>
      <c r="AA570" s="464"/>
      <c r="AD570" s="448"/>
      <c r="AE570" s="464"/>
      <c r="AH570" s="448"/>
      <c r="AI570" s="464"/>
      <c r="AL570" s="448"/>
      <c r="AP570" s="448"/>
    </row>
    <row r="571" spans="1:42" ht="13">
      <c r="A571" s="462"/>
      <c r="B571" s="462"/>
      <c r="N571" s="448"/>
      <c r="O571" s="464"/>
      <c r="R571" s="448"/>
      <c r="S571" s="464"/>
      <c r="V571" s="448"/>
      <c r="W571" s="464"/>
      <c r="Z571" s="448"/>
      <c r="AA571" s="464"/>
      <c r="AD571" s="448"/>
      <c r="AE571" s="464"/>
      <c r="AH571" s="448"/>
      <c r="AI571" s="464"/>
      <c r="AL571" s="448"/>
      <c r="AP571" s="448"/>
    </row>
    <row r="572" spans="1:42" ht="13">
      <c r="A572" s="462"/>
      <c r="B572" s="462"/>
      <c r="N572" s="448"/>
      <c r="O572" s="464"/>
      <c r="R572" s="448"/>
      <c r="S572" s="464"/>
      <c r="V572" s="448"/>
      <c r="W572" s="464"/>
      <c r="Z572" s="448"/>
      <c r="AA572" s="464"/>
      <c r="AD572" s="448"/>
      <c r="AE572" s="464"/>
      <c r="AH572" s="448"/>
      <c r="AI572" s="464"/>
      <c r="AL572" s="448"/>
      <c r="AP572" s="448"/>
    </row>
    <row r="573" spans="1:42" ht="13">
      <c r="A573" s="462"/>
      <c r="B573" s="462"/>
      <c r="N573" s="448"/>
      <c r="O573" s="464"/>
      <c r="R573" s="448"/>
      <c r="S573" s="464"/>
      <c r="V573" s="448"/>
      <c r="W573" s="464"/>
      <c r="Z573" s="448"/>
      <c r="AA573" s="464"/>
      <c r="AD573" s="448"/>
      <c r="AE573" s="464"/>
      <c r="AH573" s="448"/>
      <c r="AI573" s="464"/>
      <c r="AL573" s="448"/>
      <c r="AP573" s="448"/>
    </row>
    <row r="574" spans="1:42" ht="13">
      <c r="A574" s="462"/>
      <c r="B574" s="462"/>
      <c r="N574" s="448"/>
      <c r="O574" s="464"/>
      <c r="R574" s="448"/>
      <c r="S574" s="464"/>
      <c r="V574" s="448"/>
      <c r="W574" s="464"/>
      <c r="Z574" s="448"/>
      <c r="AA574" s="464"/>
      <c r="AD574" s="448"/>
      <c r="AE574" s="464"/>
      <c r="AH574" s="448"/>
      <c r="AI574" s="464"/>
      <c r="AL574" s="448"/>
      <c r="AP574" s="448"/>
    </row>
    <row r="575" spans="1:42" ht="13">
      <c r="A575" s="462"/>
      <c r="B575" s="462"/>
      <c r="N575" s="448"/>
      <c r="O575" s="464"/>
      <c r="R575" s="448"/>
      <c r="S575" s="464"/>
      <c r="V575" s="448"/>
      <c r="W575" s="464"/>
      <c r="Z575" s="448"/>
      <c r="AA575" s="464"/>
      <c r="AD575" s="448"/>
      <c r="AE575" s="464"/>
      <c r="AH575" s="448"/>
      <c r="AI575" s="464"/>
      <c r="AL575" s="448"/>
      <c r="AP575" s="448"/>
    </row>
    <row r="576" spans="1:42" ht="13">
      <c r="A576" s="462"/>
      <c r="B576" s="462"/>
      <c r="N576" s="448"/>
      <c r="O576" s="464"/>
      <c r="R576" s="448"/>
      <c r="S576" s="464"/>
      <c r="V576" s="448"/>
      <c r="W576" s="464"/>
      <c r="Z576" s="448"/>
      <c r="AA576" s="464"/>
      <c r="AD576" s="448"/>
      <c r="AE576" s="464"/>
      <c r="AH576" s="448"/>
      <c r="AI576" s="464"/>
      <c r="AL576" s="448"/>
      <c r="AP576" s="448"/>
    </row>
    <row r="577" spans="1:42" ht="13">
      <c r="A577" s="462"/>
      <c r="B577" s="462"/>
      <c r="N577" s="448"/>
      <c r="O577" s="464"/>
      <c r="R577" s="448"/>
      <c r="S577" s="464"/>
      <c r="V577" s="448"/>
      <c r="W577" s="464"/>
      <c r="Z577" s="448"/>
      <c r="AA577" s="464"/>
      <c r="AD577" s="448"/>
      <c r="AE577" s="464"/>
      <c r="AH577" s="448"/>
      <c r="AI577" s="464"/>
      <c r="AL577" s="448"/>
      <c r="AP577" s="448"/>
    </row>
    <row r="578" spans="1:42" ht="13">
      <c r="A578" s="462"/>
      <c r="B578" s="462"/>
      <c r="N578" s="448"/>
      <c r="O578" s="464"/>
      <c r="R578" s="448"/>
      <c r="S578" s="464"/>
      <c r="V578" s="448"/>
      <c r="W578" s="464"/>
      <c r="Z578" s="448"/>
      <c r="AA578" s="464"/>
      <c r="AD578" s="448"/>
      <c r="AE578" s="464"/>
      <c r="AH578" s="448"/>
      <c r="AI578" s="464"/>
      <c r="AL578" s="448"/>
      <c r="AP578" s="448"/>
    </row>
    <row r="579" spans="1:42" ht="13">
      <c r="A579" s="462"/>
      <c r="B579" s="462"/>
      <c r="N579" s="448"/>
      <c r="O579" s="464"/>
      <c r="R579" s="448"/>
      <c r="S579" s="464"/>
      <c r="V579" s="448"/>
      <c r="W579" s="464"/>
      <c r="Z579" s="448"/>
      <c r="AA579" s="464"/>
      <c r="AD579" s="448"/>
      <c r="AE579" s="464"/>
      <c r="AH579" s="448"/>
      <c r="AI579" s="464"/>
      <c r="AL579" s="448"/>
      <c r="AP579" s="448"/>
    </row>
    <row r="580" spans="1:42" ht="13">
      <c r="A580" s="462"/>
      <c r="B580" s="462"/>
      <c r="N580" s="448"/>
      <c r="O580" s="464"/>
      <c r="R580" s="448"/>
      <c r="S580" s="464"/>
      <c r="V580" s="448"/>
      <c r="W580" s="464"/>
      <c r="Z580" s="448"/>
      <c r="AA580" s="464"/>
      <c r="AD580" s="448"/>
      <c r="AE580" s="464"/>
      <c r="AH580" s="448"/>
      <c r="AI580" s="464"/>
      <c r="AL580" s="448"/>
      <c r="AP580" s="448"/>
    </row>
    <row r="581" spans="1:42" ht="13">
      <c r="A581" s="462"/>
      <c r="B581" s="462"/>
      <c r="N581" s="448"/>
      <c r="O581" s="464"/>
      <c r="R581" s="448"/>
      <c r="S581" s="464"/>
      <c r="V581" s="448"/>
      <c r="W581" s="464"/>
      <c r="Z581" s="448"/>
      <c r="AA581" s="464"/>
      <c r="AD581" s="448"/>
      <c r="AE581" s="464"/>
      <c r="AH581" s="448"/>
      <c r="AI581" s="464"/>
      <c r="AL581" s="448"/>
      <c r="AP581" s="448"/>
    </row>
    <row r="582" spans="1:42" ht="13">
      <c r="A582" s="462"/>
      <c r="B582" s="462"/>
      <c r="N582" s="448"/>
      <c r="O582" s="464"/>
      <c r="R582" s="448"/>
      <c r="S582" s="464"/>
      <c r="V582" s="448"/>
      <c r="W582" s="464"/>
      <c r="Z582" s="448"/>
      <c r="AA582" s="464"/>
      <c r="AD582" s="448"/>
      <c r="AE582" s="464"/>
      <c r="AH582" s="448"/>
      <c r="AI582" s="464"/>
      <c r="AL582" s="448"/>
      <c r="AP582" s="448"/>
    </row>
    <row r="583" spans="1:42" ht="13">
      <c r="A583" s="462"/>
      <c r="B583" s="462"/>
      <c r="N583" s="448"/>
      <c r="O583" s="464"/>
      <c r="R583" s="448"/>
      <c r="S583" s="464"/>
      <c r="V583" s="448"/>
      <c r="W583" s="464"/>
      <c r="Z583" s="448"/>
      <c r="AA583" s="464"/>
      <c r="AD583" s="448"/>
      <c r="AE583" s="464"/>
      <c r="AH583" s="448"/>
      <c r="AI583" s="464"/>
      <c r="AL583" s="448"/>
      <c r="AP583" s="448"/>
    </row>
    <row r="584" spans="1:42" ht="13">
      <c r="A584" s="462"/>
      <c r="B584" s="462"/>
      <c r="N584" s="448"/>
      <c r="O584" s="464"/>
      <c r="R584" s="448"/>
      <c r="S584" s="464"/>
      <c r="V584" s="448"/>
      <c r="W584" s="464"/>
      <c r="Z584" s="448"/>
      <c r="AA584" s="464"/>
      <c r="AD584" s="448"/>
      <c r="AE584" s="464"/>
      <c r="AH584" s="448"/>
      <c r="AI584" s="464"/>
      <c r="AL584" s="448"/>
      <c r="AP584" s="448"/>
    </row>
    <row r="585" spans="1:42" ht="13">
      <c r="A585" s="462"/>
      <c r="B585" s="462"/>
      <c r="N585" s="448"/>
      <c r="O585" s="464"/>
      <c r="R585" s="448"/>
      <c r="S585" s="464"/>
      <c r="V585" s="448"/>
      <c r="W585" s="464"/>
      <c r="Z585" s="448"/>
      <c r="AA585" s="464"/>
      <c r="AD585" s="448"/>
      <c r="AE585" s="464"/>
      <c r="AH585" s="448"/>
      <c r="AI585" s="464"/>
      <c r="AL585" s="448"/>
      <c r="AP585" s="448"/>
    </row>
    <row r="586" spans="1:42" ht="13">
      <c r="A586" s="462"/>
      <c r="B586" s="462"/>
      <c r="N586" s="448"/>
      <c r="O586" s="464"/>
      <c r="R586" s="448"/>
      <c r="S586" s="464"/>
      <c r="V586" s="448"/>
      <c r="W586" s="464"/>
      <c r="Z586" s="448"/>
      <c r="AA586" s="464"/>
      <c r="AD586" s="448"/>
      <c r="AE586" s="464"/>
      <c r="AH586" s="448"/>
      <c r="AI586" s="464"/>
      <c r="AL586" s="448"/>
      <c r="AP586" s="448"/>
    </row>
    <row r="587" spans="1:42" ht="13">
      <c r="A587" s="462"/>
      <c r="B587" s="462"/>
      <c r="N587" s="448"/>
      <c r="O587" s="464"/>
      <c r="R587" s="448"/>
      <c r="S587" s="464"/>
      <c r="V587" s="448"/>
      <c r="W587" s="464"/>
      <c r="Z587" s="448"/>
      <c r="AA587" s="464"/>
      <c r="AD587" s="448"/>
      <c r="AE587" s="464"/>
      <c r="AH587" s="448"/>
      <c r="AI587" s="464"/>
      <c r="AL587" s="448"/>
      <c r="AP587" s="448"/>
    </row>
    <row r="588" spans="1:42" ht="13">
      <c r="A588" s="462"/>
      <c r="B588" s="462"/>
      <c r="N588" s="448"/>
      <c r="O588" s="464"/>
      <c r="R588" s="448"/>
      <c r="S588" s="464"/>
      <c r="V588" s="448"/>
      <c r="W588" s="464"/>
      <c r="Z588" s="448"/>
      <c r="AA588" s="464"/>
      <c r="AD588" s="448"/>
      <c r="AE588" s="464"/>
      <c r="AH588" s="448"/>
      <c r="AI588" s="464"/>
      <c r="AL588" s="448"/>
      <c r="AP588" s="448"/>
    </row>
    <row r="589" spans="1:42" ht="13">
      <c r="A589" s="462"/>
      <c r="B589" s="462"/>
      <c r="N589" s="448"/>
      <c r="O589" s="464"/>
      <c r="R589" s="448"/>
      <c r="S589" s="464"/>
      <c r="V589" s="448"/>
      <c r="W589" s="464"/>
      <c r="Z589" s="448"/>
      <c r="AA589" s="464"/>
      <c r="AD589" s="448"/>
      <c r="AE589" s="464"/>
      <c r="AH589" s="448"/>
      <c r="AI589" s="464"/>
      <c r="AL589" s="448"/>
      <c r="AP589" s="448"/>
    </row>
    <row r="590" spans="1:42" ht="13">
      <c r="A590" s="462"/>
      <c r="B590" s="462"/>
      <c r="N590" s="448"/>
      <c r="O590" s="464"/>
      <c r="R590" s="448"/>
      <c r="S590" s="464"/>
      <c r="V590" s="448"/>
      <c r="W590" s="464"/>
      <c r="Z590" s="448"/>
      <c r="AA590" s="464"/>
      <c r="AD590" s="448"/>
      <c r="AE590" s="464"/>
      <c r="AH590" s="448"/>
      <c r="AI590" s="464"/>
      <c r="AL590" s="448"/>
      <c r="AP590" s="448"/>
    </row>
    <row r="591" spans="1:42" ht="13">
      <c r="A591" s="462"/>
      <c r="B591" s="462"/>
      <c r="N591" s="448"/>
      <c r="O591" s="464"/>
      <c r="R591" s="448"/>
      <c r="S591" s="464"/>
      <c r="V591" s="448"/>
      <c r="W591" s="464"/>
      <c r="Z591" s="448"/>
      <c r="AA591" s="464"/>
      <c r="AD591" s="448"/>
      <c r="AE591" s="464"/>
      <c r="AH591" s="448"/>
      <c r="AI591" s="464"/>
      <c r="AL591" s="448"/>
      <c r="AP591" s="448"/>
    </row>
    <row r="592" spans="1:42" ht="13">
      <c r="A592" s="462"/>
      <c r="B592" s="462"/>
      <c r="N592" s="448"/>
      <c r="O592" s="464"/>
      <c r="R592" s="448"/>
      <c r="S592" s="464"/>
      <c r="V592" s="448"/>
      <c r="W592" s="464"/>
      <c r="Z592" s="448"/>
      <c r="AA592" s="464"/>
      <c r="AD592" s="448"/>
      <c r="AE592" s="464"/>
      <c r="AH592" s="448"/>
      <c r="AI592" s="464"/>
      <c r="AL592" s="448"/>
      <c r="AP592" s="448"/>
    </row>
    <row r="593" spans="1:42" ht="13">
      <c r="A593" s="462"/>
      <c r="B593" s="462"/>
      <c r="N593" s="448"/>
      <c r="O593" s="464"/>
      <c r="R593" s="448"/>
      <c r="S593" s="464"/>
      <c r="V593" s="448"/>
      <c r="W593" s="464"/>
      <c r="Z593" s="448"/>
      <c r="AA593" s="464"/>
      <c r="AD593" s="448"/>
      <c r="AE593" s="464"/>
      <c r="AH593" s="448"/>
      <c r="AI593" s="464"/>
      <c r="AL593" s="448"/>
      <c r="AP593" s="448"/>
    </row>
    <row r="594" spans="1:42" ht="13">
      <c r="A594" s="462"/>
      <c r="B594" s="462"/>
      <c r="N594" s="448"/>
      <c r="O594" s="464"/>
      <c r="R594" s="448"/>
      <c r="S594" s="464"/>
      <c r="V594" s="448"/>
      <c r="W594" s="464"/>
      <c r="Z594" s="448"/>
      <c r="AA594" s="464"/>
      <c r="AD594" s="448"/>
      <c r="AE594" s="464"/>
      <c r="AH594" s="448"/>
      <c r="AI594" s="464"/>
      <c r="AL594" s="448"/>
      <c r="AP594" s="448"/>
    </row>
    <row r="595" spans="1:42" ht="13">
      <c r="A595" s="462"/>
      <c r="B595" s="462"/>
      <c r="N595" s="448"/>
      <c r="O595" s="464"/>
      <c r="R595" s="448"/>
      <c r="S595" s="464"/>
      <c r="V595" s="448"/>
      <c r="W595" s="464"/>
      <c r="Z595" s="448"/>
      <c r="AA595" s="464"/>
      <c r="AD595" s="448"/>
      <c r="AE595" s="464"/>
      <c r="AH595" s="448"/>
      <c r="AI595" s="464"/>
      <c r="AL595" s="448"/>
      <c r="AP595" s="448"/>
    </row>
    <row r="596" spans="1:42" ht="13">
      <c r="A596" s="462"/>
      <c r="B596" s="462"/>
      <c r="N596" s="448"/>
      <c r="O596" s="464"/>
      <c r="R596" s="448"/>
      <c r="S596" s="464"/>
      <c r="V596" s="448"/>
      <c r="W596" s="464"/>
      <c r="Z596" s="448"/>
      <c r="AA596" s="464"/>
      <c r="AD596" s="448"/>
      <c r="AE596" s="464"/>
      <c r="AH596" s="448"/>
      <c r="AI596" s="464"/>
      <c r="AL596" s="448"/>
      <c r="AP596" s="448"/>
    </row>
    <row r="597" spans="1:42" ht="13">
      <c r="A597" s="462"/>
      <c r="B597" s="462"/>
      <c r="N597" s="448"/>
      <c r="O597" s="464"/>
      <c r="R597" s="448"/>
      <c r="S597" s="464"/>
      <c r="V597" s="448"/>
      <c r="W597" s="464"/>
      <c r="Z597" s="448"/>
      <c r="AA597" s="464"/>
      <c r="AD597" s="448"/>
      <c r="AE597" s="464"/>
      <c r="AH597" s="448"/>
      <c r="AI597" s="464"/>
      <c r="AL597" s="448"/>
      <c r="AP597" s="448"/>
    </row>
    <row r="598" spans="1:42" ht="13">
      <c r="A598" s="462"/>
      <c r="B598" s="462"/>
      <c r="N598" s="448"/>
      <c r="O598" s="464"/>
      <c r="R598" s="448"/>
      <c r="S598" s="464"/>
      <c r="V598" s="448"/>
      <c r="W598" s="464"/>
      <c r="Z598" s="448"/>
      <c r="AA598" s="464"/>
      <c r="AD598" s="448"/>
      <c r="AE598" s="464"/>
      <c r="AH598" s="448"/>
      <c r="AI598" s="464"/>
      <c r="AL598" s="448"/>
      <c r="AP598" s="448"/>
    </row>
    <row r="599" spans="1:42" ht="13">
      <c r="A599" s="462"/>
      <c r="B599" s="462"/>
      <c r="N599" s="448"/>
      <c r="O599" s="464"/>
      <c r="R599" s="448"/>
      <c r="S599" s="464"/>
      <c r="V599" s="448"/>
      <c r="W599" s="464"/>
      <c r="Z599" s="448"/>
      <c r="AA599" s="464"/>
      <c r="AD599" s="448"/>
      <c r="AE599" s="464"/>
      <c r="AH599" s="448"/>
      <c r="AI599" s="464"/>
      <c r="AL599" s="448"/>
      <c r="AP599" s="448"/>
    </row>
    <row r="600" spans="1:42" ht="13">
      <c r="A600" s="462"/>
      <c r="B600" s="462"/>
      <c r="N600" s="448"/>
      <c r="O600" s="464"/>
      <c r="R600" s="448"/>
      <c r="S600" s="464"/>
      <c r="V600" s="448"/>
      <c r="W600" s="464"/>
      <c r="Z600" s="448"/>
      <c r="AA600" s="464"/>
      <c r="AD600" s="448"/>
      <c r="AE600" s="464"/>
      <c r="AH600" s="448"/>
      <c r="AI600" s="464"/>
      <c r="AL600" s="448"/>
      <c r="AP600" s="448"/>
    </row>
    <row r="601" spans="1:42" ht="13">
      <c r="A601" s="462"/>
      <c r="B601" s="462"/>
      <c r="N601" s="448"/>
      <c r="O601" s="464"/>
      <c r="R601" s="448"/>
      <c r="S601" s="464"/>
      <c r="V601" s="448"/>
      <c r="W601" s="464"/>
      <c r="Z601" s="448"/>
      <c r="AA601" s="464"/>
      <c r="AD601" s="448"/>
      <c r="AE601" s="464"/>
      <c r="AH601" s="448"/>
      <c r="AI601" s="464"/>
      <c r="AL601" s="448"/>
      <c r="AP601" s="448"/>
    </row>
    <row r="602" spans="1:42" ht="13">
      <c r="A602" s="462"/>
      <c r="B602" s="462"/>
      <c r="N602" s="448"/>
      <c r="O602" s="464"/>
      <c r="R602" s="448"/>
      <c r="S602" s="464"/>
      <c r="V602" s="448"/>
      <c r="W602" s="464"/>
      <c r="Z602" s="448"/>
      <c r="AA602" s="464"/>
      <c r="AD602" s="448"/>
      <c r="AE602" s="464"/>
      <c r="AH602" s="448"/>
      <c r="AI602" s="464"/>
      <c r="AL602" s="448"/>
      <c r="AP602" s="448"/>
    </row>
    <row r="603" spans="1:42" ht="13">
      <c r="A603" s="462"/>
      <c r="B603" s="462"/>
      <c r="N603" s="448"/>
      <c r="O603" s="464"/>
      <c r="R603" s="448"/>
      <c r="S603" s="464"/>
      <c r="V603" s="448"/>
      <c r="W603" s="464"/>
      <c r="Z603" s="448"/>
      <c r="AA603" s="464"/>
      <c r="AD603" s="448"/>
      <c r="AE603" s="464"/>
      <c r="AH603" s="448"/>
      <c r="AI603" s="464"/>
      <c r="AL603" s="448"/>
      <c r="AP603" s="448"/>
    </row>
    <row r="604" spans="1:42" ht="13">
      <c r="A604" s="462"/>
      <c r="B604" s="462"/>
      <c r="N604" s="448"/>
      <c r="O604" s="464"/>
      <c r="R604" s="448"/>
      <c r="S604" s="464"/>
      <c r="V604" s="448"/>
      <c r="W604" s="464"/>
      <c r="Z604" s="448"/>
      <c r="AA604" s="464"/>
      <c r="AD604" s="448"/>
      <c r="AE604" s="464"/>
      <c r="AH604" s="448"/>
      <c r="AI604" s="464"/>
      <c r="AL604" s="448"/>
      <c r="AP604" s="448"/>
    </row>
    <row r="605" spans="1:42" ht="13">
      <c r="A605" s="462"/>
      <c r="B605" s="462"/>
      <c r="N605" s="448"/>
      <c r="O605" s="464"/>
      <c r="R605" s="448"/>
      <c r="S605" s="464"/>
      <c r="V605" s="448"/>
      <c r="W605" s="464"/>
      <c r="Z605" s="448"/>
      <c r="AA605" s="464"/>
      <c r="AD605" s="448"/>
      <c r="AE605" s="464"/>
      <c r="AH605" s="448"/>
      <c r="AI605" s="464"/>
      <c r="AL605" s="448"/>
      <c r="AP605" s="448"/>
    </row>
    <row r="606" spans="1:42" ht="13">
      <c r="A606" s="462"/>
      <c r="B606" s="462"/>
      <c r="N606" s="448"/>
      <c r="O606" s="464"/>
      <c r="R606" s="448"/>
      <c r="S606" s="464"/>
      <c r="V606" s="448"/>
      <c r="W606" s="464"/>
      <c r="Z606" s="448"/>
      <c r="AA606" s="464"/>
      <c r="AD606" s="448"/>
      <c r="AE606" s="464"/>
      <c r="AH606" s="448"/>
      <c r="AI606" s="464"/>
      <c r="AL606" s="448"/>
      <c r="AP606" s="448"/>
    </row>
    <row r="607" spans="1:42" ht="13">
      <c r="A607" s="462"/>
      <c r="B607" s="462"/>
      <c r="N607" s="448"/>
      <c r="O607" s="464"/>
      <c r="R607" s="448"/>
      <c r="S607" s="464"/>
      <c r="V607" s="448"/>
      <c r="W607" s="464"/>
      <c r="Z607" s="448"/>
      <c r="AA607" s="464"/>
      <c r="AD607" s="448"/>
      <c r="AE607" s="464"/>
      <c r="AH607" s="448"/>
      <c r="AI607" s="464"/>
      <c r="AL607" s="448"/>
      <c r="AP607" s="448"/>
    </row>
    <row r="608" spans="1:42" ht="13">
      <c r="A608" s="462"/>
      <c r="B608" s="462"/>
      <c r="N608" s="448"/>
      <c r="O608" s="464"/>
      <c r="R608" s="448"/>
      <c r="S608" s="464"/>
      <c r="V608" s="448"/>
      <c r="W608" s="464"/>
      <c r="Z608" s="448"/>
      <c r="AA608" s="464"/>
      <c r="AD608" s="448"/>
      <c r="AE608" s="464"/>
      <c r="AH608" s="448"/>
      <c r="AI608" s="464"/>
      <c r="AL608" s="448"/>
      <c r="AP608" s="448"/>
    </row>
    <row r="609" spans="1:42" ht="13">
      <c r="A609" s="462"/>
      <c r="B609" s="462"/>
      <c r="N609" s="448"/>
      <c r="O609" s="464"/>
      <c r="R609" s="448"/>
      <c r="S609" s="464"/>
      <c r="V609" s="448"/>
      <c r="W609" s="464"/>
      <c r="Z609" s="448"/>
      <c r="AA609" s="464"/>
      <c r="AD609" s="448"/>
      <c r="AE609" s="464"/>
      <c r="AH609" s="448"/>
      <c r="AI609" s="464"/>
      <c r="AL609" s="448"/>
      <c r="AP609" s="448"/>
    </row>
    <row r="610" spans="1:42" ht="13">
      <c r="A610" s="462"/>
      <c r="B610" s="462"/>
      <c r="N610" s="448"/>
      <c r="O610" s="464"/>
      <c r="R610" s="448"/>
      <c r="S610" s="464"/>
      <c r="V610" s="448"/>
      <c r="W610" s="464"/>
      <c r="Z610" s="448"/>
      <c r="AA610" s="464"/>
      <c r="AD610" s="448"/>
      <c r="AE610" s="464"/>
      <c r="AH610" s="448"/>
      <c r="AI610" s="464"/>
      <c r="AL610" s="448"/>
      <c r="AP610" s="448"/>
    </row>
    <row r="611" spans="1:42" ht="13">
      <c r="A611" s="462"/>
      <c r="B611" s="462"/>
      <c r="N611" s="448"/>
      <c r="O611" s="464"/>
      <c r="R611" s="448"/>
      <c r="S611" s="464"/>
      <c r="V611" s="448"/>
      <c r="W611" s="464"/>
      <c r="Z611" s="448"/>
      <c r="AA611" s="464"/>
      <c r="AD611" s="448"/>
      <c r="AE611" s="464"/>
      <c r="AH611" s="448"/>
      <c r="AI611" s="464"/>
      <c r="AL611" s="448"/>
      <c r="AP611" s="448"/>
    </row>
    <row r="612" spans="1:42" ht="13">
      <c r="A612" s="462"/>
      <c r="B612" s="462"/>
      <c r="N612" s="448"/>
      <c r="O612" s="464"/>
      <c r="R612" s="448"/>
      <c r="S612" s="464"/>
      <c r="V612" s="448"/>
      <c r="W612" s="464"/>
      <c r="Z612" s="448"/>
      <c r="AA612" s="464"/>
      <c r="AD612" s="448"/>
      <c r="AE612" s="464"/>
      <c r="AH612" s="448"/>
      <c r="AI612" s="464"/>
      <c r="AL612" s="448"/>
      <c r="AP612" s="448"/>
    </row>
    <row r="613" spans="1:42" ht="13">
      <c r="A613" s="462"/>
      <c r="B613" s="462"/>
      <c r="N613" s="448"/>
      <c r="O613" s="464"/>
      <c r="R613" s="448"/>
      <c r="S613" s="464"/>
      <c r="V613" s="448"/>
      <c r="W613" s="464"/>
      <c r="Z613" s="448"/>
      <c r="AA613" s="464"/>
      <c r="AD613" s="448"/>
      <c r="AE613" s="464"/>
      <c r="AH613" s="448"/>
      <c r="AI613" s="464"/>
      <c r="AL613" s="448"/>
      <c r="AP613" s="448"/>
    </row>
    <row r="614" spans="1:42" ht="13">
      <c r="A614" s="462"/>
      <c r="B614" s="462"/>
      <c r="N614" s="448"/>
      <c r="O614" s="464"/>
      <c r="R614" s="448"/>
      <c r="S614" s="464"/>
      <c r="V614" s="448"/>
      <c r="W614" s="464"/>
      <c r="Z614" s="448"/>
      <c r="AA614" s="464"/>
      <c r="AD614" s="448"/>
      <c r="AE614" s="464"/>
      <c r="AH614" s="448"/>
      <c r="AI614" s="464"/>
      <c r="AL614" s="448"/>
      <c r="AP614" s="448"/>
    </row>
    <row r="615" spans="1:42" ht="13">
      <c r="A615" s="462"/>
      <c r="B615" s="462"/>
      <c r="N615" s="448"/>
      <c r="O615" s="464"/>
      <c r="R615" s="448"/>
      <c r="S615" s="464"/>
      <c r="V615" s="448"/>
      <c r="W615" s="464"/>
      <c r="Z615" s="448"/>
      <c r="AA615" s="464"/>
      <c r="AD615" s="448"/>
      <c r="AE615" s="464"/>
      <c r="AH615" s="448"/>
      <c r="AI615" s="464"/>
      <c r="AL615" s="448"/>
      <c r="AP615" s="448"/>
    </row>
    <row r="616" spans="1:42" ht="13">
      <c r="A616" s="462"/>
      <c r="B616" s="462"/>
      <c r="N616" s="448"/>
      <c r="O616" s="464"/>
      <c r="R616" s="448"/>
      <c r="S616" s="464"/>
      <c r="V616" s="448"/>
      <c r="W616" s="464"/>
      <c r="Z616" s="448"/>
      <c r="AA616" s="464"/>
      <c r="AD616" s="448"/>
      <c r="AE616" s="464"/>
      <c r="AH616" s="448"/>
      <c r="AI616" s="464"/>
      <c r="AL616" s="448"/>
      <c r="AP616" s="448"/>
    </row>
    <row r="617" spans="1:42" ht="13">
      <c r="A617" s="462"/>
      <c r="B617" s="462"/>
      <c r="N617" s="448"/>
      <c r="O617" s="464"/>
      <c r="R617" s="448"/>
      <c r="S617" s="464"/>
      <c r="V617" s="448"/>
      <c r="W617" s="464"/>
      <c r="Z617" s="448"/>
      <c r="AA617" s="464"/>
      <c r="AD617" s="448"/>
      <c r="AE617" s="464"/>
      <c r="AH617" s="448"/>
      <c r="AI617" s="464"/>
      <c r="AL617" s="448"/>
      <c r="AP617" s="448"/>
    </row>
    <row r="618" spans="1:42" ht="13">
      <c r="A618" s="462"/>
      <c r="B618" s="462"/>
      <c r="N618" s="448"/>
      <c r="O618" s="464"/>
      <c r="R618" s="448"/>
      <c r="S618" s="464"/>
      <c r="V618" s="448"/>
      <c r="W618" s="464"/>
      <c r="Z618" s="448"/>
      <c r="AA618" s="464"/>
      <c r="AD618" s="448"/>
      <c r="AE618" s="464"/>
      <c r="AH618" s="448"/>
      <c r="AI618" s="464"/>
      <c r="AL618" s="448"/>
      <c r="AP618" s="448"/>
    </row>
    <row r="619" spans="1:42" ht="13">
      <c r="A619" s="462"/>
      <c r="B619" s="462"/>
      <c r="N619" s="448"/>
      <c r="O619" s="464"/>
      <c r="R619" s="448"/>
      <c r="S619" s="464"/>
      <c r="V619" s="448"/>
      <c r="W619" s="464"/>
      <c r="Z619" s="448"/>
      <c r="AA619" s="464"/>
      <c r="AD619" s="448"/>
      <c r="AE619" s="464"/>
      <c r="AH619" s="448"/>
      <c r="AI619" s="464"/>
      <c r="AL619" s="448"/>
      <c r="AP619" s="448"/>
    </row>
    <row r="620" spans="1:42" ht="13">
      <c r="A620" s="462"/>
      <c r="B620" s="462"/>
      <c r="N620" s="448"/>
      <c r="O620" s="464"/>
      <c r="R620" s="448"/>
      <c r="S620" s="464"/>
      <c r="V620" s="448"/>
      <c r="W620" s="464"/>
      <c r="Z620" s="448"/>
      <c r="AA620" s="464"/>
      <c r="AD620" s="448"/>
      <c r="AE620" s="464"/>
      <c r="AH620" s="448"/>
      <c r="AI620" s="464"/>
      <c r="AL620" s="448"/>
      <c r="AP620" s="448"/>
    </row>
    <row r="621" spans="1:42" ht="13">
      <c r="A621" s="462"/>
      <c r="B621" s="462"/>
      <c r="N621" s="448"/>
      <c r="O621" s="464"/>
      <c r="R621" s="448"/>
      <c r="S621" s="464"/>
      <c r="V621" s="448"/>
      <c r="W621" s="464"/>
      <c r="Z621" s="448"/>
      <c r="AA621" s="464"/>
      <c r="AD621" s="448"/>
      <c r="AE621" s="464"/>
      <c r="AH621" s="448"/>
      <c r="AI621" s="464"/>
      <c r="AL621" s="448"/>
      <c r="AP621" s="448"/>
    </row>
    <row r="622" spans="1:42" ht="13">
      <c r="A622" s="462"/>
      <c r="B622" s="462"/>
      <c r="N622" s="448"/>
      <c r="O622" s="464"/>
      <c r="R622" s="448"/>
      <c r="S622" s="464"/>
      <c r="V622" s="448"/>
      <c r="W622" s="464"/>
      <c r="Z622" s="448"/>
      <c r="AA622" s="464"/>
      <c r="AD622" s="448"/>
      <c r="AE622" s="464"/>
      <c r="AH622" s="448"/>
      <c r="AI622" s="464"/>
      <c r="AL622" s="448"/>
      <c r="AP622" s="448"/>
    </row>
    <row r="623" spans="1:42" ht="13">
      <c r="A623" s="462"/>
      <c r="B623" s="462"/>
      <c r="N623" s="448"/>
      <c r="O623" s="464"/>
      <c r="R623" s="448"/>
      <c r="S623" s="464"/>
      <c r="V623" s="448"/>
      <c r="W623" s="464"/>
      <c r="Z623" s="448"/>
      <c r="AA623" s="464"/>
      <c r="AD623" s="448"/>
      <c r="AE623" s="464"/>
      <c r="AH623" s="448"/>
      <c r="AI623" s="464"/>
      <c r="AL623" s="448"/>
      <c r="AP623" s="448"/>
    </row>
    <row r="624" spans="1:42" ht="13">
      <c r="A624" s="462"/>
      <c r="B624" s="462"/>
      <c r="N624" s="448"/>
      <c r="O624" s="464"/>
      <c r="R624" s="448"/>
      <c r="S624" s="464"/>
      <c r="V624" s="448"/>
      <c r="W624" s="464"/>
      <c r="Z624" s="448"/>
      <c r="AA624" s="464"/>
      <c r="AD624" s="448"/>
      <c r="AE624" s="464"/>
      <c r="AH624" s="448"/>
      <c r="AI624" s="464"/>
      <c r="AL624" s="448"/>
      <c r="AP624" s="448"/>
    </row>
    <row r="625" spans="1:42" ht="13">
      <c r="A625" s="462"/>
      <c r="B625" s="462"/>
      <c r="N625" s="448"/>
      <c r="O625" s="464"/>
      <c r="R625" s="448"/>
      <c r="S625" s="464"/>
      <c r="V625" s="448"/>
      <c r="W625" s="464"/>
      <c r="Z625" s="448"/>
      <c r="AA625" s="464"/>
      <c r="AD625" s="448"/>
      <c r="AE625" s="464"/>
      <c r="AH625" s="448"/>
      <c r="AI625" s="464"/>
      <c r="AL625" s="448"/>
      <c r="AP625" s="448"/>
    </row>
    <row r="626" spans="1:42" ht="13">
      <c r="A626" s="462"/>
      <c r="B626" s="462"/>
      <c r="N626" s="448"/>
      <c r="O626" s="464"/>
      <c r="R626" s="448"/>
      <c r="S626" s="464"/>
      <c r="V626" s="448"/>
      <c r="W626" s="464"/>
      <c r="Z626" s="448"/>
      <c r="AA626" s="464"/>
      <c r="AD626" s="448"/>
      <c r="AE626" s="464"/>
      <c r="AH626" s="448"/>
      <c r="AI626" s="464"/>
      <c r="AL626" s="448"/>
      <c r="AP626" s="448"/>
    </row>
    <row r="627" spans="1:42" ht="13">
      <c r="A627" s="462"/>
      <c r="B627" s="462"/>
      <c r="N627" s="448"/>
      <c r="O627" s="464"/>
      <c r="R627" s="448"/>
      <c r="S627" s="464"/>
      <c r="V627" s="448"/>
      <c r="W627" s="464"/>
      <c r="Z627" s="448"/>
      <c r="AA627" s="464"/>
      <c r="AD627" s="448"/>
      <c r="AE627" s="464"/>
      <c r="AH627" s="448"/>
      <c r="AI627" s="464"/>
      <c r="AL627" s="448"/>
      <c r="AP627" s="448"/>
    </row>
    <row r="628" spans="1:42" ht="13">
      <c r="A628" s="462"/>
      <c r="B628" s="462"/>
      <c r="N628" s="448"/>
      <c r="O628" s="464"/>
      <c r="R628" s="448"/>
      <c r="S628" s="464"/>
      <c r="V628" s="448"/>
      <c r="W628" s="464"/>
      <c r="Z628" s="448"/>
      <c r="AA628" s="464"/>
      <c r="AD628" s="448"/>
      <c r="AE628" s="464"/>
      <c r="AH628" s="448"/>
      <c r="AI628" s="464"/>
      <c r="AL628" s="448"/>
      <c r="AP628" s="448"/>
    </row>
    <row r="629" spans="1:42" ht="13">
      <c r="A629" s="462"/>
      <c r="B629" s="462"/>
      <c r="N629" s="448"/>
      <c r="O629" s="464"/>
      <c r="R629" s="448"/>
      <c r="S629" s="464"/>
      <c r="V629" s="448"/>
      <c r="W629" s="464"/>
      <c r="Z629" s="448"/>
      <c r="AA629" s="464"/>
      <c r="AD629" s="448"/>
      <c r="AE629" s="464"/>
      <c r="AH629" s="448"/>
      <c r="AI629" s="464"/>
      <c r="AL629" s="448"/>
      <c r="AP629" s="448"/>
    </row>
    <row r="630" spans="1:42" ht="13">
      <c r="A630" s="462"/>
      <c r="B630" s="462"/>
      <c r="N630" s="448"/>
      <c r="O630" s="464"/>
      <c r="R630" s="448"/>
      <c r="S630" s="464"/>
      <c r="V630" s="448"/>
      <c r="W630" s="464"/>
      <c r="Z630" s="448"/>
      <c r="AA630" s="464"/>
      <c r="AD630" s="448"/>
      <c r="AE630" s="464"/>
      <c r="AH630" s="448"/>
      <c r="AI630" s="464"/>
      <c r="AL630" s="448"/>
      <c r="AP630" s="448"/>
    </row>
    <row r="631" spans="1:42" ht="13">
      <c r="A631" s="462"/>
      <c r="B631" s="462"/>
      <c r="N631" s="448"/>
      <c r="O631" s="464"/>
      <c r="R631" s="448"/>
      <c r="S631" s="464"/>
      <c r="V631" s="448"/>
      <c r="W631" s="464"/>
      <c r="Z631" s="448"/>
      <c r="AA631" s="464"/>
      <c r="AD631" s="448"/>
      <c r="AE631" s="464"/>
      <c r="AH631" s="448"/>
      <c r="AI631" s="464"/>
      <c r="AL631" s="448"/>
      <c r="AP631" s="448"/>
    </row>
    <row r="632" spans="1:42" ht="13">
      <c r="A632" s="462"/>
      <c r="B632" s="462"/>
      <c r="N632" s="448"/>
      <c r="O632" s="464"/>
      <c r="R632" s="448"/>
      <c r="S632" s="464"/>
      <c r="V632" s="448"/>
      <c r="W632" s="464"/>
      <c r="Z632" s="448"/>
      <c r="AA632" s="464"/>
      <c r="AD632" s="448"/>
      <c r="AE632" s="464"/>
      <c r="AH632" s="448"/>
      <c r="AI632" s="464"/>
      <c r="AL632" s="448"/>
      <c r="AP632" s="448"/>
    </row>
    <row r="633" spans="1:42" ht="13">
      <c r="A633" s="462"/>
      <c r="B633" s="462"/>
      <c r="N633" s="448"/>
      <c r="O633" s="464"/>
      <c r="R633" s="448"/>
      <c r="S633" s="464"/>
      <c r="V633" s="448"/>
      <c r="W633" s="464"/>
      <c r="Z633" s="448"/>
      <c r="AA633" s="464"/>
      <c r="AD633" s="448"/>
      <c r="AE633" s="464"/>
      <c r="AH633" s="448"/>
      <c r="AI633" s="464"/>
      <c r="AL633" s="448"/>
      <c r="AP633" s="448"/>
    </row>
    <row r="634" spans="1:42" ht="13">
      <c r="A634" s="462"/>
      <c r="B634" s="462"/>
      <c r="N634" s="448"/>
      <c r="O634" s="464"/>
      <c r="R634" s="448"/>
      <c r="S634" s="464"/>
      <c r="V634" s="448"/>
      <c r="W634" s="464"/>
      <c r="Z634" s="448"/>
      <c r="AA634" s="464"/>
      <c r="AD634" s="448"/>
      <c r="AE634" s="464"/>
      <c r="AH634" s="448"/>
      <c r="AI634" s="464"/>
      <c r="AL634" s="448"/>
      <c r="AP634" s="448"/>
    </row>
    <row r="635" spans="1:42" ht="13">
      <c r="A635" s="462"/>
      <c r="B635" s="462"/>
      <c r="N635" s="448"/>
      <c r="O635" s="464"/>
      <c r="R635" s="448"/>
      <c r="S635" s="464"/>
      <c r="V635" s="448"/>
      <c r="W635" s="464"/>
      <c r="Z635" s="448"/>
      <c r="AA635" s="464"/>
      <c r="AD635" s="448"/>
      <c r="AE635" s="464"/>
      <c r="AH635" s="448"/>
      <c r="AI635" s="464"/>
      <c r="AL635" s="448"/>
      <c r="AP635" s="448"/>
    </row>
    <row r="636" spans="1:42" ht="13">
      <c r="A636" s="462"/>
      <c r="B636" s="462"/>
      <c r="N636" s="448"/>
      <c r="O636" s="464"/>
      <c r="R636" s="448"/>
      <c r="S636" s="464"/>
      <c r="V636" s="448"/>
      <c r="W636" s="464"/>
      <c r="Z636" s="448"/>
      <c r="AA636" s="464"/>
      <c r="AD636" s="448"/>
      <c r="AE636" s="464"/>
      <c r="AH636" s="448"/>
      <c r="AI636" s="464"/>
      <c r="AL636" s="448"/>
      <c r="AP636" s="448"/>
    </row>
    <row r="637" spans="1:42" ht="13">
      <c r="A637" s="462"/>
      <c r="B637" s="462"/>
      <c r="N637" s="448"/>
      <c r="O637" s="464"/>
      <c r="R637" s="448"/>
      <c r="S637" s="464"/>
      <c r="V637" s="448"/>
      <c r="W637" s="464"/>
      <c r="Z637" s="448"/>
      <c r="AA637" s="464"/>
      <c r="AD637" s="448"/>
      <c r="AE637" s="464"/>
      <c r="AH637" s="448"/>
      <c r="AI637" s="464"/>
      <c r="AL637" s="448"/>
      <c r="AP637" s="448"/>
    </row>
    <row r="638" spans="1:42" ht="13">
      <c r="A638" s="462"/>
      <c r="B638" s="462"/>
      <c r="N638" s="448"/>
      <c r="O638" s="464"/>
      <c r="R638" s="448"/>
      <c r="S638" s="464"/>
      <c r="V638" s="448"/>
      <c r="W638" s="464"/>
      <c r="Z638" s="448"/>
      <c r="AA638" s="464"/>
      <c r="AD638" s="448"/>
      <c r="AE638" s="464"/>
      <c r="AH638" s="448"/>
      <c r="AI638" s="464"/>
      <c r="AL638" s="448"/>
      <c r="AP638" s="448"/>
    </row>
    <row r="639" spans="1:42" ht="13">
      <c r="A639" s="462"/>
      <c r="B639" s="462"/>
      <c r="N639" s="448"/>
      <c r="O639" s="464"/>
      <c r="R639" s="448"/>
      <c r="S639" s="464"/>
      <c r="V639" s="448"/>
      <c r="W639" s="464"/>
      <c r="Z639" s="448"/>
      <c r="AA639" s="464"/>
      <c r="AD639" s="448"/>
      <c r="AE639" s="464"/>
      <c r="AH639" s="448"/>
      <c r="AI639" s="464"/>
      <c r="AL639" s="448"/>
      <c r="AP639" s="448"/>
    </row>
    <row r="640" spans="1:42" ht="13">
      <c r="A640" s="462"/>
      <c r="B640" s="462"/>
      <c r="N640" s="448"/>
      <c r="O640" s="464"/>
      <c r="R640" s="448"/>
      <c r="S640" s="464"/>
      <c r="V640" s="448"/>
      <c r="W640" s="464"/>
      <c r="Z640" s="448"/>
      <c r="AA640" s="464"/>
      <c r="AD640" s="448"/>
      <c r="AE640" s="464"/>
      <c r="AH640" s="448"/>
      <c r="AI640" s="464"/>
      <c r="AL640" s="448"/>
      <c r="AP640" s="448"/>
    </row>
    <row r="641" spans="1:42" ht="13">
      <c r="A641" s="462"/>
      <c r="B641" s="462"/>
      <c r="N641" s="448"/>
      <c r="O641" s="464"/>
      <c r="R641" s="448"/>
      <c r="S641" s="464"/>
      <c r="V641" s="448"/>
      <c r="W641" s="464"/>
      <c r="Z641" s="448"/>
      <c r="AA641" s="464"/>
      <c r="AD641" s="448"/>
      <c r="AE641" s="464"/>
      <c r="AH641" s="448"/>
      <c r="AI641" s="464"/>
      <c r="AL641" s="448"/>
      <c r="AP641" s="448"/>
    </row>
    <row r="642" spans="1:42" ht="13">
      <c r="A642" s="462"/>
      <c r="B642" s="462"/>
      <c r="N642" s="448"/>
      <c r="O642" s="464"/>
      <c r="R642" s="448"/>
      <c r="S642" s="464"/>
      <c r="V642" s="448"/>
      <c r="W642" s="464"/>
      <c r="Z642" s="448"/>
      <c r="AA642" s="464"/>
      <c r="AD642" s="448"/>
      <c r="AE642" s="464"/>
      <c r="AH642" s="448"/>
      <c r="AI642" s="464"/>
      <c r="AL642" s="448"/>
      <c r="AP642" s="448"/>
    </row>
    <row r="643" spans="1:42" ht="13">
      <c r="A643" s="462"/>
      <c r="B643" s="462"/>
      <c r="N643" s="448"/>
      <c r="O643" s="464"/>
      <c r="R643" s="448"/>
      <c r="S643" s="464"/>
      <c r="V643" s="448"/>
      <c r="W643" s="464"/>
      <c r="Z643" s="448"/>
      <c r="AA643" s="464"/>
      <c r="AD643" s="448"/>
      <c r="AE643" s="464"/>
      <c r="AH643" s="448"/>
      <c r="AI643" s="464"/>
      <c r="AL643" s="448"/>
      <c r="AP643" s="448"/>
    </row>
    <row r="644" spans="1:42" ht="13">
      <c r="A644" s="462"/>
      <c r="B644" s="462"/>
      <c r="N644" s="448"/>
      <c r="O644" s="464"/>
      <c r="R644" s="448"/>
      <c r="S644" s="464"/>
      <c r="V644" s="448"/>
      <c r="W644" s="464"/>
      <c r="Z644" s="448"/>
      <c r="AA644" s="464"/>
      <c r="AD644" s="448"/>
      <c r="AE644" s="464"/>
      <c r="AH644" s="448"/>
      <c r="AI644" s="464"/>
      <c r="AL644" s="448"/>
      <c r="AP644" s="448"/>
    </row>
    <row r="645" spans="1:42" ht="13">
      <c r="A645" s="462"/>
      <c r="B645" s="462"/>
      <c r="N645" s="448"/>
      <c r="O645" s="464"/>
      <c r="R645" s="448"/>
      <c r="S645" s="464"/>
      <c r="V645" s="448"/>
      <c r="W645" s="464"/>
      <c r="Z645" s="448"/>
      <c r="AA645" s="464"/>
      <c r="AD645" s="448"/>
      <c r="AE645" s="464"/>
      <c r="AH645" s="448"/>
      <c r="AI645" s="464"/>
      <c r="AL645" s="448"/>
      <c r="AP645" s="448"/>
    </row>
    <row r="646" spans="1:42" ht="13">
      <c r="A646" s="462"/>
      <c r="B646" s="462"/>
      <c r="N646" s="448"/>
      <c r="O646" s="464"/>
      <c r="R646" s="448"/>
      <c r="S646" s="464"/>
      <c r="V646" s="448"/>
      <c r="W646" s="464"/>
      <c r="Z646" s="448"/>
      <c r="AA646" s="464"/>
      <c r="AD646" s="448"/>
      <c r="AE646" s="464"/>
      <c r="AH646" s="448"/>
      <c r="AI646" s="464"/>
      <c r="AL646" s="448"/>
      <c r="AP646" s="448"/>
    </row>
    <row r="647" spans="1:42" ht="13">
      <c r="A647" s="462"/>
      <c r="B647" s="462"/>
      <c r="N647" s="448"/>
      <c r="O647" s="464"/>
      <c r="R647" s="448"/>
      <c r="S647" s="464"/>
      <c r="V647" s="448"/>
      <c r="W647" s="464"/>
      <c r="Z647" s="448"/>
      <c r="AA647" s="464"/>
      <c r="AD647" s="448"/>
      <c r="AE647" s="464"/>
      <c r="AH647" s="448"/>
      <c r="AI647" s="464"/>
      <c r="AL647" s="448"/>
      <c r="AP647" s="448"/>
    </row>
    <row r="648" spans="1:42" ht="13">
      <c r="A648" s="462"/>
      <c r="B648" s="462"/>
      <c r="N648" s="448"/>
      <c r="O648" s="464"/>
      <c r="R648" s="448"/>
      <c r="S648" s="464"/>
      <c r="V648" s="448"/>
      <c r="W648" s="464"/>
      <c r="Z648" s="448"/>
      <c r="AA648" s="464"/>
      <c r="AD648" s="448"/>
      <c r="AE648" s="464"/>
      <c r="AH648" s="448"/>
      <c r="AI648" s="464"/>
      <c r="AL648" s="448"/>
      <c r="AP648" s="448"/>
    </row>
    <row r="649" spans="1:42" ht="13">
      <c r="A649" s="462"/>
      <c r="B649" s="462"/>
      <c r="N649" s="448"/>
      <c r="O649" s="464"/>
      <c r="R649" s="448"/>
      <c r="S649" s="464"/>
      <c r="V649" s="448"/>
      <c r="W649" s="464"/>
      <c r="Z649" s="448"/>
      <c r="AA649" s="464"/>
      <c r="AD649" s="448"/>
      <c r="AE649" s="464"/>
      <c r="AH649" s="448"/>
      <c r="AI649" s="464"/>
      <c r="AL649" s="448"/>
      <c r="AP649" s="448"/>
    </row>
    <row r="650" spans="1:42" ht="13">
      <c r="A650" s="462"/>
      <c r="B650" s="462"/>
      <c r="N650" s="448"/>
      <c r="O650" s="464"/>
      <c r="R650" s="448"/>
      <c r="S650" s="464"/>
      <c r="V650" s="448"/>
      <c r="W650" s="464"/>
      <c r="Z650" s="448"/>
      <c r="AA650" s="464"/>
      <c r="AD650" s="448"/>
      <c r="AE650" s="464"/>
      <c r="AH650" s="448"/>
      <c r="AI650" s="464"/>
      <c r="AL650" s="448"/>
      <c r="AP650" s="448"/>
    </row>
    <row r="651" spans="1:42" ht="13">
      <c r="A651" s="462"/>
      <c r="B651" s="462"/>
      <c r="N651" s="448"/>
      <c r="O651" s="464"/>
      <c r="R651" s="448"/>
      <c r="S651" s="464"/>
      <c r="V651" s="448"/>
      <c r="W651" s="464"/>
      <c r="Z651" s="448"/>
      <c r="AA651" s="464"/>
      <c r="AD651" s="448"/>
      <c r="AE651" s="464"/>
      <c r="AH651" s="448"/>
      <c r="AI651" s="464"/>
      <c r="AL651" s="448"/>
      <c r="AP651" s="448"/>
    </row>
    <row r="652" spans="1:42" ht="13">
      <c r="A652" s="462"/>
      <c r="B652" s="462"/>
      <c r="N652" s="448"/>
      <c r="O652" s="464"/>
      <c r="R652" s="448"/>
      <c r="S652" s="464"/>
      <c r="V652" s="448"/>
      <c r="W652" s="464"/>
      <c r="Z652" s="448"/>
      <c r="AA652" s="464"/>
      <c r="AD652" s="448"/>
      <c r="AE652" s="464"/>
      <c r="AH652" s="448"/>
      <c r="AI652" s="464"/>
      <c r="AL652" s="448"/>
      <c r="AP652" s="448"/>
    </row>
    <row r="653" spans="1:42" ht="13">
      <c r="A653" s="462"/>
      <c r="B653" s="462"/>
      <c r="N653" s="448"/>
      <c r="O653" s="464"/>
      <c r="R653" s="448"/>
      <c r="S653" s="464"/>
      <c r="V653" s="448"/>
      <c r="W653" s="464"/>
      <c r="Z653" s="448"/>
      <c r="AA653" s="464"/>
      <c r="AD653" s="448"/>
      <c r="AE653" s="464"/>
      <c r="AH653" s="448"/>
      <c r="AI653" s="464"/>
      <c r="AL653" s="448"/>
      <c r="AP653" s="448"/>
    </row>
    <row r="654" spans="1:42" ht="13">
      <c r="A654" s="462"/>
      <c r="B654" s="462"/>
      <c r="N654" s="448"/>
      <c r="O654" s="464"/>
      <c r="R654" s="448"/>
      <c r="S654" s="464"/>
      <c r="V654" s="448"/>
      <c r="W654" s="464"/>
      <c r="Z654" s="448"/>
      <c r="AA654" s="464"/>
      <c r="AD654" s="448"/>
      <c r="AE654" s="464"/>
      <c r="AH654" s="448"/>
      <c r="AI654" s="464"/>
      <c r="AL654" s="448"/>
      <c r="AP654" s="448"/>
    </row>
    <row r="655" spans="1:42" ht="13">
      <c r="A655" s="462"/>
      <c r="B655" s="462"/>
      <c r="N655" s="448"/>
      <c r="O655" s="464"/>
      <c r="R655" s="448"/>
      <c r="S655" s="464"/>
      <c r="V655" s="448"/>
      <c r="W655" s="464"/>
      <c r="Z655" s="448"/>
      <c r="AA655" s="464"/>
      <c r="AD655" s="448"/>
      <c r="AE655" s="464"/>
      <c r="AH655" s="448"/>
      <c r="AI655" s="464"/>
      <c r="AL655" s="448"/>
      <c r="AP655" s="448"/>
    </row>
    <row r="656" spans="1:42" ht="13">
      <c r="A656" s="462"/>
      <c r="B656" s="462"/>
      <c r="N656" s="448"/>
      <c r="O656" s="464"/>
      <c r="R656" s="448"/>
      <c r="S656" s="464"/>
      <c r="V656" s="448"/>
      <c r="W656" s="464"/>
      <c r="Z656" s="448"/>
      <c r="AA656" s="464"/>
      <c r="AD656" s="448"/>
      <c r="AE656" s="464"/>
      <c r="AH656" s="448"/>
      <c r="AI656" s="464"/>
      <c r="AL656" s="448"/>
      <c r="AP656" s="448"/>
    </row>
    <row r="657" spans="1:42" ht="13">
      <c r="A657" s="462"/>
      <c r="B657" s="462"/>
      <c r="N657" s="448"/>
      <c r="O657" s="464"/>
      <c r="R657" s="448"/>
      <c r="S657" s="464"/>
      <c r="V657" s="448"/>
      <c r="W657" s="464"/>
      <c r="Z657" s="448"/>
      <c r="AA657" s="464"/>
      <c r="AD657" s="448"/>
      <c r="AE657" s="464"/>
      <c r="AH657" s="448"/>
      <c r="AI657" s="464"/>
      <c r="AL657" s="448"/>
      <c r="AP657" s="448"/>
    </row>
    <row r="658" spans="1:42" ht="13">
      <c r="A658" s="462"/>
      <c r="B658" s="462"/>
      <c r="N658" s="448"/>
      <c r="O658" s="464"/>
      <c r="R658" s="448"/>
      <c r="S658" s="464"/>
      <c r="V658" s="448"/>
      <c r="W658" s="464"/>
      <c r="Z658" s="448"/>
      <c r="AA658" s="464"/>
      <c r="AD658" s="448"/>
      <c r="AE658" s="464"/>
      <c r="AH658" s="448"/>
      <c r="AI658" s="464"/>
      <c r="AL658" s="448"/>
      <c r="AP658" s="448"/>
    </row>
    <row r="659" spans="1:42" ht="13">
      <c r="A659" s="462"/>
      <c r="B659" s="462"/>
      <c r="N659" s="448"/>
      <c r="O659" s="464"/>
      <c r="R659" s="448"/>
      <c r="S659" s="464"/>
      <c r="V659" s="448"/>
      <c r="W659" s="464"/>
      <c r="Z659" s="448"/>
      <c r="AA659" s="464"/>
      <c r="AD659" s="448"/>
      <c r="AE659" s="464"/>
      <c r="AH659" s="448"/>
      <c r="AI659" s="464"/>
      <c r="AL659" s="448"/>
      <c r="AP659" s="448"/>
    </row>
    <row r="660" spans="1:42" ht="13">
      <c r="A660" s="462"/>
      <c r="B660" s="462"/>
      <c r="N660" s="448"/>
      <c r="O660" s="464"/>
      <c r="R660" s="448"/>
      <c r="S660" s="464"/>
      <c r="V660" s="448"/>
      <c r="W660" s="464"/>
      <c r="Z660" s="448"/>
      <c r="AA660" s="464"/>
      <c r="AD660" s="448"/>
      <c r="AE660" s="464"/>
      <c r="AH660" s="448"/>
      <c r="AI660" s="464"/>
      <c r="AL660" s="448"/>
      <c r="AP660" s="448"/>
    </row>
    <row r="661" spans="1:42" ht="13">
      <c r="A661" s="462"/>
      <c r="B661" s="462"/>
      <c r="N661" s="448"/>
      <c r="O661" s="464"/>
      <c r="R661" s="448"/>
      <c r="S661" s="464"/>
      <c r="V661" s="448"/>
      <c r="W661" s="464"/>
      <c r="Z661" s="448"/>
      <c r="AA661" s="464"/>
      <c r="AD661" s="448"/>
      <c r="AE661" s="464"/>
      <c r="AH661" s="448"/>
      <c r="AI661" s="464"/>
      <c r="AL661" s="448"/>
      <c r="AP661" s="448"/>
    </row>
    <row r="662" spans="1:42" ht="13">
      <c r="A662" s="462"/>
      <c r="B662" s="462"/>
      <c r="N662" s="448"/>
      <c r="O662" s="464"/>
      <c r="R662" s="448"/>
      <c r="S662" s="464"/>
      <c r="V662" s="448"/>
      <c r="W662" s="464"/>
      <c r="Z662" s="448"/>
      <c r="AA662" s="464"/>
      <c r="AD662" s="448"/>
      <c r="AE662" s="464"/>
      <c r="AH662" s="448"/>
      <c r="AI662" s="464"/>
      <c r="AL662" s="448"/>
      <c r="AP662" s="448"/>
    </row>
    <row r="663" spans="1:42" ht="13">
      <c r="A663" s="462"/>
      <c r="B663" s="462"/>
      <c r="N663" s="448"/>
      <c r="O663" s="464"/>
      <c r="R663" s="448"/>
      <c r="S663" s="464"/>
      <c r="V663" s="448"/>
      <c r="W663" s="464"/>
      <c r="Z663" s="448"/>
      <c r="AA663" s="464"/>
      <c r="AD663" s="448"/>
      <c r="AE663" s="464"/>
      <c r="AH663" s="448"/>
      <c r="AI663" s="464"/>
      <c r="AL663" s="448"/>
      <c r="AP663" s="448"/>
    </row>
    <row r="664" spans="1:42" ht="13">
      <c r="A664" s="462"/>
      <c r="B664" s="462"/>
      <c r="N664" s="448"/>
      <c r="O664" s="464"/>
      <c r="R664" s="448"/>
      <c r="S664" s="464"/>
      <c r="V664" s="448"/>
      <c r="W664" s="464"/>
      <c r="Z664" s="448"/>
      <c r="AA664" s="464"/>
      <c r="AD664" s="448"/>
      <c r="AE664" s="464"/>
      <c r="AH664" s="448"/>
      <c r="AI664" s="464"/>
      <c r="AL664" s="448"/>
      <c r="AP664" s="448"/>
    </row>
    <row r="665" spans="1:42" ht="13">
      <c r="A665" s="462"/>
      <c r="B665" s="462"/>
      <c r="N665" s="448"/>
      <c r="O665" s="464"/>
      <c r="R665" s="448"/>
      <c r="S665" s="464"/>
      <c r="V665" s="448"/>
      <c r="W665" s="464"/>
      <c r="Z665" s="448"/>
      <c r="AA665" s="464"/>
      <c r="AD665" s="448"/>
      <c r="AE665" s="464"/>
      <c r="AH665" s="448"/>
      <c r="AI665" s="464"/>
      <c r="AL665" s="448"/>
      <c r="AP665" s="448"/>
    </row>
    <row r="666" spans="1:42" ht="13">
      <c r="A666" s="462"/>
      <c r="B666" s="462"/>
      <c r="N666" s="448"/>
      <c r="O666" s="464"/>
      <c r="R666" s="448"/>
      <c r="S666" s="464"/>
      <c r="V666" s="448"/>
      <c r="W666" s="464"/>
      <c r="Z666" s="448"/>
      <c r="AA666" s="464"/>
      <c r="AD666" s="448"/>
      <c r="AE666" s="464"/>
      <c r="AH666" s="448"/>
      <c r="AI666" s="464"/>
      <c r="AL666" s="448"/>
      <c r="AP666" s="448"/>
    </row>
    <row r="667" spans="1:42" ht="13">
      <c r="A667" s="462"/>
      <c r="B667" s="462"/>
      <c r="N667" s="448"/>
      <c r="O667" s="464"/>
      <c r="R667" s="448"/>
      <c r="S667" s="464"/>
      <c r="V667" s="448"/>
      <c r="W667" s="464"/>
      <c r="Z667" s="448"/>
      <c r="AA667" s="464"/>
      <c r="AD667" s="448"/>
      <c r="AE667" s="464"/>
      <c r="AH667" s="448"/>
      <c r="AI667" s="464"/>
      <c r="AL667" s="448"/>
      <c r="AP667" s="448"/>
    </row>
    <row r="668" spans="1:42" ht="13">
      <c r="A668" s="462"/>
      <c r="B668" s="462"/>
      <c r="N668" s="448"/>
      <c r="O668" s="464"/>
      <c r="R668" s="448"/>
      <c r="S668" s="464"/>
      <c r="V668" s="448"/>
      <c r="W668" s="464"/>
      <c r="Z668" s="448"/>
      <c r="AA668" s="464"/>
      <c r="AD668" s="448"/>
      <c r="AE668" s="464"/>
      <c r="AH668" s="448"/>
      <c r="AI668" s="464"/>
      <c r="AL668" s="448"/>
      <c r="AP668" s="448"/>
    </row>
    <row r="669" spans="1:42" ht="13">
      <c r="A669" s="462"/>
      <c r="B669" s="462"/>
      <c r="N669" s="448"/>
      <c r="O669" s="464"/>
      <c r="R669" s="448"/>
      <c r="S669" s="464"/>
      <c r="V669" s="448"/>
      <c r="W669" s="464"/>
      <c r="Z669" s="448"/>
      <c r="AA669" s="464"/>
      <c r="AD669" s="448"/>
      <c r="AE669" s="464"/>
      <c r="AH669" s="448"/>
      <c r="AI669" s="464"/>
      <c r="AL669" s="448"/>
      <c r="AP669" s="448"/>
    </row>
    <row r="670" spans="1:42" ht="13">
      <c r="A670" s="462"/>
      <c r="B670" s="462"/>
      <c r="N670" s="448"/>
      <c r="O670" s="464"/>
      <c r="R670" s="448"/>
      <c r="S670" s="464"/>
      <c r="V670" s="448"/>
      <c r="W670" s="464"/>
      <c r="Z670" s="448"/>
      <c r="AA670" s="464"/>
      <c r="AD670" s="448"/>
      <c r="AE670" s="464"/>
      <c r="AH670" s="448"/>
      <c r="AI670" s="464"/>
      <c r="AL670" s="448"/>
      <c r="AP670" s="448"/>
    </row>
    <row r="671" spans="1:42" ht="13">
      <c r="A671" s="462"/>
      <c r="B671" s="462"/>
      <c r="N671" s="448"/>
      <c r="O671" s="464"/>
      <c r="R671" s="448"/>
      <c r="S671" s="464"/>
      <c r="V671" s="448"/>
      <c r="W671" s="464"/>
      <c r="Z671" s="448"/>
      <c r="AA671" s="464"/>
      <c r="AD671" s="448"/>
      <c r="AE671" s="464"/>
      <c r="AH671" s="448"/>
      <c r="AI671" s="464"/>
      <c r="AL671" s="448"/>
      <c r="AP671" s="448"/>
    </row>
    <row r="672" spans="1:42" ht="13">
      <c r="A672" s="462"/>
      <c r="B672" s="462"/>
      <c r="N672" s="448"/>
      <c r="O672" s="464"/>
      <c r="R672" s="448"/>
      <c r="S672" s="464"/>
      <c r="V672" s="448"/>
      <c r="W672" s="464"/>
      <c r="Z672" s="448"/>
      <c r="AA672" s="464"/>
      <c r="AD672" s="448"/>
      <c r="AE672" s="464"/>
      <c r="AH672" s="448"/>
      <c r="AI672" s="464"/>
      <c r="AL672" s="448"/>
      <c r="AP672" s="448"/>
    </row>
    <row r="673" spans="1:42" ht="13">
      <c r="A673" s="462"/>
      <c r="B673" s="462"/>
      <c r="N673" s="448"/>
      <c r="O673" s="464"/>
      <c r="R673" s="448"/>
      <c r="S673" s="464"/>
      <c r="V673" s="448"/>
      <c r="W673" s="464"/>
      <c r="Z673" s="448"/>
      <c r="AA673" s="464"/>
      <c r="AD673" s="448"/>
      <c r="AE673" s="464"/>
      <c r="AH673" s="448"/>
      <c r="AI673" s="464"/>
      <c r="AL673" s="448"/>
      <c r="AP673" s="448"/>
    </row>
    <row r="674" spans="1:42" ht="13">
      <c r="A674" s="462"/>
      <c r="B674" s="462"/>
      <c r="N674" s="448"/>
      <c r="O674" s="464"/>
      <c r="R674" s="448"/>
      <c r="S674" s="464"/>
      <c r="V674" s="448"/>
      <c r="W674" s="464"/>
      <c r="Z674" s="448"/>
      <c r="AA674" s="464"/>
      <c r="AD674" s="448"/>
      <c r="AE674" s="464"/>
      <c r="AH674" s="448"/>
      <c r="AI674" s="464"/>
      <c r="AL674" s="448"/>
      <c r="AP674" s="448"/>
    </row>
    <row r="675" spans="1:42" ht="13">
      <c r="A675" s="462"/>
      <c r="B675" s="462"/>
      <c r="N675" s="448"/>
      <c r="O675" s="464"/>
      <c r="R675" s="448"/>
      <c r="S675" s="464"/>
      <c r="V675" s="448"/>
      <c r="W675" s="464"/>
      <c r="Z675" s="448"/>
      <c r="AA675" s="464"/>
      <c r="AD675" s="448"/>
      <c r="AE675" s="464"/>
      <c r="AH675" s="448"/>
      <c r="AI675" s="464"/>
      <c r="AL675" s="448"/>
      <c r="AP675" s="448"/>
    </row>
    <row r="676" spans="1:42" ht="13">
      <c r="A676" s="462"/>
      <c r="B676" s="462"/>
      <c r="N676" s="448"/>
      <c r="O676" s="464"/>
      <c r="R676" s="448"/>
      <c r="S676" s="464"/>
      <c r="V676" s="448"/>
      <c r="W676" s="464"/>
      <c r="Z676" s="448"/>
      <c r="AA676" s="464"/>
      <c r="AD676" s="448"/>
      <c r="AE676" s="464"/>
      <c r="AH676" s="448"/>
      <c r="AI676" s="464"/>
      <c r="AL676" s="448"/>
      <c r="AP676" s="448"/>
    </row>
    <row r="677" spans="1:42" ht="13">
      <c r="A677" s="462"/>
      <c r="B677" s="462"/>
      <c r="N677" s="448"/>
      <c r="O677" s="464"/>
      <c r="R677" s="448"/>
      <c r="S677" s="464"/>
      <c r="V677" s="448"/>
      <c r="W677" s="464"/>
      <c r="Z677" s="448"/>
      <c r="AA677" s="464"/>
      <c r="AD677" s="448"/>
      <c r="AE677" s="464"/>
      <c r="AH677" s="448"/>
      <c r="AI677" s="464"/>
      <c r="AL677" s="448"/>
      <c r="AP677" s="448"/>
    </row>
    <row r="678" spans="1:42" ht="13">
      <c r="A678" s="462"/>
      <c r="B678" s="462"/>
      <c r="N678" s="448"/>
      <c r="O678" s="464"/>
      <c r="R678" s="448"/>
      <c r="S678" s="464"/>
      <c r="V678" s="448"/>
      <c r="W678" s="464"/>
      <c r="Z678" s="448"/>
      <c r="AA678" s="464"/>
      <c r="AD678" s="448"/>
      <c r="AE678" s="464"/>
      <c r="AH678" s="448"/>
      <c r="AI678" s="464"/>
      <c r="AL678" s="448"/>
      <c r="AP678" s="448"/>
    </row>
    <row r="679" spans="1:42" ht="13">
      <c r="A679" s="462"/>
      <c r="B679" s="462"/>
      <c r="N679" s="448"/>
      <c r="O679" s="464"/>
      <c r="R679" s="448"/>
      <c r="S679" s="464"/>
      <c r="V679" s="448"/>
      <c r="W679" s="464"/>
      <c r="Z679" s="448"/>
      <c r="AA679" s="464"/>
      <c r="AD679" s="448"/>
      <c r="AE679" s="464"/>
      <c r="AH679" s="448"/>
      <c r="AI679" s="464"/>
      <c r="AL679" s="448"/>
      <c r="AP679" s="448"/>
    </row>
    <row r="680" spans="1:42" ht="13">
      <c r="A680" s="462"/>
      <c r="B680" s="462"/>
      <c r="N680" s="448"/>
      <c r="O680" s="464"/>
      <c r="R680" s="448"/>
      <c r="S680" s="464"/>
      <c r="V680" s="448"/>
      <c r="W680" s="464"/>
      <c r="Z680" s="448"/>
      <c r="AA680" s="464"/>
      <c r="AD680" s="448"/>
      <c r="AE680" s="464"/>
      <c r="AH680" s="448"/>
      <c r="AI680" s="464"/>
      <c r="AL680" s="448"/>
      <c r="AP680" s="448"/>
    </row>
    <row r="681" spans="1:42" ht="13">
      <c r="A681" s="462"/>
      <c r="B681" s="462"/>
      <c r="N681" s="448"/>
      <c r="O681" s="464"/>
      <c r="R681" s="448"/>
      <c r="S681" s="464"/>
      <c r="V681" s="448"/>
      <c r="W681" s="464"/>
      <c r="Z681" s="448"/>
      <c r="AA681" s="464"/>
      <c r="AD681" s="448"/>
      <c r="AE681" s="464"/>
      <c r="AH681" s="448"/>
      <c r="AI681" s="464"/>
      <c r="AL681" s="448"/>
      <c r="AP681" s="448"/>
    </row>
    <row r="682" spans="1:42" ht="13">
      <c r="A682" s="462"/>
      <c r="B682" s="462"/>
      <c r="N682" s="448"/>
      <c r="O682" s="464"/>
      <c r="R682" s="448"/>
      <c r="S682" s="464"/>
      <c r="V682" s="448"/>
      <c r="W682" s="464"/>
      <c r="Z682" s="448"/>
      <c r="AA682" s="464"/>
      <c r="AD682" s="448"/>
      <c r="AE682" s="464"/>
      <c r="AH682" s="448"/>
      <c r="AI682" s="464"/>
      <c r="AL682" s="448"/>
      <c r="AP682" s="448"/>
    </row>
    <row r="683" spans="1:42" ht="13">
      <c r="A683" s="462"/>
      <c r="B683" s="462"/>
      <c r="N683" s="448"/>
      <c r="O683" s="464"/>
      <c r="R683" s="448"/>
      <c r="S683" s="464"/>
      <c r="V683" s="448"/>
      <c r="W683" s="464"/>
      <c r="Z683" s="448"/>
      <c r="AA683" s="464"/>
      <c r="AD683" s="448"/>
      <c r="AE683" s="464"/>
      <c r="AH683" s="448"/>
      <c r="AI683" s="464"/>
      <c r="AL683" s="448"/>
      <c r="AP683" s="448"/>
    </row>
    <row r="684" spans="1:42" ht="13">
      <c r="A684" s="462"/>
      <c r="B684" s="462"/>
      <c r="N684" s="448"/>
      <c r="O684" s="464"/>
      <c r="R684" s="448"/>
      <c r="S684" s="464"/>
      <c r="V684" s="448"/>
      <c r="W684" s="464"/>
      <c r="Z684" s="448"/>
      <c r="AA684" s="464"/>
      <c r="AD684" s="448"/>
      <c r="AE684" s="464"/>
      <c r="AH684" s="448"/>
      <c r="AI684" s="464"/>
      <c r="AL684" s="448"/>
      <c r="AP684" s="448"/>
    </row>
    <row r="685" spans="1:42" ht="13">
      <c r="A685" s="462"/>
      <c r="B685" s="462"/>
      <c r="N685" s="448"/>
      <c r="O685" s="464"/>
      <c r="R685" s="448"/>
      <c r="S685" s="464"/>
      <c r="V685" s="448"/>
      <c r="W685" s="464"/>
      <c r="Z685" s="448"/>
      <c r="AA685" s="464"/>
      <c r="AD685" s="448"/>
      <c r="AE685" s="464"/>
      <c r="AH685" s="448"/>
      <c r="AI685" s="464"/>
      <c r="AL685" s="448"/>
      <c r="AP685" s="448"/>
    </row>
    <row r="686" spans="1:42" ht="13">
      <c r="A686" s="462"/>
      <c r="B686" s="462"/>
      <c r="N686" s="448"/>
      <c r="O686" s="464"/>
      <c r="R686" s="448"/>
      <c r="S686" s="464"/>
      <c r="V686" s="448"/>
      <c r="W686" s="464"/>
      <c r="Z686" s="448"/>
      <c r="AA686" s="464"/>
      <c r="AD686" s="448"/>
      <c r="AE686" s="464"/>
      <c r="AH686" s="448"/>
      <c r="AI686" s="464"/>
      <c r="AL686" s="448"/>
      <c r="AP686" s="448"/>
    </row>
    <row r="687" spans="1:42" ht="13">
      <c r="A687" s="462"/>
      <c r="B687" s="462"/>
      <c r="N687" s="448"/>
      <c r="O687" s="464"/>
      <c r="R687" s="448"/>
      <c r="S687" s="464"/>
      <c r="V687" s="448"/>
      <c r="W687" s="464"/>
      <c r="Z687" s="448"/>
      <c r="AA687" s="464"/>
      <c r="AD687" s="448"/>
      <c r="AE687" s="464"/>
      <c r="AH687" s="448"/>
      <c r="AI687" s="464"/>
      <c r="AL687" s="448"/>
      <c r="AP687" s="448"/>
    </row>
    <row r="688" spans="1:42" ht="13">
      <c r="A688" s="462"/>
      <c r="B688" s="462"/>
      <c r="N688" s="448"/>
      <c r="O688" s="464"/>
      <c r="R688" s="448"/>
      <c r="S688" s="464"/>
      <c r="V688" s="448"/>
      <c r="W688" s="464"/>
      <c r="Z688" s="448"/>
      <c r="AA688" s="464"/>
      <c r="AD688" s="448"/>
      <c r="AE688" s="464"/>
      <c r="AH688" s="448"/>
      <c r="AI688" s="464"/>
      <c r="AL688" s="448"/>
      <c r="AP688" s="448"/>
    </row>
    <row r="689" spans="1:42" ht="13">
      <c r="A689" s="462"/>
      <c r="B689" s="462"/>
      <c r="N689" s="448"/>
      <c r="O689" s="464"/>
      <c r="R689" s="448"/>
      <c r="S689" s="464"/>
      <c r="V689" s="448"/>
      <c r="W689" s="464"/>
      <c r="Z689" s="448"/>
      <c r="AA689" s="464"/>
      <c r="AD689" s="448"/>
      <c r="AE689" s="464"/>
      <c r="AH689" s="448"/>
      <c r="AI689" s="464"/>
      <c r="AL689" s="448"/>
      <c r="AP689" s="448"/>
    </row>
    <row r="690" spans="1:42" ht="13">
      <c r="A690" s="462"/>
      <c r="B690" s="462"/>
      <c r="N690" s="448"/>
      <c r="O690" s="464"/>
      <c r="R690" s="448"/>
      <c r="S690" s="464"/>
      <c r="V690" s="448"/>
      <c r="W690" s="464"/>
      <c r="Z690" s="448"/>
      <c r="AA690" s="464"/>
      <c r="AD690" s="448"/>
      <c r="AE690" s="464"/>
      <c r="AH690" s="448"/>
      <c r="AI690" s="464"/>
      <c r="AL690" s="448"/>
      <c r="AP690" s="448"/>
    </row>
    <row r="691" spans="1:42" ht="13">
      <c r="A691" s="462"/>
      <c r="B691" s="462"/>
      <c r="N691" s="448"/>
      <c r="O691" s="464"/>
      <c r="R691" s="448"/>
      <c r="S691" s="464"/>
      <c r="V691" s="448"/>
      <c r="W691" s="464"/>
      <c r="Z691" s="448"/>
      <c r="AA691" s="464"/>
      <c r="AD691" s="448"/>
      <c r="AE691" s="464"/>
      <c r="AH691" s="448"/>
      <c r="AI691" s="464"/>
      <c r="AL691" s="448"/>
      <c r="AP691" s="448"/>
    </row>
    <row r="692" spans="1:42" ht="13">
      <c r="A692" s="462"/>
      <c r="B692" s="462"/>
      <c r="N692" s="448"/>
      <c r="O692" s="464"/>
      <c r="R692" s="448"/>
      <c r="S692" s="464"/>
      <c r="V692" s="448"/>
      <c r="W692" s="464"/>
      <c r="Z692" s="448"/>
      <c r="AA692" s="464"/>
      <c r="AD692" s="448"/>
      <c r="AE692" s="464"/>
      <c r="AH692" s="448"/>
      <c r="AI692" s="464"/>
      <c r="AL692" s="448"/>
      <c r="AP692" s="448"/>
    </row>
    <row r="693" spans="1:42" ht="13">
      <c r="A693" s="462"/>
      <c r="B693" s="462"/>
      <c r="N693" s="448"/>
      <c r="O693" s="464"/>
      <c r="R693" s="448"/>
      <c r="S693" s="464"/>
      <c r="V693" s="448"/>
      <c r="W693" s="464"/>
      <c r="Z693" s="448"/>
      <c r="AA693" s="464"/>
      <c r="AD693" s="448"/>
      <c r="AE693" s="464"/>
      <c r="AH693" s="448"/>
      <c r="AI693" s="464"/>
      <c r="AL693" s="448"/>
      <c r="AP693" s="448"/>
    </row>
    <row r="694" spans="1:42" ht="13">
      <c r="A694" s="462"/>
      <c r="B694" s="462"/>
      <c r="N694" s="448"/>
      <c r="O694" s="464"/>
      <c r="R694" s="448"/>
      <c r="S694" s="464"/>
      <c r="V694" s="448"/>
      <c r="W694" s="464"/>
      <c r="Z694" s="448"/>
      <c r="AA694" s="464"/>
      <c r="AD694" s="448"/>
      <c r="AE694" s="464"/>
      <c r="AH694" s="448"/>
      <c r="AI694" s="464"/>
      <c r="AL694" s="448"/>
      <c r="AP694" s="448"/>
    </row>
    <row r="695" spans="1:42" ht="13">
      <c r="A695" s="462"/>
      <c r="B695" s="462"/>
      <c r="N695" s="448"/>
      <c r="O695" s="464"/>
      <c r="R695" s="448"/>
      <c r="S695" s="464"/>
      <c r="V695" s="448"/>
      <c r="W695" s="464"/>
      <c r="Z695" s="448"/>
      <c r="AA695" s="464"/>
      <c r="AD695" s="448"/>
      <c r="AE695" s="464"/>
      <c r="AH695" s="448"/>
      <c r="AI695" s="464"/>
      <c r="AL695" s="448"/>
      <c r="AP695" s="448"/>
    </row>
    <row r="696" spans="1:42" ht="13">
      <c r="A696" s="462"/>
      <c r="B696" s="462"/>
      <c r="N696" s="448"/>
      <c r="O696" s="464"/>
      <c r="R696" s="448"/>
      <c r="S696" s="464"/>
      <c r="V696" s="448"/>
      <c r="W696" s="464"/>
      <c r="Z696" s="448"/>
      <c r="AA696" s="464"/>
      <c r="AD696" s="448"/>
      <c r="AE696" s="464"/>
      <c r="AH696" s="448"/>
      <c r="AI696" s="464"/>
      <c r="AL696" s="448"/>
      <c r="AP696" s="448"/>
    </row>
    <row r="697" spans="1:42" ht="13">
      <c r="A697" s="462"/>
      <c r="B697" s="462"/>
      <c r="N697" s="448"/>
      <c r="O697" s="464"/>
      <c r="R697" s="448"/>
      <c r="S697" s="464"/>
      <c r="V697" s="448"/>
      <c r="W697" s="464"/>
      <c r="Z697" s="448"/>
      <c r="AA697" s="464"/>
      <c r="AD697" s="448"/>
      <c r="AE697" s="464"/>
      <c r="AH697" s="448"/>
      <c r="AI697" s="464"/>
      <c r="AL697" s="448"/>
      <c r="AP697" s="448"/>
    </row>
    <row r="698" spans="1:42" ht="13">
      <c r="A698" s="462"/>
      <c r="B698" s="462"/>
      <c r="N698" s="448"/>
      <c r="O698" s="464"/>
      <c r="R698" s="448"/>
      <c r="S698" s="464"/>
      <c r="V698" s="448"/>
      <c r="W698" s="464"/>
      <c r="Z698" s="448"/>
      <c r="AA698" s="464"/>
      <c r="AD698" s="448"/>
      <c r="AE698" s="464"/>
      <c r="AH698" s="448"/>
      <c r="AI698" s="464"/>
      <c r="AL698" s="448"/>
      <c r="AP698" s="448"/>
    </row>
    <row r="699" spans="1:42" ht="13">
      <c r="A699" s="462"/>
      <c r="B699" s="462"/>
      <c r="N699" s="448"/>
      <c r="O699" s="464"/>
      <c r="R699" s="448"/>
      <c r="S699" s="464"/>
      <c r="V699" s="448"/>
      <c r="W699" s="464"/>
      <c r="Z699" s="448"/>
      <c r="AA699" s="464"/>
      <c r="AD699" s="448"/>
      <c r="AE699" s="464"/>
      <c r="AH699" s="448"/>
      <c r="AI699" s="464"/>
      <c r="AL699" s="448"/>
      <c r="AP699" s="448"/>
    </row>
    <row r="700" spans="1:42" ht="13">
      <c r="A700" s="462"/>
      <c r="B700" s="462"/>
      <c r="N700" s="448"/>
      <c r="O700" s="464"/>
      <c r="R700" s="448"/>
      <c r="S700" s="464"/>
      <c r="V700" s="448"/>
      <c r="W700" s="464"/>
      <c r="Z700" s="448"/>
      <c r="AA700" s="464"/>
      <c r="AD700" s="448"/>
      <c r="AE700" s="464"/>
      <c r="AH700" s="448"/>
      <c r="AI700" s="464"/>
      <c r="AL700" s="448"/>
      <c r="AP700" s="448"/>
    </row>
    <row r="701" spans="1:42" ht="13">
      <c r="A701" s="462"/>
      <c r="B701" s="462"/>
      <c r="N701" s="448"/>
      <c r="O701" s="464"/>
      <c r="R701" s="448"/>
      <c r="S701" s="464"/>
      <c r="V701" s="448"/>
      <c r="W701" s="464"/>
      <c r="Z701" s="448"/>
      <c r="AA701" s="464"/>
      <c r="AD701" s="448"/>
      <c r="AE701" s="464"/>
      <c r="AH701" s="448"/>
      <c r="AI701" s="464"/>
      <c r="AL701" s="448"/>
      <c r="AP701" s="448"/>
    </row>
    <row r="702" spans="1:42" ht="13">
      <c r="A702" s="462"/>
      <c r="B702" s="462"/>
      <c r="N702" s="448"/>
      <c r="O702" s="464"/>
      <c r="R702" s="448"/>
      <c r="S702" s="464"/>
      <c r="V702" s="448"/>
      <c r="W702" s="464"/>
      <c r="Z702" s="448"/>
      <c r="AA702" s="464"/>
      <c r="AD702" s="448"/>
      <c r="AE702" s="464"/>
      <c r="AH702" s="448"/>
      <c r="AI702" s="464"/>
      <c r="AL702" s="448"/>
      <c r="AP702" s="448"/>
    </row>
    <row r="703" spans="1:42" ht="13">
      <c r="A703" s="462"/>
      <c r="B703" s="462"/>
      <c r="N703" s="448"/>
      <c r="O703" s="464"/>
      <c r="R703" s="448"/>
      <c r="S703" s="464"/>
      <c r="V703" s="448"/>
      <c r="W703" s="464"/>
      <c r="Z703" s="448"/>
      <c r="AA703" s="464"/>
      <c r="AD703" s="448"/>
      <c r="AE703" s="464"/>
      <c r="AH703" s="448"/>
      <c r="AI703" s="464"/>
      <c r="AL703" s="448"/>
      <c r="AP703" s="448"/>
    </row>
    <row r="704" spans="1:42" ht="13">
      <c r="A704" s="462"/>
      <c r="B704" s="462"/>
      <c r="N704" s="448"/>
      <c r="O704" s="464"/>
      <c r="R704" s="448"/>
      <c r="S704" s="464"/>
      <c r="V704" s="448"/>
      <c r="W704" s="464"/>
      <c r="Z704" s="448"/>
      <c r="AA704" s="464"/>
      <c r="AD704" s="448"/>
      <c r="AE704" s="464"/>
      <c r="AH704" s="448"/>
      <c r="AI704" s="464"/>
      <c r="AL704" s="448"/>
      <c r="AP704" s="448"/>
    </row>
    <row r="705" spans="1:42" ht="13">
      <c r="A705" s="462"/>
      <c r="B705" s="462"/>
      <c r="N705" s="448"/>
      <c r="O705" s="464"/>
      <c r="R705" s="448"/>
      <c r="S705" s="464"/>
      <c r="V705" s="448"/>
      <c r="W705" s="464"/>
      <c r="Z705" s="448"/>
      <c r="AA705" s="464"/>
      <c r="AD705" s="448"/>
      <c r="AE705" s="464"/>
      <c r="AH705" s="448"/>
      <c r="AI705" s="464"/>
      <c r="AL705" s="448"/>
      <c r="AP705" s="448"/>
    </row>
    <row r="706" spans="1:42" ht="13">
      <c r="A706" s="462"/>
      <c r="B706" s="462"/>
      <c r="N706" s="448"/>
      <c r="O706" s="464"/>
      <c r="R706" s="448"/>
      <c r="S706" s="464"/>
      <c r="V706" s="448"/>
      <c r="W706" s="464"/>
      <c r="Z706" s="448"/>
      <c r="AA706" s="464"/>
      <c r="AD706" s="448"/>
      <c r="AE706" s="464"/>
      <c r="AH706" s="448"/>
      <c r="AI706" s="464"/>
      <c r="AL706" s="448"/>
      <c r="AP706" s="448"/>
    </row>
    <row r="707" spans="1:42" ht="13">
      <c r="A707" s="462"/>
      <c r="B707" s="462"/>
      <c r="N707" s="448"/>
      <c r="O707" s="464"/>
      <c r="R707" s="448"/>
      <c r="S707" s="464"/>
      <c r="V707" s="448"/>
      <c r="W707" s="464"/>
      <c r="Z707" s="448"/>
      <c r="AA707" s="464"/>
      <c r="AD707" s="448"/>
      <c r="AE707" s="464"/>
      <c r="AH707" s="448"/>
      <c r="AI707" s="464"/>
      <c r="AL707" s="448"/>
      <c r="AP707" s="448"/>
    </row>
    <row r="708" spans="1:42" ht="13">
      <c r="A708" s="462"/>
      <c r="B708" s="462"/>
      <c r="N708" s="448"/>
      <c r="O708" s="464"/>
      <c r="R708" s="448"/>
      <c r="S708" s="464"/>
      <c r="V708" s="448"/>
      <c r="W708" s="464"/>
      <c r="Z708" s="448"/>
      <c r="AA708" s="464"/>
      <c r="AD708" s="448"/>
      <c r="AE708" s="464"/>
      <c r="AH708" s="448"/>
      <c r="AI708" s="464"/>
      <c r="AL708" s="448"/>
      <c r="AP708" s="448"/>
    </row>
    <row r="709" spans="1:42" ht="13">
      <c r="A709" s="462"/>
      <c r="B709" s="462"/>
      <c r="N709" s="448"/>
      <c r="O709" s="464"/>
      <c r="R709" s="448"/>
      <c r="S709" s="464"/>
      <c r="V709" s="448"/>
      <c r="W709" s="464"/>
      <c r="Z709" s="448"/>
      <c r="AA709" s="464"/>
      <c r="AD709" s="448"/>
      <c r="AE709" s="464"/>
      <c r="AH709" s="448"/>
      <c r="AI709" s="464"/>
      <c r="AL709" s="448"/>
      <c r="AP709" s="448"/>
    </row>
    <row r="710" spans="1:42" ht="13">
      <c r="A710" s="462"/>
      <c r="B710" s="462"/>
      <c r="N710" s="448"/>
      <c r="O710" s="464"/>
      <c r="R710" s="448"/>
      <c r="S710" s="464"/>
      <c r="V710" s="448"/>
      <c r="W710" s="464"/>
      <c r="Z710" s="448"/>
      <c r="AA710" s="464"/>
      <c r="AD710" s="448"/>
      <c r="AE710" s="464"/>
      <c r="AH710" s="448"/>
      <c r="AI710" s="464"/>
      <c r="AL710" s="448"/>
      <c r="AP710" s="448"/>
    </row>
    <row r="711" spans="1:42" ht="13">
      <c r="A711" s="462"/>
      <c r="B711" s="462"/>
      <c r="N711" s="448"/>
      <c r="O711" s="464"/>
      <c r="R711" s="448"/>
      <c r="S711" s="464"/>
      <c r="V711" s="448"/>
      <c r="W711" s="464"/>
      <c r="Z711" s="448"/>
      <c r="AA711" s="464"/>
      <c r="AD711" s="448"/>
      <c r="AE711" s="464"/>
      <c r="AH711" s="448"/>
      <c r="AI711" s="464"/>
      <c r="AL711" s="448"/>
      <c r="AP711" s="448"/>
    </row>
    <row r="712" spans="1:42" ht="13">
      <c r="A712" s="462"/>
      <c r="B712" s="462"/>
      <c r="N712" s="448"/>
      <c r="O712" s="464"/>
      <c r="R712" s="448"/>
      <c r="S712" s="464"/>
      <c r="V712" s="448"/>
      <c r="W712" s="464"/>
      <c r="Z712" s="448"/>
      <c r="AA712" s="464"/>
      <c r="AD712" s="448"/>
      <c r="AE712" s="464"/>
      <c r="AH712" s="448"/>
      <c r="AI712" s="464"/>
      <c r="AL712" s="448"/>
      <c r="AP712" s="448"/>
    </row>
    <row r="713" spans="1:42" ht="13">
      <c r="A713" s="462"/>
      <c r="B713" s="462"/>
      <c r="N713" s="448"/>
      <c r="O713" s="464"/>
      <c r="R713" s="448"/>
      <c r="S713" s="464"/>
      <c r="V713" s="448"/>
      <c r="W713" s="464"/>
      <c r="Z713" s="448"/>
      <c r="AA713" s="464"/>
      <c r="AD713" s="448"/>
      <c r="AE713" s="464"/>
      <c r="AH713" s="448"/>
      <c r="AI713" s="464"/>
      <c r="AL713" s="448"/>
      <c r="AP713" s="448"/>
    </row>
    <row r="714" spans="1:42" ht="13">
      <c r="A714" s="462"/>
      <c r="B714" s="462"/>
      <c r="N714" s="448"/>
      <c r="O714" s="464"/>
      <c r="R714" s="448"/>
      <c r="S714" s="464"/>
      <c r="V714" s="448"/>
      <c r="W714" s="464"/>
      <c r="Z714" s="448"/>
      <c r="AA714" s="464"/>
      <c r="AD714" s="448"/>
      <c r="AE714" s="464"/>
      <c r="AH714" s="448"/>
      <c r="AI714" s="464"/>
      <c r="AL714" s="448"/>
      <c r="AP714" s="448"/>
    </row>
    <row r="715" spans="1:42" ht="13">
      <c r="A715" s="462"/>
      <c r="B715" s="462"/>
      <c r="N715" s="448"/>
      <c r="O715" s="464"/>
      <c r="R715" s="448"/>
      <c r="S715" s="464"/>
      <c r="V715" s="448"/>
      <c r="W715" s="464"/>
      <c r="Z715" s="448"/>
      <c r="AA715" s="464"/>
      <c r="AD715" s="448"/>
      <c r="AE715" s="464"/>
      <c r="AH715" s="448"/>
      <c r="AI715" s="464"/>
      <c r="AL715" s="448"/>
      <c r="AP715" s="448"/>
    </row>
    <row r="716" spans="1:42" ht="13">
      <c r="A716" s="462"/>
      <c r="B716" s="462"/>
      <c r="N716" s="448"/>
      <c r="O716" s="464"/>
      <c r="R716" s="448"/>
      <c r="S716" s="464"/>
      <c r="V716" s="448"/>
      <c r="W716" s="464"/>
      <c r="Z716" s="448"/>
      <c r="AA716" s="464"/>
      <c r="AD716" s="448"/>
      <c r="AE716" s="464"/>
      <c r="AH716" s="448"/>
      <c r="AI716" s="464"/>
      <c r="AL716" s="448"/>
      <c r="AP716" s="448"/>
    </row>
    <row r="717" spans="1:42" ht="13">
      <c r="A717" s="462"/>
      <c r="B717" s="462"/>
      <c r="N717" s="448"/>
      <c r="O717" s="464"/>
      <c r="R717" s="448"/>
      <c r="S717" s="464"/>
      <c r="V717" s="448"/>
      <c r="W717" s="464"/>
      <c r="Z717" s="448"/>
      <c r="AA717" s="464"/>
      <c r="AD717" s="448"/>
      <c r="AE717" s="464"/>
      <c r="AH717" s="448"/>
      <c r="AI717" s="464"/>
      <c r="AL717" s="448"/>
      <c r="AP717" s="448"/>
    </row>
    <row r="718" spans="1:42" ht="13">
      <c r="A718" s="462"/>
      <c r="B718" s="462"/>
      <c r="N718" s="448"/>
      <c r="O718" s="464"/>
      <c r="R718" s="448"/>
      <c r="S718" s="464"/>
      <c r="V718" s="448"/>
      <c r="W718" s="464"/>
      <c r="Z718" s="448"/>
      <c r="AA718" s="464"/>
      <c r="AD718" s="448"/>
      <c r="AE718" s="464"/>
      <c r="AH718" s="448"/>
      <c r="AI718" s="464"/>
      <c r="AL718" s="448"/>
      <c r="AP718" s="448"/>
    </row>
    <row r="719" spans="1:42" ht="13">
      <c r="A719" s="462"/>
      <c r="B719" s="462"/>
      <c r="N719" s="448"/>
      <c r="O719" s="464"/>
      <c r="R719" s="448"/>
      <c r="S719" s="464"/>
      <c r="V719" s="448"/>
      <c r="W719" s="464"/>
      <c r="Z719" s="448"/>
      <c r="AA719" s="464"/>
      <c r="AD719" s="448"/>
      <c r="AE719" s="464"/>
      <c r="AH719" s="448"/>
      <c r="AI719" s="464"/>
      <c r="AL719" s="448"/>
      <c r="AP719" s="448"/>
    </row>
    <row r="720" spans="1:42" ht="13">
      <c r="A720" s="462"/>
      <c r="B720" s="462"/>
      <c r="N720" s="448"/>
      <c r="O720" s="464"/>
      <c r="R720" s="448"/>
      <c r="S720" s="464"/>
      <c r="V720" s="448"/>
      <c r="W720" s="464"/>
      <c r="Z720" s="448"/>
      <c r="AA720" s="464"/>
      <c r="AD720" s="448"/>
      <c r="AE720" s="464"/>
      <c r="AH720" s="448"/>
      <c r="AI720" s="464"/>
      <c r="AL720" s="448"/>
      <c r="AP720" s="448"/>
    </row>
    <row r="721" spans="1:42" ht="13">
      <c r="A721" s="462"/>
      <c r="B721" s="462"/>
      <c r="N721" s="448"/>
      <c r="O721" s="464"/>
      <c r="R721" s="448"/>
      <c r="S721" s="464"/>
      <c r="V721" s="448"/>
      <c r="W721" s="464"/>
      <c r="Z721" s="448"/>
      <c r="AA721" s="464"/>
      <c r="AD721" s="448"/>
      <c r="AE721" s="464"/>
      <c r="AH721" s="448"/>
      <c r="AI721" s="464"/>
      <c r="AL721" s="448"/>
      <c r="AP721" s="448"/>
    </row>
    <row r="722" spans="1:42" ht="13">
      <c r="A722" s="462"/>
      <c r="B722" s="462"/>
      <c r="N722" s="448"/>
      <c r="O722" s="464"/>
      <c r="R722" s="448"/>
      <c r="S722" s="464"/>
      <c r="V722" s="448"/>
      <c r="W722" s="464"/>
      <c r="Z722" s="448"/>
      <c r="AA722" s="464"/>
      <c r="AD722" s="448"/>
      <c r="AE722" s="464"/>
      <c r="AH722" s="448"/>
      <c r="AI722" s="464"/>
      <c r="AL722" s="448"/>
      <c r="AP722" s="448"/>
    </row>
    <row r="723" spans="1:42" ht="13">
      <c r="A723" s="462"/>
      <c r="B723" s="462"/>
      <c r="N723" s="448"/>
      <c r="O723" s="464"/>
      <c r="R723" s="448"/>
      <c r="S723" s="464"/>
      <c r="V723" s="448"/>
      <c r="W723" s="464"/>
      <c r="Z723" s="448"/>
      <c r="AA723" s="464"/>
      <c r="AD723" s="448"/>
      <c r="AE723" s="464"/>
      <c r="AH723" s="448"/>
      <c r="AI723" s="464"/>
      <c r="AL723" s="448"/>
      <c r="AP723" s="448"/>
    </row>
    <row r="724" spans="1:42" ht="13">
      <c r="A724" s="462"/>
      <c r="B724" s="462"/>
      <c r="N724" s="448"/>
      <c r="O724" s="464"/>
      <c r="R724" s="448"/>
      <c r="S724" s="464"/>
      <c r="V724" s="448"/>
      <c r="W724" s="464"/>
      <c r="Z724" s="448"/>
      <c r="AA724" s="464"/>
      <c r="AD724" s="448"/>
      <c r="AE724" s="464"/>
      <c r="AH724" s="448"/>
      <c r="AI724" s="464"/>
      <c r="AL724" s="448"/>
      <c r="AP724" s="448"/>
    </row>
    <row r="725" spans="1:42" ht="13">
      <c r="A725" s="462"/>
      <c r="B725" s="462"/>
      <c r="N725" s="448"/>
      <c r="O725" s="464"/>
      <c r="R725" s="448"/>
      <c r="S725" s="464"/>
      <c r="V725" s="448"/>
      <c r="W725" s="464"/>
      <c r="Z725" s="448"/>
      <c r="AA725" s="464"/>
      <c r="AD725" s="448"/>
      <c r="AE725" s="464"/>
      <c r="AH725" s="448"/>
      <c r="AI725" s="464"/>
      <c r="AL725" s="448"/>
      <c r="AP725" s="448"/>
    </row>
    <row r="726" spans="1:42" ht="13">
      <c r="A726" s="462"/>
      <c r="B726" s="462"/>
      <c r="N726" s="448"/>
      <c r="O726" s="464"/>
      <c r="R726" s="448"/>
      <c r="S726" s="464"/>
      <c r="V726" s="448"/>
      <c r="W726" s="464"/>
      <c r="Z726" s="448"/>
      <c r="AA726" s="464"/>
      <c r="AD726" s="448"/>
      <c r="AE726" s="464"/>
      <c r="AH726" s="448"/>
      <c r="AI726" s="464"/>
      <c r="AL726" s="448"/>
      <c r="AP726" s="448"/>
    </row>
    <row r="727" spans="1:42" ht="13">
      <c r="A727" s="462"/>
      <c r="B727" s="462"/>
      <c r="N727" s="448"/>
      <c r="O727" s="464"/>
      <c r="R727" s="448"/>
      <c r="S727" s="464"/>
      <c r="V727" s="448"/>
      <c r="W727" s="464"/>
      <c r="Z727" s="448"/>
      <c r="AA727" s="464"/>
      <c r="AD727" s="448"/>
      <c r="AE727" s="464"/>
      <c r="AH727" s="448"/>
      <c r="AI727" s="464"/>
      <c r="AL727" s="448"/>
      <c r="AP727" s="448"/>
    </row>
    <row r="728" spans="1:42" ht="13">
      <c r="A728" s="462"/>
      <c r="B728" s="462"/>
      <c r="N728" s="448"/>
      <c r="O728" s="464"/>
      <c r="R728" s="448"/>
      <c r="S728" s="464"/>
      <c r="V728" s="448"/>
      <c r="W728" s="464"/>
      <c r="Z728" s="448"/>
      <c r="AA728" s="464"/>
      <c r="AD728" s="448"/>
      <c r="AE728" s="464"/>
      <c r="AH728" s="448"/>
      <c r="AI728" s="464"/>
      <c r="AL728" s="448"/>
      <c r="AP728" s="448"/>
    </row>
    <row r="729" spans="1:42" ht="13">
      <c r="A729" s="462"/>
      <c r="B729" s="462"/>
      <c r="N729" s="448"/>
      <c r="O729" s="464"/>
      <c r="R729" s="448"/>
      <c r="S729" s="464"/>
      <c r="V729" s="448"/>
      <c r="W729" s="464"/>
      <c r="Z729" s="448"/>
      <c r="AA729" s="464"/>
      <c r="AD729" s="448"/>
      <c r="AE729" s="464"/>
      <c r="AH729" s="448"/>
      <c r="AI729" s="464"/>
      <c r="AL729" s="448"/>
      <c r="AP729" s="448"/>
    </row>
    <row r="730" spans="1:42" ht="13">
      <c r="A730" s="462"/>
      <c r="B730" s="462"/>
      <c r="N730" s="448"/>
      <c r="O730" s="464"/>
      <c r="R730" s="448"/>
      <c r="S730" s="464"/>
      <c r="V730" s="448"/>
      <c r="W730" s="464"/>
      <c r="Z730" s="448"/>
      <c r="AA730" s="464"/>
      <c r="AD730" s="448"/>
      <c r="AE730" s="464"/>
      <c r="AH730" s="448"/>
      <c r="AI730" s="464"/>
      <c r="AL730" s="448"/>
      <c r="AP730" s="448"/>
    </row>
    <row r="731" spans="1:42" ht="13">
      <c r="A731" s="462"/>
      <c r="B731" s="462"/>
      <c r="N731" s="448"/>
      <c r="O731" s="464"/>
      <c r="R731" s="448"/>
      <c r="S731" s="464"/>
      <c r="V731" s="448"/>
      <c r="W731" s="464"/>
      <c r="Z731" s="448"/>
      <c r="AA731" s="464"/>
      <c r="AD731" s="448"/>
      <c r="AE731" s="464"/>
      <c r="AH731" s="448"/>
      <c r="AI731" s="464"/>
      <c r="AL731" s="448"/>
      <c r="AP731" s="448"/>
    </row>
    <row r="732" spans="1:42" ht="13">
      <c r="A732" s="462"/>
      <c r="B732" s="462"/>
      <c r="N732" s="448"/>
      <c r="O732" s="464"/>
      <c r="R732" s="448"/>
      <c r="S732" s="464"/>
      <c r="V732" s="448"/>
      <c r="W732" s="464"/>
      <c r="Z732" s="448"/>
      <c r="AA732" s="464"/>
      <c r="AD732" s="448"/>
      <c r="AE732" s="464"/>
      <c r="AH732" s="448"/>
      <c r="AI732" s="464"/>
      <c r="AL732" s="448"/>
      <c r="AP732" s="448"/>
    </row>
    <row r="733" spans="1:42" ht="13">
      <c r="A733" s="462"/>
      <c r="B733" s="462"/>
      <c r="N733" s="448"/>
      <c r="O733" s="464"/>
      <c r="R733" s="448"/>
      <c r="S733" s="464"/>
      <c r="V733" s="448"/>
      <c r="W733" s="464"/>
      <c r="Z733" s="448"/>
      <c r="AA733" s="464"/>
      <c r="AD733" s="448"/>
      <c r="AE733" s="464"/>
      <c r="AH733" s="448"/>
      <c r="AI733" s="464"/>
      <c r="AL733" s="448"/>
      <c r="AP733" s="448"/>
    </row>
    <row r="734" spans="1:42" ht="13">
      <c r="A734" s="462"/>
      <c r="B734" s="462"/>
      <c r="N734" s="448"/>
      <c r="O734" s="464"/>
      <c r="R734" s="448"/>
      <c r="S734" s="464"/>
      <c r="V734" s="448"/>
      <c r="W734" s="464"/>
      <c r="Z734" s="448"/>
      <c r="AA734" s="464"/>
      <c r="AD734" s="448"/>
      <c r="AE734" s="464"/>
      <c r="AH734" s="448"/>
      <c r="AI734" s="464"/>
      <c r="AL734" s="448"/>
      <c r="AP734" s="448"/>
    </row>
    <row r="735" spans="1:42" ht="13">
      <c r="A735" s="462"/>
      <c r="B735" s="462"/>
      <c r="N735" s="448"/>
      <c r="O735" s="464"/>
      <c r="R735" s="448"/>
      <c r="S735" s="464"/>
      <c r="V735" s="448"/>
      <c r="W735" s="464"/>
      <c r="Z735" s="448"/>
      <c r="AA735" s="464"/>
      <c r="AD735" s="448"/>
      <c r="AE735" s="464"/>
      <c r="AH735" s="448"/>
      <c r="AI735" s="464"/>
      <c r="AL735" s="448"/>
      <c r="AP735" s="448"/>
    </row>
    <row r="736" spans="1:42" ht="13">
      <c r="A736" s="462"/>
      <c r="B736" s="462"/>
      <c r="N736" s="448"/>
      <c r="O736" s="464"/>
      <c r="R736" s="448"/>
      <c r="S736" s="464"/>
      <c r="V736" s="448"/>
      <c r="W736" s="464"/>
      <c r="Z736" s="448"/>
      <c r="AA736" s="464"/>
      <c r="AD736" s="448"/>
      <c r="AE736" s="464"/>
      <c r="AH736" s="448"/>
      <c r="AI736" s="464"/>
      <c r="AL736" s="448"/>
      <c r="AP736" s="448"/>
    </row>
    <row r="737" spans="1:42" ht="13">
      <c r="A737" s="462"/>
      <c r="B737" s="462"/>
      <c r="N737" s="448"/>
      <c r="O737" s="464"/>
      <c r="R737" s="448"/>
      <c r="S737" s="464"/>
      <c r="V737" s="448"/>
      <c r="W737" s="464"/>
      <c r="Z737" s="448"/>
      <c r="AA737" s="464"/>
      <c r="AD737" s="448"/>
      <c r="AE737" s="464"/>
      <c r="AH737" s="448"/>
      <c r="AI737" s="464"/>
      <c r="AL737" s="448"/>
      <c r="AP737" s="448"/>
    </row>
    <row r="738" spans="1:42" ht="13">
      <c r="A738" s="462"/>
      <c r="B738" s="462"/>
      <c r="N738" s="448"/>
      <c r="O738" s="464"/>
      <c r="R738" s="448"/>
      <c r="S738" s="464"/>
      <c r="V738" s="448"/>
      <c r="W738" s="464"/>
      <c r="Z738" s="448"/>
      <c r="AA738" s="464"/>
      <c r="AD738" s="448"/>
      <c r="AE738" s="464"/>
      <c r="AH738" s="448"/>
      <c r="AI738" s="464"/>
      <c r="AL738" s="448"/>
      <c r="AP738" s="448"/>
    </row>
    <row r="739" spans="1:42" ht="13">
      <c r="A739" s="462"/>
      <c r="B739" s="462"/>
      <c r="N739" s="448"/>
      <c r="O739" s="464"/>
      <c r="R739" s="448"/>
      <c r="S739" s="464"/>
      <c r="V739" s="448"/>
      <c r="W739" s="464"/>
      <c r="Z739" s="448"/>
      <c r="AA739" s="464"/>
      <c r="AD739" s="448"/>
      <c r="AE739" s="464"/>
      <c r="AH739" s="448"/>
      <c r="AI739" s="464"/>
      <c r="AL739" s="448"/>
      <c r="AP739" s="448"/>
    </row>
    <row r="740" spans="1:42" ht="13">
      <c r="A740" s="462"/>
      <c r="B740" s="462"/>
      <c r="N740" s="448"/>
      <c r="O740" s="464"/>
      <c r="R740" s="448"/>
      <c r="S740" s="464"/>
      <c r="V740" s="448"/>
      <c r="W740" s="464"/>
      <c r="Z740" s="448"/>
      <c r="AA740" s="464"/>
      <c r="AD740" s="448"/>
      <c r="AE740" s="464"/>
      <c r="AH740" s="448"/>
      <c r="AI740" s="464"/>
      <c r="AL740" s="448"/>
      <c r="AP740" s="448"/>
    </row>
    <row r="741" spans="1:42" ht="13">
      <c r="A741" s="462"/>
      <c r="B741" s="462"/>
      <c r="N741" s="448"/>
      <c r="O741" s="464"/>
      <c r="R741" s="448"/>
      <c r="S741" s="464"/>
      <c r="V741" s="448"/>
      <c r="W741" s="464"/>
      <c r="Z741" s="448"/>
      <c r="AA741" s="464"/>
      <c r="AD741" s="448"/>
      <c r="AE741" s="464"/>
      <c r="AH741" s="448"/>
      <c r="AI741" s="464"/>
      <c r="AL741" s="448"/>
      <c r="AP741" s="448"/>
    </row>
    <row r="742" spans="1:42" ht="13">
      <c r="A742" s="462"/>
      <c r="B742" s="462"/>
      <c r="N742" s="448"/>
      <c r="O742" s="464"/>
      <c r="R742" s="448"/>
      <c r="S742" s="464"/>
      <c r="V742" s="448"/>
      <c r="W742" s="464"/>
      <c r="Z742" s="448"/>
      <c r="AA742" s="464"/>
      <c r="AD742" s="448"/>
      <c r="AE742" s="464"/>
      <c r="AH742" s="448"/>
      <c r="AI742" s="464"/>
      <c r="AL742" s="448"/>
      <c r="AP742" s="448"/>
    </row>
    <row r="743" spans="1:42" ht="13">
      <c r="A743" s="462"/>
      <c r="B743" s="462"/>
      <c r="N743" s="448"/>
      <c r="O743" s="464"/>
      <c r="R743" s="448"/>
      <c r="S743" s="464"/>
      <c r="V743" s="448"/>
      <c r="W743" s="464"/>
      <c r="Z743" s="448"/>
      <c r="AA743" s="464"/>
      <c r="AD743" s="448"/>
      <c r="AE743" s="464"/>
      <c r="AH743" s="448"/>
      <c r="AI743" s="464"/>
      <c r="AL743" s="448"/>
      <c r="AP743" s="448"/>
    </row>
    <row r="744" spans="1:42" ht="13">
      <c r="A744" s="462"/>
      <c r="B744" s="462"/>
      <c r="N744" s="448"/>
      <c r="O744" s="464"/>
      <c r="R744" s="448"/>
      <c r="S744" s="464"/>
      <c r="V744" s="448"/>
      <c r="W744" s="464"/>
      <c r="Z744" s="448"/>
      <c r="AA744" s="464"/>
      <c r="AD744" s="448"/>
      <c r="AE744" s="464"/>
      <c r="AH744" s="448"/>
      <c r="AI744" s="464"/>
      <c r="AL744" s="448"/>
      <c r="AP744" s="448"/>
    </row>
    <row r="745" spans="1:42" ht="13">
      <c r="A745" s="462"/>
      <c r="B745" s="462"/>
      <c r="N745" s="448"/>
      <c r="O745" s="464"/>
      <c r="R745" s="448"/>
      <c r="S745" s="464"/>
      <c r="V745" s="448"/>
      <c r="W745" s="464"/>
      <c r="Z745" s="448"/>
      <c r="AA745" s="464"/>
      <c r="AD745" s="448"/>
      <c r="AE745" s="464"/>
      <c r="AH745" s="448"/>
      <c r="AI745" s="464"/>
      <c r="AL745" s="448"/>
      <c r="AP745" s="448"/>
    </row>
    <row r="746" spans="1:42" ht="13">
      <c r="A746" s="462"/>
      <c r="B746" s="462"/>
      <c r="N746" s="448"/>
      <c r="O746" s="464"/>
      <c r="R746" s="448"/>
      <c r="S746" s="464"/>
      <c r="V746" s="448"/>
      <c r="W746" s="464"/>
      <c r="Z746" s="448"/>
      <c r="AA746" s="464"/>
      <c r="AD746" s="448"/>
      <c r="AE746" s="464"/>
      <c r="AH746" s="448"/>
      <c r="AI746" s="464"/>
      <c r="AL746" s="448"/>
      <c r="AP746" s="448"/>
    </row>
    <row r="747" spans="1:42" ht="13">
      <c r="A747" s="462"/>
      <c r="B747" s="462"/>
      <c r="N747" s="448"/>
      <c r="O747" s="464"/>
      <c r="R747" s="448"/>
      <c r="S747" s="464"/>
      <c r="V747" s="448"/>
      <c r="W747" s="464"/>
      <c r="Z747" s="448"/>
      <c r="AA747" s="464"/>
      <c r="AD747" s="448"/>
      <c r="AE747" s="464"/>
      <c r="AH747" s="448"/>
      <c r="AI747" s="464"/>
      <c r="AL747" s="448"/>
      <c r="AP747" s="448"/>
    </row>
    <row r="748" spans="1:42" ht="13">
      <c r="A748" s="462"/>
      <c r="B748" s="462"/>
      <c r="N748" s="448"/>
      <c r="O748" s="464"/>
      <c r="R748" s="448"/>
      <c r="S748" s="464"/>
      <c r="V748" s="448"/>
      <c r="W748" s="464"/>
      <c r="Z748" s="448"/>
      <c r="AA748" s="464"/>
      <c r="AD748" s="448"/>
      <c r="AE748" s="464"/>
      <c r="AH748" s="448"/>
      <c r="AI748" s="464"/>
      <c r="AL748" s="448"/>
      <c r="AP748" s="448"/>
    </row>
    <row r="749" spans="1:42" ht="13">
      <c r="A749" s="462"/>
      <c r="B749" s="462"/>
      <c r="N749" s="448"/>
      <c r="O749" s="464"/>
      <c r="R749" s="448"/>
      <c r="S749" s="464"/>
      <c r="V749" s="448"/>
      <c r="W749" s="464"/>
      <c r="Z749" s="448"/>
      <c r="AA749" s="464"/>
      <c r="AD749" s="448"/>
      <c r="AE749" s="464"/>
      <c r="AH749" s="448"/>
      <c r="AI749" s="464"/>
      <c r="AL749" s="448"/>
      <c r="AP749" s="448"/>
    </row>
    <row r="750" spans="1:42" ht="13">
      <c r="A750" s="462"/>
      <c r="B750" s="462"/>
      <c r="N750" s="448"/>
      <c r="O750" s="464"/>
      <c r="R750" s="448"/>
      <c r="S750" s="464"/>
      <c r="V750" s="448"/>
      <c r="W750" s="464"/>
      <c r="Z750" s="448"/>
      <c r="AA750" s="464"/>
      <c r="AD750" s="448"/>
      <c r="AE750" s="464"/>
      <c r="AH750" s="448"/>
      <c r="AI750" s="464"/>
      <c r="AL750" s="448"/>
      <c r="AP750" s="448"/>
    </row>
    <row r="751" spans="1:42" ht="13">
      <c r="A751" s="462"/>
      <c r="B751" s="462"/>
      <c r="N751" s="448"/>
      <c r="O751" s="464"/>
      <c r="R751" s="448"/>
      <c r="S751" s="464"/>
      <c r="V751" s="448"/>
      <c r="W751" s="464"/>
      <c r="Z751" s="448"/>
      <c r="AA751" s="464"/>
      <c r="AD751" s="448"/>
      <c r="AE751" s="464"/>
      <c r="AH751" s="448"/>
      <c r="AI751" s="464"/>
      <c r="AL751" s="448"/>
      <c r="AP751" s="448"/>
    </row>
    <row r="752" spans="1:42" ht="13">
      <c r="A752" s="462"/>
      <c r="B752" s="462"/>
      <c r="N752" s="448"/>
      <c r="O752" s="464"/>
      <c r="R752" s="448"/>
      <c r="S752" s="464"/>
      <c r="V752" s="448"/>
      <c r="W752" s="464"/>
      <c r="Z752" s="448"/>
      <c r="AA752" s="464"/>
      <c r="AD752" s="448"/>
      <c r="AE752" s="464"/>
      <c r="AH752" s="448"/>
      <c r="AI752" s="464"/>
      <c r="AL752" s="448"/>
      <c r="AP752" s="448"/>
    </row>
    <row r="753" spans="1:42" ht="13">
      <c r="A753" s="462"/>
      <c r="B753" s="462"/>
      <c r="N753" s="448"/>
      <c r="O753" s="464"/>
      <c r="R753" s="448"/>
      <c r="S753" s="464"/>
      <c r="V753" s="448"/>
      <c r="W753" s="464"/>
      <c r="Z753" s="448"/>
      <c r="AA753" s="464"/>
      <c r="AD753" s="448"/>
      <c r="AE753" s="464"/>
      <c r="AH753" s="448"/>
      <c r="AI753" s="464"/>
      <c r="AL753" s="448"/>
      <c r="AP753" s="448"/>
    </row>
    <row r="754" spans="1:42" ht="13">
      <c r="A754" s="462"/>
      <c r="B754" s="462"/>
      <c r="N754" s="448"/>
      <c r="O754" s="464"/>
      <c r="R754" s="448"/>
      <c r="S754" s="464"/>
      <c r="V754" s="448"/>
      <c r="W754" s="464"/>
      <c r="Z754" s="448"/>
      <c r="AA754" s="464"/>
      <c r="AD754" s="448"/>
      <c r="AE754" s="464"/>
      <c r="AH754" s="448"/>
      <c r="AI754" s="464"/>
      <c r="AL754" s="448"/>
      <c r="AP754" s="448"/>
    </row>
    <row r="755" spans="1:42" ht="13">
      <c r="A755" s="462"/>
      <c r="B755" s="462"/>
      <c r="N755" s="448"/>
      <c r="O755" s="464"/>
      <c r="R755" s="448"/>
      <c r="S755" s="464"/>
      <c r="V755" s="448"/>
      <c r="W755" s="464"/>
      <c r="Z755" s="448"/>
      <c r="AA755" s="464"/>
      <c r="AD755" s="448"/>
      <c r="AE755" s="464"/>
      <c r="AH755" s="448"/>
      <c r="AI755" s="464"/>
      <c r="AL755" s="448"/>
      <c r="AP755" s="448"/>
    </row>
    <row r="756" spans="1:42" ht="13">
      <c r="A756" s="462"/>
      <c r="B756" s="462"/>
      <c r="N756" s="448"/>
      <c r="O756" s="464"/>
      <c r="R756" s="448"/>
      <c r="S756" s="464"/>
      <c r="V756" s="448"/>
      <c r="W756" s="464"/>
      <c r="Z756" s="448"/>
      <c r="AA756" s="464"/>
      <c r="AD756" s="448"/>
      <c r="AE756" s="464"/>
      <c r="AH756" s="448"/>
      <c r="AI756" s="464"/>
      <c r="AL756" s="448"/>
      <c r="AP756" s="448"/>
    </row>
    <row r="757" spans="1:42" ht="13">
      <c r="A757" s="462"/>
      <c r="B757" s="462"/>
      <c r="N757" s="448"/>
      <c r="O757" s="464"/>
      <c r="R757" s="448"/>
      <c r="S757" s="464"/>
      <c r="V757" s="448"/>
      <c r="W757" s="464"/>
      <c r="Z757" s="448"/>
      <c r="AA757" s="464"/>
      <c r="AD757" s="448"/>
      <c r="AE757" s="464"/>
      <c r="AH757" s="448"/>
      <c r="AI757" s="464"/>
      <c r="AL757" s="448"/>
      <c r="AP757" s="448"/>
    </row>
    <row r="758" spans="1:42" ht="13">
      <c r="A758" s="462"/>
      <c r="B758" s="462"/>
      <c r="N758" s="448"/>
      <c r="O758" s="464"/>
      <c r="R758" s="448"/>
      <c r="S758" s="464"/>
      <c r="V758" s="448"/>
      <c r="W758" s="464"/>
      <c r="Z758" s="448"/>
      <c r="AA758" s="464"/>
      <c r="AD758" s="448"/>
      <c r="AE758" s="464"/>
      <c r="AH758" s="448"/>
      <c r="AI758" s="464"/>
      <c r="AL758" s="448"/>
      <c r="AP758" s="448"/>
    </row>
    <row r="759" spans="1:42" ht="13">
      <c r="A759" s="462"/>
      <c r="B759" s="462"/>
      <c r="N759" s="448"/>
      <c r="O759" s="464"/>
      <c r="R759" s="448"/>
      <c r="S759" s="464"/>
      <c r="V759" s="448"/>
      <c r="W759" s="464"/>
      <c r="Z759" s="448"/>
      <c r="AA759" s="464"/>
      <c r="AD759" s="448"/>
      <c r="AE759" s="464"/>
      <c r="AH759" s="448"/>
      <c r="AI759" s="464"/>
      <c r="AL759" s="448"/>
      <c r="AP759" s="448"/>
    </row>
    <row r="760" spans="1:42" ht="13">
      <c r="A760" s="462"/>
      <c r="B760" s="462"/>
      <c r="N760" s="448"/>
      <c r="O760" s="464"/>
      <c r="R760" s="448"/>
      <c r="S760" s="464"/>
      <c r="V760" s="448"/>
      <c r="W760" s="464"/>
      <c r="Z760" s="448"/>
      <c r="AA760" s="464"/>
      <c r="AD760" s="448"/>
      <c r="AE760" s="464"/>
      <c r="AH760" s="448"/>
      <c r="AI760" s="464"/>
      <c r="AL760" s="448"/>
      <c r="AP760" s="448"/>
    </row>
    <row r="761" spans="1:42" ht="13">
      <c r="A761" s="462"/>
      <c r="B761" s="462"/>
      <c r="N761" s="448"/>
      <c r="O761" s="464"/>
      <c r="R761" s="448"/>
      <c r="S761" s="464"/>
      <c r="V761" s="448"/>
      <c r="W761" s="464"/>
      <c r="Z761" s="448"/>
      <c r="AA761" s="464"/>
      <c r="AD761" s="448"/>
      <c r="AE761" s="464"/>
      <c r="AH761" s="448"/>
      <c r="AI761" s="464"/>
      <c r="AL761" s="448"/>
      <c r="AP761" s="448"/>
    </row>
    <row r="762" spans="1:42" ht="13">
      <c r="A762" s="462"/>
      <c r="B762" s="462"/>
      <c r="N762" s="448"/>
      <c r="O762" s="464"/>
      <c r="R762" s="448"/>
      <c r="S762" s="464"/>
      <c r="V762" s="448"/>
      <c r="W762" s="464"/>
      <c r="Z762" s="448"/>
      <c r="AA762" s="464"/>
      <c r="AD762" s="448"/>
      <c r="AE762" s="464"/>
      <c r="AH762" s="448"/>
      <c r="AI762" s="464"/>
      <c r="AL762" s="448"/>
      <c r="AP762" s="448"/>
    </row>
    <row r="763" spans="1:42" ht="13">
      <c r="A763" s="462"/>
      <c r="B763" s="462"/>
      <c r="N763" s="448"/>
      <c r="O763" s="464"/>
      <c r="R763" s="448"/>
      <c r="S763" s="464"/>
      <c r="V763" s="448"/>
      <c r="W763" s="464"/>
      <c r="Z763" s="448"/>
      <c r="AA763" s="464"/>
      <c r="AD763" s="448"/>
      <c r="AE763" s="464"/>
      <c r="AH763" s="448"/>
      <c r="AI763" s="464"/>
      <c r="AL763" s="448"/>
      <c r="AP763" s="448"/>
    </row>
    <row r="764" spans="1:42" ht="13">
      <c r="A764" s="462"/>
      <c r="B764" s="462"/>
      <c r="N764" s="448"/>
      <c r="O764" s="464"/>
      <c r="R764" s="448"/>
      <c r="S764" s="464"/>
      <c r="V764" s="448"/>
      <c r="W764" s="464"/>
      <c r="Z764" s="448"/>
      <c r="AA764" s="464"/>
      <c r="AD764" s="448"/>
      <c r="AE764" s="464"/>
      <c r="AH764" s="448"/>
      <c r="AI764" s="464"/>
      <c r="AL764" s="448"/>
      <c r="AP764" s="448"/>
    </row>
    <row r="765" spans="1:42" ht="13">
      <c r="A765" s="462"/>
      <c r="B765" s="462"/>
      <c r="N765" s="448"/>
      <c r="O765" s="464"/>
      <c r="R765" s="448"/>
      <c r="S765" s="464"/>
      <c r="V765" s="448"/>
      <c r="W765" s="464"/>
      <c r="Z765" s="448"/>
      <c r="AA765" s="464"/>
      <c r="AD765" s="448"/>
      <c r="AE765" s="464"/>
      <c r="AH765" s="448"/>
      <c r="AI765" s="464"/>
      <c r="AL765" s="448"/>
      <c r="AP765" s="448"/>
    </row>
    <row r="766" spans="1:42" ht="13">
      <c r="A766" s="462"/>
      <c r="B766" s="462"/>
      <c r="N766" s="448"/>
      <c r="O766" s="464"/>
      <c r="R766" s="448"/>
      <c r="S766" s="464"/>
      <c r="V766" s="448"/>
      <c r="W766" s="464"/>
      <c r="Z766" s="448"/>
      <c r="AA766" s="464"/>
      <c r="AD766" s="448"/>
      <c r="AE766" s="464"/>
      <c r="AH766" s="448"/>
      <c r="AI766" s="464"/>
      <c r="AL766" s="448"/>
      <c r="AP766" s="448"/>
    </row>
    <row r="767" spans="1:42" ht="13">
      <c r="A767" s="462"/>
      <c r="B767" s="462"/>
      <c r="N767" s="448"/>
      <c r="O767" s="464"/>
      <c r="R767" s="448"/>
      <c r="S767" s="464"/>
      <c r="V767" s="448"/>
      <c r="W767" s="464"/>
      <c r="Z767" s="448"/>
      <c r="AA767" s="464"/>
      <c r="AD767" s="448"/>
      <c r="AE767" s="464"/>
      <c r="AH767" s="448"/>
      <c r="AI767" s="464"/>
      <c r="AL767" s="448"/>
      <c r="AP767" s="448"/>
    </row>
    <row r="768" spans="1:42" ht="13">
      <c r="A768" s="462"/>
      <c r="B768" s="462"/>
      <c r="N768" s="448"/>
      <c r="O768" s="464"/>
      <c r="R768" s="448"/>
      <c r="S768" s="464"/>
      <c r="V768" s="448"/>
      <c r="W768" s="464"/>
      <c r="Z768" s="448"/>
      <c r="AA768" s="464"/>
      <c r="AD768" s="448"/>
      <c r="AE768" s="464"/>
      <c r="AH768" s="448"/>
      <c r="AI768" s="464"/>
      <c r="AL768" s="448"/>
      <c r="AP768" s="448"/>
    </row>
    <row r="769" spans="1:42" ht="13">
      <c r="A769" s="462"/>
      <c r="B769" s="462"/>
      <c r="N769" s="448"/>
      <c r="O769" s="464"/>
      <c r="R769" s="448"/>
      <c r="S769" s="464"/>
      <c r="V769" s="448"/>
      <c r="W769" s="464"/>
      <c r="Z769" s="448"/>
      <c r="AA769" s="464"/>
      <c r="AD769" s="448"/>
      <c r="AE769" s="464"/>
      <c r="AH769" s="448"/>
      <c r="AI769" s="464"/>
      <c r="AL769" s="448"/>
      <c r="AP769" s="448"/>
    </row>
    <row r="770" spans="1:42" ht="13">
      <c r="A770" s="462"/>
      <c r="B770" s="462"/>
      <c r="N770" s="448"/>
      <c r="O770" s="464"/>
      <c r="R770" s="448"/>
      <c r="S770" s="464"/>
      <c r="V770" s="448"/>
      <c r="W770" s="464"/>
      <c r="Z770" s="448"/>
      <c r="AA770" s="464"/>
      <c r="AD770" s="448"/>
      <c r="AE770" s="464"/>
      <c r="AH770" s="448"/>
      <c r="AI770" s="464"/>
      <c r="AL770" s="448"/>
      <c r="AP770" s="448"/>
    </row>
    <row r="771" spans="1:42" ht="13">
      <c r="A771" s="462"/>
      <c r="B771" s="462"/>
      <c r="N771" s="448"/>
      <c r="O771" s="464"/>
      <c r="R771" s="448"/>
      <c r="S771" s="464"/>
      <c r="V771" s="448"/>
      <c r="W771" s="464"/>
      <c r="Z771" s="448"/>
      <c r="AA771" s="464"/>
      <c r="AD771" s="448"/>
      <c r="AE771" s="464"/>
      <c r="AH771" s="448"/>
      <c r="AI771" s="464"/>
      <c r="AL771" s="448"/>
      <c r="AP771" s="448"/>
    </row>
    <row r="772" spans="1:42" ht="13">
      <c r="A772" s="462"/>
      <c r="B772" s="462"/>
      <c r="N772" s="448"/>
      <c r="O772" s="464"/>
      <c r="R772" s="448"/>
      <c r="S772" s="464"/>
      <c r="V772" s="448"/>
      <c r="W772" s="464"/>
      <c r="Z772" s="448"/>
      <c r="AA772" s="464"/>
      <c r="AD772" s="448"/>
      <c r="AE772" s="464"/>
      <c r="AH772" s="448"/>
      <c r="AI772" s="464"/>
      <c r="AL772" s="448"/>
      <c r="AP772" s="448"/>
    </row>
    <row r="773" spans="1:42" ht="13">
      <c r="A773" s="462"/>
      <c r="B773" s="462"/>
      <c r="N773" s="448"/>
      <c r="O773" s="464"/>
      <c r="R773" s="448"/>
      <c r="S773" s="464"/>
      <c r="V773" s="448"/>
      <c r="W773" s="464"/>
      <c r="Z773" s="448"/>
      <c r="AA773" s="464"/>
      <c r="AD773" s="448"/>
      <c r="AE773" s="464"/>
      <c r="AH773" s="448"/>
      <c r="AI773" s="464"/>
      <c r="AL773" s="448"/>
      <c r="AP773" s="448"/>
    </row>
    <row r="774" spans="1:42" ht="13">
      <c r="A774" s="462"/>
      <c r="B774" s="462"/>
      <c r="N774" s="448"/>
      <c r="O774" s="464"/>
      <c r="R774" s="448"/>
      <c r="S774" s="464"/>
      <c r="V774" s="448"/>
      <c r="W774" s="464"/>
      <c r="Z774" s="448"/>
      <c r="AA774" s="464"/>
      <c r="AD774" s="448"/>
      <c r="AE774" s="464"/>
      <c r="AH774" s="448"/>
      <c r="AI774" s="464"/>
      <c r="AL774" s="448"/>
      <c r="AP774" s="448"/>
    </row>
    <row r="775" spans="1:42" ht="13">
      <c r="A775" s="462"/>
      <c r="B775" s="462"/>
      <c r="N775" s="448"/>
      <c r="O775" s="464"/>
      <c r="R775" s="448"/>
      <c r="S775" s="464"/>
      <c r="V775" s="448"/>
      <c r="W775" s="464"/>
      <c r="Z775" s="448"/>
      <c r="AA775" s="464"/>
      <c r="AD775" s="448"/>
      <c r="AE775" s="464"/>
      <c r="AH775" s="448"/>
      <c r="AI775" s="464"/>
      <c r="AL775" s="448"/>
      <c r="AP775" s="448"/>
    </row>
    <row r="776" spans="1:42" ht="13">
      <c r="A776" s="462"/>
      <c r="B776" s="462"/>
      <c r="N776" s="448"/>
      <c r="O776" s="464"/>
      <c r="R776" s="448"/>
      <c r="S776" s="464"/>
      <c r="V776" s="448"/>
      <c r="W776" s="464"/>
      <c r="Z776" s="448"/>
      <c r="AA776" s="464"/>
      <c r="AD776" s="448"/>
      <c r="AE776" s="464"/>
      <c r="AH776" s="448"/>
      <c r="AI776" s="464"/>
      <c r="AL776" s="448"/>
      <c r="AP776" s="448"/>
    </row>
    <row r="777" spans="1:42" ht="13">
      <c r="A777" s="462"/>
      <c r="B777" s="462"/>
      <c r="N777" s="448"/>
      <c r="O777" s="464"/>
      <c r="R777" s="448"/>
      <c r="S777" s="464"/>
      <c r="V777" s="448"/>
      <c r="W777" s="464"/>
      <c r="Z777" s="448"/>
      <c r="AA777" s="464"/>
      <c r="AD777" s="448"/>
      <c r="AE777" s="464"/>
      <c r="AH777" s="448"/>
      <c r="AI777" s="464"/>
      <c r="AL777" s="448"/>
      <c r="AP777" s="448"/>
    </row>
    <row r="778" spans="1:42" ht="13">
      <c r="A778" s="462"/>
      <c r="B778" s="462"/>
      <c r="N778" s="448"/>
      <c r="O778" s="464"/>
      <c r="R778" s="448"/>
      <c r="S778" s="464"/>
      <c r="V778" s="448"/>
      <c r="W778" s="464"/>
      <c r="Z778" s="448"/>
      <c r="AA778" s="464"/>
      <c r="AD778" s="448"/>
      <c r="AE778" s="464"/>
      <c r="AH778" s="448"/>
      <c r="AI778" s="464"/>
      <c r="AL778" s="448"/>
      <c r="AP778" s="448"/>
    </row>
    <row r="779" spans="1:42" ht="13">
      <c r="A779" s="462"/>
      <c r="B779" s="462"/>
      <c r="N779" s="448"/>
      <c r="O779" s="464"/>
      <c r="R779" s="448"/>
      <c r="S779" s="464"/>
      <c r="V779" s="448"/>
      <c r="W779" s="464"/>
      <c r="Z779" s="448"/>
      <c r="AA779" s="464"/>
      <c r="AD779" s="448"/>
      <c r="AE779" s="464"/>
      <c r="AH779" s="448"/>
      <c r="AI779" s="464"/>
      <c r="AL779" s="448"/>
      <c r="AP779" s="448"/>
    </row>
    <row r="780" spans="1:42" ht="13">
      <c r="A780" s="462"/>
      <c r="B780" s="462"/>
      <c r="N780" s="448"/>
      <c r="O780" s="464"/>
      <c r="R780" s="448"/>
      <c r="S780" s="464"/>
      <c r="V780" s="448"/>
      <c r="W780" s="464"/>
      <c r="Z780" s="448"/>
      <c r="AA780" s="464"/>
      <c r="AD780" s="448"/>
      <c r="AE780" s="464"/>
      <c r="AH780" s="448"/>
      <c r="AI780" s="464"/>
      <c r="AL780" s="448"/>
      <c r="AP780" s="448"/>
    </row>
    <row r="781" spans="1:42" ht="13">
      <c r="A781" s="462"/>
      <c r="B781" s="462"/>
      <c r="N781" s="448"/>
      <c r="O781" s="464"/>
      <c r="R781" s="448"/>
      <c r="S781" s="464"/>
      <c r="V781" s="448"/>
      <c r="W781" s="464"/>
      <c r="Z781" s="448"/>
      <c r="AA781" s="464"/>
      <c r="AD781" s="448"/>
      <c r="AE781" s="464"/>
      <c r="AH781" s="448"/>
      <c r="AI781" s="464"/>
      <c r="AL781" s="448"/>
      <c r="AP781" s="448"/>
    </row>
    <row r="782" spans="1:42" ht="13">
      <c r="A782" s="462"/>
      <c r="B782" s="462"/>
      <c r="N782" s="448"/>
      <c r="O782" s="464"/>
      <c r="R782" s="448"/>
      <c r="S782" s="464"/>
      <c r="V782" s="448"/>
      <c r="W782" s="464"/>
      <c r="Z782" s="448"/>
      <c r="AA782" s="464"/>
      <c r="AD782" s="448"/>
      <c r="AE782" s="464"/>
      <c r="AH782" s="448"/>
      <c r="AI782" s="464"/>
      <c r="AL782" s="448"/>
      <c r="AP782" s="448"/>
    </row>
    <row r="783" spans="1:42" ht="13">
      <c r="A783" s="462"/>
      <c r="B783" s="462"/>
      <c r="N783" s="448"/>
      <c r="O783" s="464"/>
      <c r="R783" s="448"/>
      <c r="S783" s="464"/>
      <c r="V783" s="448"/>
      <c r="W783" s="464"/>
      <c r="Z783" s="448"/>
      <c r="AA783" s="464"/>
      <c r="AD783" s="448"/>
      <c r="AE783" s="464"/>
      <c r="AH783" s="448"/>
      <c r="AI783" s="464"/>
      <c r="AL783" s="448"/>
      <c r="AP783" s="448"/>
    </row>
    <row r="784" spans="1:42" ht="13">
      <c r="A784" s="462"/>
      <c r="B784" s="462"/>
      <c r="N784" s="448"/>
      <c r="O784" s="464"/>
      <c r="R784" s="448"/>
      <c r="S784" s="464"/>
      <c r="V784" s="448"/>
      <c r="W784" s="464"/>
      <c r="Z784" s="448"/>
      <c r="AA784" s="464"/>
      <c r="AD784" s="448"/>
      <c r="AE784" s="464"/>
      <c r="AH784" s="448"/>
      <c r="AI784" s="464"/>
      <c r="AL784" s="448"/>
      <c r="AP784" s="448"/>
    </row>
    <row r="785" spans="1:42" ht="13">
      <c r="A785" s="462"/>
      <c r="B785" s="462"/>
      <c r="N785" s="448"/>
      <c r="O785" s="464"/>
      <c r="R785" s="448"/>
      <c r="S785" s="464"/>
      <c r="V785" s="448"/>
      <c r="W785" s="464"/>
      <c r="Z785" s="448"/>
      <c r="AA785" s="464"/>
      <c r="AD785" s="448"/>
      <c r="AE785" s="464"/>
      <c r="AH785" s="448"/>
      <c r="AI785" s="464"/>
      <c r="AL785" s="448"/>
      <c r="AP785" s="448"/>
    </row>
    <row r="786" spans="1:42" ht="13">
      <c r="A786" s="462"/>
      <c r="B786" s="462"/>
      <c r="N786" s="448"/>
      <c r="O786" s="464"/>
      <c r="R786" s="448"/>
      <c r="S786" s="464"/>
      <c r="V786" s="448"/>
      <c r="W786" s="464"/>
      <c r="Z786" s="448"/>
      <c r="AA786" s="464"/>
      <c r="AD786" s="448"/>
      <c r="AE786" s="464"/>
      <c r="AH786" s="448"/>
      <c r="AI786" s="464"/>
      <c r="AL786" s="448"/>
      <c r="AP786" s="448"/>
    </row>
    <row r="787" spans="1:42" ht="13">
      <c r="A787" s="462"/>
      <c r="B787" s="462"/>
      <c r="N787" s="448"/>
      <c r="O787" s="464"/>
      <c r="R787" s="448"/>
      <c r="S787" s="464"/>
      <c r="V787" s="448"/>
      <c r="W787" s="464"/>
      <c r="Z787" s="448"/>
      <c r="AA787" s="464"/>
      <c r="AD787" s="448"/>
      <c r="AE787" s="464"/>
      <c r="AH787" s="448"/>
      <c r="AI787" s="464"/>
      <c r="AL787" s="448"/>
      <c r="AP787" s="448"/>
    </row>
    <row r="788" spans="1:42" ht="13">
      <c r="A788" s="462"/>
      <c r="B788" s="462"/>
      <c r="N788" s="448"/>
      <c r="O788" s="464"/>
      <c r="R788" s="448"/>
      <c r="S788" s="464"/>
      <c r="V788" s="448"/>
      <c r="W788" s="464"/>
      <c r="Z788" s="448"/>
      <c r="AA788" s="464"/>
      <c r="AD788" s="448"/>
      <c r="AE788" s="464"/>
      <c r="AH788" s="448"/>
      <c r="AI788" s="464"/>
      <c r="AL788" s="448"/>
      <c r="AP788" s="448"/>
    </row>
    <row r="789" spans="1:42" ht="13">
      <c r="A789" s="462"/>
      <c r="B789" s="462"/>
      <c r="N789" s="448"/>
      <c r="O789" s="464"/>
      <c r="R789" s="448"/>
      <c r="S789" s="464"/>
      <c r="V789" s="448"/>
      <c r="W789" s="464"/>
      <c r="Z789" s="448"/>
      <c r="AA789" s="464"/>
      <c r="AD789" s="448"/>
      <c r="AE789" s="464"/>
      <c r="AH789" s="448"/>
      <c r="AI789" s="464"/>
      <c r="AL789" s="448"/>
      <c r="AP789" s="448"/>
    </row>
    <row r="790" spans="1:42" ht="13">
      <c r="A790" s="462"/>
      <c r="B790" s="462"/>
      <c r="N790" s="448"/>
      <c r="O790" s="464"/>
      <c r="R790" s="448"/>
      <c r="S790" s="464"/>
      <c r="V790" s="448"/>
      <c r="W790" s="464"/>
      <c r="Z790" s="448"/>
      <c r="AA790" s="464"/>
      <c r="AD790" s="448"/>
      <c r="AE790" s="464"/>
      <c r="AH790" s="448"/>
      <c r="AI790" s="464"/>
      <c r="AL790" s="448"/>
      <c r="AP790" s="448"/>
    </row>
    <row r="791" spans="1:42" ht="13">
      <c r="A791" s="462"/>
      <c r="B791" s="462"/>
      <c r="N791" s="448"/>
      <c r="O791" s="464"/>
      <c r="R791" s="448"/>
      <c r="S791" s="464"/>
      <c r="V791" s="448"/>
      <c r="W791" s="464"/>
      <c r="Z791" s="448"/>
      <c r="AA791" s="464"/>
      <c r="AD791" s="448"/>
      <c r="AE791" s="464"/>
      <c r="AH791" s="448"/>
      <c r="AI791" s="464"/>
      <c r="AL791" s="448"/>
      <c r="AP791" s="448"/>
    </row>
    <row r="792" spans="1:42" ht="13">
      <c r="A792" s="462"/>
      <c r="B792" s="462"/>
      <c r="N792" s="448"/>
      <c r="O792" s="464"/>
      <c r="R792" s="448"/>
      <c r="S792" s="464"/>
      <c r="V792" s="448"/>
      <c r="W792" s="464"/>
      <c r="Z792" s="448"/>
      <c r="AA792" s="464"/>
      <c r="AD792" s="448"/>
      <c r="AE792" s="464"/>
      <c r="AH792" s="448"/>
      <c r="AI792" s="464"/>
      <c r="AL792" s="448"/>
      <c r="AP792" s="448"/>
    </row>
    <row r="793" spans="1:42" ht="13">
      <c r="A793" s="462"/>
      <c r="B793" s="462"/>
      <c r="N793" s="448"/>
      <c r="O793" s="464"/>
      <c r="R793" s="448"/>
      <c r="S793" s="464"/>
      <c r="V793" s="448"/>
      <c r="W793" s="464"/>
      <c r="Z793" s="448"/>
      <c r="AA793" s="464"/>
      <c r="AD793" s="448"/>
      <c r="AE793" s="464"/>
      <c r="AH793" s="448"/>
      <c r="AI793" s="464"/>
      <c r="AL793" s="448"/>
      <c r="AP793" s="448"/>
    </row>
    <row r="794" spans="1:42" ht="13">
      <c r="A794" s="462"/>
      <c r="B794" s="462"/>
      <c r="N794" s="448"/>
      <c r="O794" s="464"/>
      <c r="R794" s="448"/>
      <c r="S794" s="464"/>
      <c r="V794" s="448"/>
      <c r="W794" s="464"/>
      <c r="Z794" s="448"/>
      <c r="AA794" s="464"/>
      <c r="AD794" s="448"/>
      <c r="AE794" s="464"/>
      <c r="AH794" s="448"/>
      <c r="AI794" s="464"/>
      <c r="AL794" s="448"/>
      <c r="AP794" s="448"/>
    </row>
    <row r="795" spans="1:42" ht="13">
      <c r="A795" s="462"/>
      <c r="B795" s="462"/>
      <c r="N795" s="448"/>
      <c r="O795" s="464"/>
      <c r="R795" s="448"/>
      <c r="S795" s="464"/>
      <c r="V795" s="448"/>
      <c r="W795" s="464"/>
      <c r="Z795" s="448"/>
      <c r="AA795" s="464"/>
      <c r="AD795" s="448"/>
      <c r="AE795" s="464"/>
      <c r="AH795" s="448"/>
      <c r="AI795" s="464"/>
      <c r="AL795" s="448"/>
      <c r="AP795" s="448"/>
    </row>
    <row r="796" spans="1:42" ht="13">
      <c r="A796" s="462"/>
      <c r="B796" s="462"/>
      <c r="N796" s="448"/>
      <c r="O796" s="464"/>
      <c r="R796" s="448"/>
      <c r="S796" s="464"/>
      <c r="V796" s="448"/>
      <c r="W796" s="464"/>
      <c r="Z796" s="448"/>
      <c r="AA796" s="464"/>
      <c r="AD796" s="448"/>
      <c r="AE796" s="464"/>
      <c r="AH796" s="448"/>
      <c r="AI796" s="464"/>
      <c r="AL796" s="448"/>
      <c r="AP796" s="448"/>
    </row>
    <row r="797" spans="1:42" ht="13">
      <c r="A797" s="462"/>
      <c r="B797" s="462"/>
      <c r="N797" s="448"/>
      <c r="O797" s="464"/>
      <c r="R797" s="448"/>
      <c r="S797" s="464"/>
      <c r="V797" s="448"/>
      <c r="W797" s="464"/>
      <c r="Z797" s="448"/>
      <c r="AA797" s="464"/>
      <c r="AD797" s="448"/>
      <c r="AE797" s="464"/>
      <c r="AH797" s="448"/>
      <c r="AI797" s="464"/>
      <c r="AL797" s="448"/>
      <c r="AP797" s="448"/>
    </row>
    <row r="798" spans="1:42" ht="13">
      <c r="A798" s="462"/>
      <c r="B798" s="462"/>
      <c r="N798" s="448"/>
      <c r="O798" s="464"/>
      <c r="R798" s="448"/>
      <c r="S798" s="464"/>
      <c r="V798" s="448"/>
      <c r="W798" s="464"/>
      <c r="Z798" s="448"/>
      <c r="AA798" s="464"/>
      <c r="AD798" s="448"/>
      <c r="AE798" s="464"/>
      <c r="AH798" s="448"/>
      <c r="AI798" s="464"/>
      <c r="AL798" s="448"/>
      <c r="AP798" s="448"/>
    </row>
    <row r="799" spans="1:42" ht="13">
      <c r="A799" s="462"/>
      <c r="B799" s="462"/>
      <c r="N799" s="448"/>
      <c r="O799" s="464"/>
      <c r="R799" s="448"/>
      <c r="S799" s="464"/>
      <c r="V799" s="448"/>
      <c r="W799" s="464"/>
      <c r="Z799" s="448"/>
      <c r="AA799" s="464"/>
      <c r="AD799" s="448"/>
      <c r="AE799" s="464"/>
      <c r="AH799" s="448"/>
      <c r="AI799" s="464"/>
      <c r="AL799" s="448"/>
      <c r="AP799" s="448"/>
    </row>
    <row r="800" spans="1:42" ht="13">
      <c r="A800" s="462"/>
      <c r="B800" s="462"/>
      <c r="N800" s="448"/>
      <c r="O800" s="464"/>
      <c r="R800" s="448"/>
      <c r="S800" s="464"/>
      <c r="V800" s="448"/>
      <c r="W800" s="464"/>
      <c r="Z800" s="448"/>
      <c r="AA800" s="464"/>
      <c r="AD800" s="448"/>
      <c r="AE800" s="464"/>
      <c r="AH800" s="448"/>
      <c r="AI800" s="464"/>
      <c r="AL800" s="448"/>
      <c r="AP800" s="448"/>
    </row>
    <row r="801" spans="1:42" ht="13">
      <c r="A801" s="462"/>
      <c r="B801" s="462"/>
      <c r="N801" s="448"/>
      <c r="O801" s="464"/>
      <c r="R801" s="448"/>
      <c r="S801" s="464"/>
      <c r="V801" s="448"/>
      <c r="W801" s="464"/>
      <c r="Z801" s="448"/>
      <c r="AA801" s="464"/>
      <c r="AD801" s="448"/>
      <c r="AE801" s="464"/>
      <c r="AH801" s="448"/>
      <c r="AI801" s="464"/>
      <c r="AL801" s="448"/>
      <c r="AP801" s="448"/>
    </row>
    <row r="802" spans="1:42" ht="13">
      <c r="A802" s="462"/>
      <c r="B802" s="462"/>
      <c r="N802" s="448"/>
      <c r="O802" s="464"/>
      <c r="R802" s="448"/>
      <c r="S802" s="464"/>
      <c r="V802" s="448"/>
      <c r="W802" s="464"/>
      <c r="Z802" s="448"/>
      <c r="AA802" s="464"/>
      <c r="AD802" s="448"/>
      <c r="AE802" s="464"/>
      <c r="AH802" s="448"/>
      <c r="AI802" s="464"/>
      <c r="AL802" s="448"/>
      <c r="AP802" s="448"/>
    </row>
    <row r="803" spans="1:42" ht="13">
      <c r="A803" s="462"/>
      <c r="B803" s="462"/>
      <c r="N803" s="448"/>
      <c r="O803" s="464"/>
      <c r="R803" s="448"/>
      <c r="S803" s="464"/>
      <c r="V803" s="448"/>
      <c r="W803" s="464"/>
      <c r="Z803" s="448"/>
      <c r="AA803" s="464"/>
      <c r="AD803" s="448"/>
      <c r="AE803" s="464"/>
      <c r="AH803" s="448"/>
      <c r="AI803" s="464"/>
      <c r="AL803" s="448"/>
      <c r="AP803" s="448"/>
    </row>
    <row r="804" spans="1:42" ht="13">
      <c r="A804" s="462"/>
      <c r="B804" s="462"/>
      <c r="N804" s="448"/>
      <c r="O804" s="464"/>
      <c r="R804" s="448"/>
      <c r="S804" s="464"/>
      <c r="V804" s="448"/>
      <c r="W804" s="464"/>
      <c r="Z804" s="448"/>
      <c r="AA804" s="464"/>
      <c r="AD804" s="448"/>
      <c r="AE804" s="464"/>
      <c r="AH804" s="448"/>
      <c r="AI804" s="464"/>
      <c r="AL804" s="448"/>
      <c r="AP804" s="448"/>
    </row>
    <row r="805" spans="1:42" ht="13">
      <c r="A805" s="462"/>
      <c r="B805" s="462"/>
      <c r="N805" s="448"/>
      <c r="O805" s="464"/>
      <c r="R805" s="448"/>
      <c r="S805" s="464"/>
      <c r="V805" s="448"/>
      <c r="W805" s="464"/>
      <c r="Z805" s="448"/>
      <c r="AA805" s="464"/>
      <c r="AD805" s="448"/>
      <c r="AE805" s="464"/>
      <c r="AH805" s="448"/>
      <c r="AI805" s="464"/>
      <c r="AL805" s="448"/>
      <c r="AP805" s="448"/>
    </row>
    <row r="806" spans="1:42" ht="13">
      <c r="A806" s="462"/>
      <c r="B806" s="462"/>
      <c r="N806" s="448"/>
      <c r="O806" s="464"/>
      <c r="R806" s="448"/>
      <c r="S806" s="464"/>
      <c r="V806" s="448"/>
      <c r="W806" s="464"/>
      <c r="Z806" s="448"/>
      <c r="AA806" s="464"/>
      <c r="AD806" s="448"/>
      <c r="AE806" s="464"/>
      <c r="AH806" s="448"/>
      <c r="AI806" s="464"/>
      <c r="AL806" s="448"/>
      <c r="AP806" s="448"/>
    </row>
    <row r="807" spans="1:42" ht="13">
      <c r="A807" s="462"/>
      <c r="B807" s="462"/>
      <c r="N807" s="448"/>
      <c r="O807" s="464"/>
      <c r="R807" s="448"/>
      <c r="S807" s="464"/>
      <c r="V807" s="448"/>
      <c r="W807" s="464"/>
      <c r="Z807" s="448"/>
      <c r="AA807" s="464"/>
      <c r="AD807" s="448"/>
      <c r="AE807" s="464"/>
      <c r="AH807" s="448"/>
      <c r="AI807" s="464"/>
      <c r="AL807" s="448"/>
      <c r="AP807" s="448"/>
    </row>
    <row r="808" spans="1:42" ht="13">
      <c r="A808" s="462"/>
      <c r="B808" s="462"/>
      <c r="N808" s="448"/>
      <c r="O808" s="464"/>
      <c r="R808" s="448"/>
      <c r="S808" s="464"/>
      <c r="V808" s="448"/>
      <c r="W808" s="464"/>
      <c r="Z808" s="448"/>
      <c r="AA808" s="464"/>
      <c r="AD808" s="448"/>
      <c r="AE808" s="464"/>
      <c r="AH808" s="448"/>
      <c r="AI808" s="464"/>
      <c r="AL808" s="448"/>
      <c r="AP808" s="448"/>
    </row>
    <row r="809" spans="1:42" ht="13">
      <c r="A809" s="462"/>
      <c r="B809" s="462"/>
      <c r="N809" s="448"/>
      <c r="O809" s="464"/>
      <c r="R809" s="448"/>
      <c r="S809" s="464"/>
      <c r="V809" s="448"/>
      <c r="W809" s="464"/>
      <c r="Z809" s="448"/>
      <c r="AA809" s="464"/>
      <c r="AD809" s="448"/>
      <c r="AE809" s="464"/>
      <c r="AH809" s="448"/>
      <c r="AI809" s="464"/>
      <c r="AL809" s="448"/>
      <c r="AP809" s="448"/>
    </row>
    <row r="810" spans="1:42" ht="13">
      <c r="A810" s="462"/>
      <c r="B810" s="462"/>
      <c r="N810" s="448"/>
      <c r="O810" s="464"/>
      <c r="R810" s="448"/>
      <c r="S810" s="464"/>
      <c r="V810" s="448"/>
      <c r="W810" s="464"/>
      <c r="Z810" s="448"/>
      <c r="AA810" s="464"/>
      <c r="AD810" s="448"/>
      <c r="AE810" s="464"/>
      <c r="AH810" s="448"/>
      <c r="AI810" s="464"/>
      <c r="AL810" s="448"/>
      <c r="AP810" s="448"/>
    </row>
    <row r="811" spans="1:42" ht="13">
      <c r="A811" s="462"/>
      <c r="B811" s="462"/>
      <c r="N811" s="448"/>
      <c r="O811" s="464"/>
      <c r="R811" s="448"/>
      <c r="S811" s="464"/>
      <c r="V811" s="448"/>
      <c r="W811" s="464"/>
      <c r="Z811" s="448"/>
      <c r="AA811" s="464"/>
      <c r="AD811" s="448"/>
      <c r="AE811" s="464"/>
      <c r="AH811" s="448"/>
      <c r="AI811" s="464"/>
      <c r="AL811" s="448"/>
      <c r="AP811" s="448"/>
    </row>
    <row r="812" spans="1:42" ht="13">
      <c r="A812" s="462"/>
      <c r="B812" s="462"/>
      <c r="N812" s="448"/>
      <c r="O812" s="464"/>
      <c r="R812" s="448"/>
      <c r="S812" s="464"/>
      <c r="V812" s="448"/>
      <c r="W812" s="464"/>
      <c r="Z812" s="448"/>
      <c r="AA812" s="464"/>
      <c r="AD812" s="448"/>
      <c r="AE812" s="464"/>
      <c r="AH812" s="448"/>
      <c r="AI812" s="464"/>
      <c r="AL812" s="448"/>
      <c r="AP812" s="448"/>
    </row>
    <row r="813" spans="1:42" ht="13">
      <c r="A813" s="462"/>
      <c r="B813" s="462"/>
      <c r="N813" s="448"/>
      <c r="O813" s="464"/>
      <c r="R813" s="448"/>
      <c r="S813" s="464"/>
      <c r="V813" s="448"/>
      <c r="W813" s="464"/>
      <c r="Z813" s="448"/>
      <c r="AA813" s="464"/>
      <c r="AD813" s="448"/>
      <c r="AE813" s="464"/>
      <c r="AH813" s="448"/>
      <c r="AI813" s="464"/>
      <c r="AL813" s="448"/>
      <c r="AP813" s="448"/>
    </row>
    <row r="814" spans="1:42" ht="13">
      <c r="A814" s="462"/>
      <c r="B814" s="462"/>
      <c r="N814" s="448"/>
      <c r="O814" s="464"/>
      <c r="R814" s="448"/>
      <c r="S814" s="464"/>
      <c r="V814" s="448"/>
      <c r="W814" s="464"/>
      <c r="Z814" s="448"/>
      <c r="AA814" s="464"/>
      <c r="AD814" s="448"/>
      <c r="AE814" s="464"/>
      <c r="AH814" s="448"/>
      <c r="AI814" s="464"/>
      <c r="AL814" s="448"/>
      <c r="AP814" s="448"/>
    </row>
    <row r="815" spans="1:42" ht="13">
      <c r="A815" s="462"/>
      <c r="B815" s="462"/>
      <c r="N815" s="448"/>
      <c r="O815" s="464"/>
      <c r="R815" s="448"/>
      <c r="S815" s="464"/>
      <c r="V815" s="448"/>
      <c r="W815" s="464"/>
      <c r="Z815" s="448"/>
      <c r="AA815" s="464"/>
      <c r="AD815" s="448"/>
      <c r="AE815" s="464"/>
      <c r="AH815" s="448"/>
      <c r="AI815" s="464"/>
      <c r="AL815" s="448"/>
      <c r="AP815" s="448"/>
    </row>
    <row r="816" spans="1:42" ht="13">
      <c r="A816" s="462"/>
      <c r="B816" s="462"/>
      <c r="N816" s="448"/>
      <c r="O816" s="464"/>
      <c r="R816" s="448"/>
      <c r="S816" s="464"/>
      <c r="V816" s="448"/>
      <c r="W816" s="464"/>
      <c r="Z816" s="448"/>
      <c r="AA816" s="464"/>
      <c r="AD816" s="448"/>
      <c r="AE816" s="464"/>
      <c r="AH816" s="448"/>
      <c r="AI816" s="464"/>
      <c r="AL816" s="448"/>
      <c r="AP816" s="448"/>
    </row>
    <row r="817" spans="1:42" ht="13">
      <c r="A817" s="462"/>
      <c r="B817" s="462"/>
      <c r="N817" s="448"/>
      <c r="O817" s="464"/>
      <c r="R817" s="448"/>
      <c r="S817" s="464"/>
      <c r="V817" s="448"/>
      <c r="W817" s="464"/>
      <c r="Z817" s="448"/>
      <c r="AA817" s="464"/>
      <c r="AD817" s="448"/>
      <c r="AE817" s="464"/>
      <c r="AH817" s="448"/>
      <c r="AI817" s="464"/>
      <c r="AL817" s="448"/>
      <c r="AP817" s="448"/>
    </row>
    <row r="818" spans="1:42" ht="13">
      <c r="A818" s="462"/>
      <c r="B818" s="462"/>
      <c r="N818" s="448"/>
      <c r="O818" s="464"/>
      <c r="R818" s="448"/>
      <c r="S818" s="464"/>
      <c r="V818" s="448"/>
      <c r="W818" s="464"/>
      <c r="Z818" s="448"/>
      <c r="AA818" s="464"/>
      <c r="AD818" s="448"/>
      <c r="AE818" s="464"/>
      <c r="AH818" s="448"/>
      <c r="AI818" s="464"/>
      <c r="AL818" s="448"/>
      <c r="AP818" s="448"/>
    </row>
    <row r="819" spans="1:42" ht="13">
      <c r="A819" s="462"/>
      <c r="B819" s="462"/>
      <c r="N819" s="448"/>
      <c r="O819" s="464"/>
      <c r="R819" s="448"/>
      <c r="S819" s="464"/>
      <c r="V819" s="448"/>
      <c r="W819" s="464"/>
      <c r="Z819" s="448"/>
      <c r="AA819" s="464"/>
      <c r="AD819" s="448"/>
      <c r="AE819" s="464"/>
      <c r="AH819" s="448"/>
      <c r="AI819" s="464"/>
      <c r="AL819" s="448"/>
      <c r="AP819" s="448"/>
    </row>
    <row r="820" spans="1:42" ht="13">
      <c r="A820" s="462"/>
      <c r="B820" s="462"/>
      <c r="N820" s="448"/>
      <c r="O820" s="464"/>
      <c r="R820" s="448"/>
      <c r="S820" s="464"/>
      <c r="V820" s="448"/>
      <c r="W820" s="464"/>
      <c r="Z820" s="448"/>
      <c r="AA820" s="464"/>
      <c r="AD820" s="448"/>
      <c r="AE820" s="464"/>
      <c r="AH820" s="448"/>
      <c r="AI820" s="464"/>
      <c r="AL820" s="448"/>
      <c r="AP820" s="448"/>
    </row>
    <row r="821" spans="1:42" ht="13">
      <c r="A821" s="462"/>
      <c r="B821" s="462"/>
      <c r="N821" s="448"/>
      <c r="O821" s="464"/>
      <c r="R821" s="448"/>
      <c r="S821" s="464"/>
      <c r="V821" s="448"/>
      <c r="W821" s="464"/>
      <c r="Z821" s="448"/>
      <c r="AA821" s="464"/>
      <c r="AD821" s="448"/>
      <c r="AE821" s="464"/>
      <c r="AH821" s="448"/>
      <c r="AI821" s="464"/>
      <c r="AL821" s="448"/>
      <c r="AP821" s="448"/>
    </row>
    <row r="822" spans="1:42" ht="13">
      <c r="A822" s="462"/>
      <c r="B822" s="462"/>
      <c r="N822" s="448"/>
      <c r="O822" s="464"/>
      <c r="R822" s="448"/>
      <c r="S822" s="464"/>
      <c r="V822" s="448"/>
      <c r="W822" s="464"/>
      <c r="Z822" s="448"/>
      <c r="AA822" s="464"/>
      <c r="AD822" s="448"/>
      <c r="AE822" s="464"/>
      <c r="AH822" s="448"/>
      <c r="AI822" s="464"/>
      <c r="AL822" s="448"/>
      <c r="AP822" s="448"/>
    </row>
    <row r="823" spans="1:42" ht="13">
      <c r="A823" s="462"/>
      <c r="B823" s="462"/>
      <c r="N823" s="448"/>
      <c r="O823" s="464"/>
      <c r="R823" s="448"/>
      <c r="S823" s="464"/>
      <c r="V823" s="448"/>
      <c r="W823" s="464"/>
      <c r="Z823" s="448"/>
      <c r="AA823" s="464"/>
      <c r="AD823" s="448"/>
      <c r="AE823" s="464"/>
      <c r="AH823" s="448"/>
      <c r="AI823" s="464"/>
      <c r="AL823" s="448"/>
      <c r="AP823" s="448"/>
    </row>
    <row r="824" spans="1:42" ht="13">
      <c r="A824" s="462"/>
      <c r="B824" s="462"/>
      <c r="N824" s="448"/>
      <c r="O824" s="464"/>
      <c r="R824" s="448"/>
      <c r="S824" s="464"/>
      <c r="V824" s="448"/>
      <c r="W824" s="464"/>
      <c r="Z824" s="448"/>
      <c r="AA824" s="464"/>
      <c r="AD824" s="448"/>
      <c r="AE824" s="464"/>
      <c r="AH824" s="448"/>
      <c r="AI824" s="464"/>
      <c r="AL824" s="448"/>
      <c r="AP824" s="448"/>
    </row>
    <row r="825" spans="1:42" ht="13">
      <c r="A825" s="462"/>
      <c r="B825" s="462"/>
      <c r="N825" s="448"/>
      <c r="O825" s="464"/>
      <c r="R825" s="448"/>
      <c r="S825" s="464"/>
      <c r="V825" s="448"/>
      <c r="W825" s="464"/>
      <c r="Z825" s="448"/>
      <c r="AA825" s="464"/>
      <c r="AD825" s="448"/>
      <c r="AE825" s="464"/>
      <c r="AH825" s="448"/>
      <c r="AI825" s="464"/>
      <c r="AL825" s="448"/>
      <c r="AP825" s="448"/>
    </row>
    <row r="826" spans="1:42" ht="13">
      <c r="A826" s="462"/>
      <c r="B826" s="462"/>
      <c r="N826" s="448"/>
      <c r="O826" s="464"/>
      <c r="R826" s="448"/>
      <c r="S826" s="464"/>
      <c r="V826" s="448"/>
      <c r="W826" s="464"/>
      <c r="Z826" s="448"/>
      <c r="AA826" s="464"/>
      <c r="AD826" s="448"/>
      <c r="AE826" s="464"/>
      <c r="AH826" s="448"/>
      <c r="AI826" s="464"/>
      <c r="AL826" s="448"/>
      <c r="AP826" s="448"/>
    </row>
    <row r="827" spans="1:42" ht="13">
      <c r="A827" s="462"/>
      <c r="B827" s="462"/>
      <c r="N827" s="448"/>
      <c r="O827" s="464"/>
      <c r="R827" s="448"/>
      <c r="S827" s="464"/>
      <c r="V827" s="448"/>
      <c r="W827" s="464"/>
      <c r="Z827" s="448"/>
      <c r="AA827" s="464"/>
      <c r="AD827" s="448"/>
      <c r="AE827" s="464"/>
      <c r="AH827" s="448"/>
      <c r="AI827" s="464"/>
      <c r="AL827" s="448"/>
      <c r="AP827" s="448"/>
    </row>
    <row r="828" spans="1:42" ht="13">
      <c r="A828" s="462"/>
      <c r="B828" s="462"/>
      <c r="N828" s="448"/>
      <c r="O828" s="464"/>
      <c r="R828" s="448"/>
      <c r="S828" s="464"/>
      <c r="V828" s="448"/>
      <c r="W828" s="464"/>
      <c r="Z828" s="448"/>
      <c r="AA828" s="464"/>
      <c r="AD828" s="448"/>
      <c r="AE828" s="464"/>
      <c r="AH828" s="448"/>
      <c r="AI828" s="464"/>
      <c r="AL828" s="448"/>
      <c r="AP828" s="448"/>
    </row>
    <row r="829" spans="1:42" ht="13">
      <c r="A829" s="462"/>
      <c r="B829" s="462"/>
      <c r="N829" s="448"/>
      <c r="O829" s="464"/>
      <c r="R829" s="448"/>
      <c r="S829" s="464"/>
      <c r="V829" s="448"/>
      <c r="W829" s="464"/>
      <c r="Z829" s="448"/>
      <c r="AA829" s="464"/>
      <c r="AD829" s="448"/>
      <c r="AE829" s="464"/>
      <c r="AH829" s="448"/>
      <c r="AI829" s="464"/>
      <c r="AL829" s="448"/>
      <c r="AP829" s="448"/>
    </row>
    <row r="830" spans="1:42" ht="13">
      <c r="A830" s="462"/>
      <c r="B830" s="462"/>
      <c r="N830" s="448"/>
      <c r="O830" s="464"/>
      <c r="R830" s="448"/>
      <c r="S830" s="464"/>
      <c r="V830" s="448"/>
      <c r="W830" s="464"/>
      <c r="Z830" s="448"/>
      <c r="AA830" s="464"/>
      <c r="AD830" s="448"/>
      <c r="AE830" s="464"/>
      <c r="AH830" s="448"/>
      <c r="AI830" s="464"/>
      <c r="AL830" s="448"/>
      <c r="AP830" s="448"/>
    </row>
    <row r="831" spans="1:42" ht="13">
      <c r="A831" s="462"/>
      <c r="B831" s="462"/>
      <c r="N831" s="448"/>
      <c r="O831" s="464"/>
      <c r="R831" s="448"/>
      <c r="S831" s="464"/>
      <c r="V831" s="448"/>
      <c r="W831" s="464"/>
      <c r="Z831" s="448"/>
      <c r="AA831" s="464"/>
      <c r="AD831" s="448"/>
      <c r="AE831" s="464"/>
      <c r="AH831" s="448"/>
      <c r="AI831" s="464"/>
      <c r="AL831" s="448"/>
      <c r="AP831" s="448"/>
    </row>
    <row r="832" spans="1:42" ht="13">
      <c r="A832" s="462"/>
      <c r="B832" s="462"/>
      <c r="N832" s="448"/>
      <c r="O832" s="464"/>
      <c r="R832" s="448"/>
      <c r="S832" s="464"/>
      <c r="V832" s="448"/>
      <c r="W832" s="464"/>
      <c r="Z832" s="448"/>
      <c r="AA832" s="464"/>
      <c r="AD832" s="448"/>
      <c r="AE832" s="464"/>
      <c r="AH832" s="448"/>
      <c r="AI832" s="464"/>
      <c r="AL832" s="448"/>
      <c r="AP832" s="448"/>
    </row>
    <row r="833" spans="1:42" ht="13">
      <c r="A833" s="462"/>
      <c r="B833" s="462"/>
      <c r="N833" s="448"/>
      <c r="O833" s="464"/>
      <c r="R833" s="448"/>
      <c r="S833" s="464"/>
      <c r="V833" s="448"/>
      <c r="W833" s="464"/>
      <c r="Z833" s="448"/>
      <c r="AA833" s="464"/>
      <c r="AD833" s="448"/>
      <c r="AE833" s="464"/>
      <c r="AH833" s="448"/>
      <c r="AI833" s="464"/>
      <c r="AL833" s="448"/>
      <c r="AP833" s="448"/>
    </row>
    <row r="834" spans="1:42" ht="13">
      <c r="A834" s="462"/>
      <c r="B834" s="462"/>
      <c r="N834" s="448"/>
      <c r="O834" s="464"/>
      <c r="R834" s="448"/>
      <c r="S834" s="464"/>
      <c r="V834" s="448"/>
      <c r="W834" s="464"/>
      <c r="Z834" s="448"/>
      <c r="AA834" s="464"/>
      <c r="AD834" s="448"/>
      <c r="AE834" s="464"/>
      <c r="AH834" s="448"/>
      <c r="AI834" s="464"/>
      <c r="AL834" s="448"/>
      <c r="AP834" s="448"/>
    </row>
    <row r="835" spans="1:42" ht="13">
      <c r="A835" s="462"/>
      <c r="B835" s="462"/>
      <c r="N835" s="448"/>
      <c r="O835" s="464"/>
      <c r="R835" s="448"/>
      <c r="S835" s="464"/>
      <c r="V835" s="448"/>
      <c r="W835" s="464"/>
      <c r="Z835" s="448"/>
      <c r="AA835" s="464"/>
      <c r="AD835" s="448"/>
      <c r="AE835" s="464"/>
      <c r="AH835" s="448"/>
      <c r="AI835" s="464"/>
      <c r="AL835" s="448"/>
      <c r="AP835" s="448"/>
    </row>
    <row r="836" spans="1:42" ht="13">
      <c r="A836" s="462"/>
      <c r="B836" s="462"/>
      <c r="N836" s="448"/>
      <c r="O836" s="464"/>
      <c r="R836" s="448"/>
      <c r="S836" s="464"/>
      <c r="V836" s="448"/>
      <c r="W836" s="464"/>
      <c r="Z836" s="448"/>
      <c r="AA836" s="464"/>
      <c r="AD836" s="448"/>
      <c r="AE836" s="464"/>
      <c r="AH836" s="448"/>
      <c r="AI836" s="464"/>
      <c r="AL836" s="448"/>
      <c r="AP836" s="448"/>
    </row>
    <row r="837" spans="1:42" ht="13">
      <c r="A837" s="462"/>
      <c r="B837" s="462"/>
      <c r="N837" s="448"/>
      <c r="O837" s="464"/>
      <c r="R837" s="448"/>
      <c r="S837" s="464"/>
      <c r="V837" s="448"/>
      <c r="W837" s="464"/>
      <c r="Z837" s="448"/>
      <c r="AA837" s="464"/>
      <c r="AD837" s="448"/>
      <c r="AE837" s="464"/>
      <c r="AH837" s="448"/>
      <c r="AI837" s="464"/>
      <c r="AL837" s="448"/>
      <c r="AP837" s="448"/>
    </row>
    <row r="838" spans="1:42" ht="13">
      <c r="A838" s="462"/>
      <c r="B838" s="462"/>
      <c r="N838" s="448"/>
      <c r="O838" s="464"/>
      <c r="R838" s="448"/>
      <c r="S838" s="464"/>
      <c r="V838" s="448"/>
      <c r="W838" s="464"/>
      <c r="Z838" s="448"/>
      <c r="AA838" s="464"/>
      <c r="AD838" s="448"/>
      <c r="AE838" s="464"/>
      <c r="AH838" s="448"/>
      <c r="AI838" s="464"/>
      <c r="AL838" s="448"/>
      <c r="AP838" s="448"/>
    </row>
    <row r="839" spans="1:42" ht="13">
      <c r="A839" s="462"/>
      <c r="B839" s="462"/>
      <c r="N839" s="448"/>
      <c r="O839" s="464"/>
      <c r="R839" s="448"/>
      <c r="S839" s="464"/>
      <c r="V839" s="448"/>
      <c r="W839" s="464"/>
      <c r="Z839" s="448"/>
      <c r="AA839" s="464"/>
      <c r="AD839" s="448"/>
      <c r="AE839" s="464"/>
      <c r="AH839" s="448"/>
      <c r="AI839" s="464"/>
      <c r="AL839" s="448"/>
      <c r="AP839" s="448"/>
    </row>
    <row r="840" spans="1:42" ht="13">
      <c r="A840" s="462"/>
      <c r="B840" s="462"/>
      <c r="N840" s="448"/>
      <c r="O840" s="464"/>
      <c r="R840" s="448"/>
      <c r="S840" s="464"/>
      <c r="V840" s="448"/>
      <c r="W840" s="464"/>
      <c r="Z840" s="448"/>
      <c r="AA840" s="464"/>
      <c r="AD840" s="448"/>
      <c r="AE840" s="464"/>
      <c r="AH840" s="448"/>
      <c r="AI840" s="464"/>
      <c r="AL840" s="448"/>
      <c r="AP840" s="448"/>
    </row>
    <row r="841" spans="1:42" ht="13">
      <c r="A841" s="462"/>
      <c r="B841" s="462"/>
      <c r="N841" s="448"/>
      <c r="O841" s="464"/>
      <c r="R841" s="448"/>
      <c r="S841" s="464"/>
      <c r="V841" s="448"/>
      <c r="W841" s="464"/>
      <c r="Z841" s="448"/>
      <c r="AA841" s="464"/>
      <c r="AD841" s="448"/>
      <c r="AE841" s="464"/>
      <c r="AH841" s="448"/>
      <c r="AI841" s="464"/>
      <c r="AL841" s="448"/>
      <c r="AP841" s="448"/>
    </row>
    <row r="842" spans="1:42" ht="13">
      <c r="A842" s="462"/>
      <c r="B842" s="462"/>
      <c r="N842" s="448"/>
      <c r="O842" s="464"/>
      <c r="R842" s="448"/>
      <c r="S842" s="464"/>
      <c r="V842" s="448"/>
      <c r="W842" s="464"/>
      <c r="Z842" s="448"/>
      <c r="AA842" s="464"/>
      <c r="AD842" s="448"/>
      <c r="AE842" s="464"/>
      <c r="AH842" s="448"/>
      <c r="AI842" s="464"/>
      <c r="AL842" s="448"/>
      <c r="AP842" s="448"/>
    </row>
    <row r="843" spans="1:42" ht="13">
      <c r="A843" s="462"/>
      <c r="B843" s="462"/>
      <c r="N843" s="448"/>
      <c r="O843" s="464"/>
      <c r="R843" s="448"/>
      <c r="S843" s="464"/>
      <c r="V843" s="448"/>
      <c r="W843" s="464"/>
      <c r="Z843" s="448"/>
      <c r="AA843" s="464"/>
      <c r="AD843" s="448"/>
      <c r="AE843" s="464"/>
      <c r="AH843" s="448"/>
      <c r="AI843" s="464"/>
      <c r="AL843" s="448"/>
      <c r="AP843" s="448"/>
    </row>
    <row r="844" spans="1:42" ht="13">
      <c r="A844" s="462"/>
      <c r="B844" s="462"/>
      <c r="N844" s="448"/>
      <c r="O844" s="464"/>
      <c r="R844" s="448"/>
      <c r="S844" s="464"/>
      <c r="V844" s="448"/>
      <c r="W844" s="464"/>
      <c r="Z844" s="448"/>
      <c r="AA844" s="464"/>
      <c r="AD844" s="448"/>
      <c r="AE844" s="464"/>
      <c r="AH844" s="448"/>
      <c r="AI844" s="464"/>
      <c r="AL844" s="448"/>
      <c r="AP844" s="448"/>
    </row>
    <row r="845" spans="1:42" ht="13">
      <c r="A845" s="462"/>
      <c r="B845" s="462"/>
      <c r="N845" s="448"/>
      <c r="O845" s="464"/>
      <c r="R845" s="448"/>
      <c r="S845" s="464"/>
      <c r="V845" s="448"/>
      <c r="W845" s="464"/>
      <c r="Z845" s="448"/>
      <c r="AA845" s="464"/>
      <c r="AD845" s="448"/>
      <c r="AE845" s="464"/>
      <c r="AH845" s="448"/>
      <c r="AI845" s="464"/>
      <c r="AL845" s="448"/>
      <c r="AP845" s="448"/>
    </row>
    <row r="846" spans="1:42" ht="13">
      <c r="A846" s="462"/>
      <c r="B846" s="462"/>
      <c r="N846" s="448"/>
      <c r="O846" s="464"/>
      <c r="R846" s="448"/>
      <c r="S846" s="464"/>
      <c r="V846" s="448"/>
      <c r="W846" s="464"/>
      <c r="Z846" s="448"/>
      <c r="AA846" s="464"/>
      <c r="AD846" s="448"/>
      <c r="AE846" s="464"/>
      <c r="AH846" s="448"/>
      <c r="AI846" s="464"/>
      <c r="AL846" s="448"/>
      <c r="AP846" s="448"/>
    </row>
    <row r="847" spans="1:42" ht="13">
      <c r="A847" s="462"/>
      <c r="B847" s="462"/>
      <c r="N847" s="448"/>
      <c r="O847" s="464"/>
      <c r="R847" s="448"/>
      <c r="S847" s="464"/>
      <c r="V847" s="448"/>
      <c r="W847" s="464"/>
      <c r="Z847" s="448"/>
      <c r="AA847" s="464"/>
      <c r="AD847" s="448"/>
      <c r="AE847" s="464"/>
      <c r="AH847" s="448"/>
      <c r="AI847" s="464"/>
      <c r="AL847" s="448"/>
      <c r="AP847" s="448"/>
    </row>
    <row r="848" spans="1:42" ht="13">
      <c r="A848" s="462"/>
      <c r="B848" s="462"/>
      <c r="N848" s="448"/>
      <c r="O848" s="464"/>
      <c r="R848" s="448"/>
      <c r="S848" s="464"/>
      <c r="V848" s="448"/>
      <c r="W848" s="464"/>
      <c r="Z848" s="448"/>
      <c r="AA848" s="464"/>
      <c r="AD848" s="448"/>
      <c r="AE848" s="464"/>
      <c r="AH848" s="448"/>
      <c r="AI848" s="464"/>
      <c r="AL848" s="448"/>
      <c r="AP848" s="448"/>
    </row>
    <row r="849" spans="1:42" ht="13">
      <c r="A849" s="462"/>
      <c r="B849" s="462"/>
      <c r="N849" s="448"/>
      <c r="O849" s="464"/>
      <c r="R849" s="448"/>
      <c r="S849" s="464"/>
      <c r="V849" s="448"/>
      <c r="W849" s="464"/>
      <c r="Z849" s="448"/>
      <c r="AA849" s="464"/>
      <c r="AD849" s="448"/>
      <c r="AE849" s="464"/>
      <c r="AH849" s="448"/>
      <c r="AI849" s="464"/>
      <c r="AL849" s="448"/>
      <c r="AP849" s="448"/>
    </row>
    <row r="850" spans="1:42" ht="13">
      <c r="A850" s="462"/>
      <c r="B850" s="462"/>
      <c r="N850" s="448"/>
      <c r="O850" s="464"/>
      <c r="R850" s="448"/>
      <c r="S850" s="464"/>
      <c r="V850" s="448"/>
      <c r="W850" s="464"/>
      <c r="Z850" s="448"/>
      <c r="AA850" s="464"/>
      <c r="AD850" s="448"/>
      <c r="AE850" s="464"/>
      <c r="AH850" s="448"/>
      <c r="AI850" s="464"/>
      <c r="AL850" s="448"/>
      <c r="AP850" s="448"/>
    </row>
    <row r="851" spans="1:42" ht="13">
      <c r="A851" s="462"/>
      <c r="B851" s="462"/>
      <c r="N851" s="448"/>
      <c r="O851" s="464"/>
      <c r="R851" s="448"/>
      <c r="S851" s="464"/>
      <c r="V851" s="448"/>
      <c r="W851" s="464"/>
      <c r="Z851" s="448"/>
      <c r="AA851" s="464"/>
      <c r="AD851" s="448"/>
      <c r="AE851" s="464"/>
      <c r="AH851" s="448"/>
      <c r="AI851" s="464"/>
      <c r="AL851" s="448"/>
      <c r="AP851" s="448"/>
    </row>
    <row r="852" spans="1:42" ht="13">
      <c r="A852" s="462"/>
      <c r="B852" s="462"/>
      <c r="N852" s="448"/>
      <c r="O852" s="464"/>
      <c r="R852" s="448"/>
      <c r="S852" s="464"/>
      <c r="V852" s="448"/>
      <c r="W852" s="464"/>
      <c r="Z852" s="448"/>
      <c r="AA852" s="464"/>
      <c r="AD852" s="448"/>
      <c r="AE852" s="464"/>
      <c r="AH852" s="448"/>
      <c r="AI852" s="464"/>
      <c r="AL852" s="448"/>
      <c r="AP852" s="448"/>
    </row>
    <row r="853" spans="1:42" ht="13">
      <c r="A853" s="462"/>
      <c r="B853" s="462"/>
      <c r="N853" s="448"/>
      <c r="O853" s="464"/>
      <c r="R853" s="448"/>
      <c r="S853" s="464"/>
      <c r="V853" s="448"/>
      <c r="W853" s="464"/>
      <c r="Z853" s="448"/>
      <c r="AA853" s="464"/>
      <c r="AD853" s="448"/>
      <c r="AE853" s="464"/>
      <c r="AH853" s="448"/>
      <c r="AI853" s="464"/>
      <c r="AL853" s="448"/>
      <c r="AP853" s="448"/>
    </row>
    <row r="854" spans="1:42" ht="13">
      <c r="A854" s="462"/>
      <c r="B854" s="462"/>
      <c r="N854" s="448"/>
      <c r="O854" s="464"/>
      <c r="R854" s="448"/>
      <c r="S854" s="464"/>
      <c r="V854" s="448"/>
      <c r="W854" s="464"/>
      <c r="Z854" s="448"/>
      <c r="AA854" s="464"/>
      <c r="AD854" s="448"/>
      <c r="AE854" s="464"/>
      <c r="AH854" s="448"/>
      <c r="AI854" s="464"/>
      <c r="AL854" s="448"/>
      <c r="AP854" s="448"/>
    </row>
    <row r="855" spans="1:42" ht="13">
      <c r="A855" s="462"/>
      <c r="B855" s="462"/>
      <c r="N855" s="448"/>
      <c r="O855" s="464"/>
      <c r="R855" s="448"/>
      <c r="S855" s="464"/>
      <c r="V855" s="448"/>
      <c r="W855" s="464"/>
      <c r="Z855" s="448"/>
      <c r="AA855" s="464"/>
      <c r="AD855" s="448"/>
      <c r="AE855" s="464"/>
      <c r="AH855" s="448"/>
      <c r="AI855" s="464"/>
      <c r="AL855" s="448"/>
      <c r="AP855" s="448"/>
    </row>
    <row r="856" spans="1:42" ht="13">
      <c r="A856" s="462"/>
      <c r="B856" s="462"/>
      <c r="N856" s="448"/>
      <c r="O856" s="464"/>
      <c r="R856" s="448"/>
      <c r="S856" s="464"/>
      <c r="V856" s="448"/>
      <c r="W856" s="464"/>
      <c r="Z856" s="448"/>
      <c r="AA856" s="464"/>
      <c r="AD856" s="448"/>
      <c r="AE856" s="464"/>
      <c r="AH856" s="448"/>
      <c r="AI856" s="464"/>
      <c r="AL856" s="448"/>
      <c r="AP856" s="448"/>
    </row>
    <row r="857" spans="1:42" ht="13">
      <c r="A857" s="462"/>
      <c r="B857" s="462"/>
      <c r="N857" s="448"/>
      <c r="O857" s="464"/>
      <c r="R857" s="448"/>
      <c r="S857" s="464"/>
      <c r="V857" s="448"/>
      <c r="W857" s="464"/>
      <c r="Z857" s="448"/>
      <c r="AA857" s="464"/>
      <c r="AD857" s="448"/>
      <c r="AE857" s="464"/>
      <c r="AH857" s="448"/>
      <c r="AI857" s="464"/>
      <c r="AL857" s="448"/>
      <c r="AP857" s="448"/>
    </row>
    <row r="858" spans="1:42" ht="13">
      <c r="A858" s="462"/>
      <c r="B858" s="462"/>
      <c r="N858" s="448"/>
      <c r="O858" s="464"/>
      <c r="R858" s="448"/>
      <c r="S858" s="464"/>
      <c r="V858" s="448"/>
      <c r="W858" s="464"/>
      <c r="Z858" s="448"/>
      <c r="AA858" s="464"/>
      <c r="AD858" s="448"/>
      <c r="AE858" s="464"/>
      <c r="AH858" s="448"/>
      <c r="AI858" s="464"/>
      <c r="AL858" s="448"/>
      <c r="AP858" s="448"/>
    </row>
    <row r="859" spans="1:42" ht="13">
      <c r="A859" s="462"/>
      <c r="B859" s="462"/>
      <c r="N859" s="448"/>
      <c r="O859" s="464"/>
      <c r="R859" s="448"/>
      <c r="S859" s="464"/>
      <c r="V859" s="448"/>
      <c r="W859" s="464"/>
      <c r="Z859" s="448"/>
      <c r="AA859" s="464"/>
      <c r="AD859" s="448"/>
      <c r="AE859" s="464"/>
      <c r="AH859" s="448"/>
      <c r="AI859" s="464"/>
      <c r="AL859" s="448"/>
      <c r="AP859" s="448"/>
    </row>
    <row r="860" spans="1:42" ht="13">
      <c r="A860" s="462"/>
      <c r="B860" s="462"/>
      <c r="N860" s="448"/>
      <c r="O860" s="464"/>
      <c r="R860" s="448"/>
      <c r="S860" s="464"/>
      <c r="V860" s="448"/>
      <c r="W860" s="464"/>
      <c r="Z860" s="448"/>
      <c r="AA860" s="464"/>
      <c r="AD860" s="448"/>
      <c r="AE860" s="464"/>
      <c r="AH860" s="448"/>
      <c r="AI860" s="464"/>
      <c r="AL860" s="448"/>
      <c r="AP860" s="448"/>
    </row>
    <row r="861" spans="1:42" ht="13">
      <c r="A861" s="462"/>
      <c r="B861" s="462"/>
      <c r="N861" s="448"/>
      <c r="O861" s="464"/>
      <c r="R861" s="448"/>
      <c r="S861" s="464"/>
      <c r="V861" s="448"/>
      <c r="W861" s="464"/>
      <c r="Z861" s="448"/>
      <c r="AA861" s="464"/>
      <c r="AD861" s="448"/>
      <c r="AE861" s="464"/>
      <c r="AH861" s="448"/>
      <c r="AI861" s="464"/>
      <c r="AL861" s="448"/>
      <c r="AP861" s="448"/>
    </row>
    <row r="862" spans="1:42" ht="13">
      <c r="A862" s="462"/>
      <c r="B862" s="462"/>
      <c r="N862" s="448"/>
      <c r="O862" s="464"/>
      <c r="R862" s="448"/>
      <c r="S862" s="464"/>
      <c r="V862" s="448"/>
      <c r="W862" s="464"/>
      <c r="Z862" s="448"/>
      <c r="AA862" s="464"/>
      <c r="AD862" s="448"/>
      <c r="AE862" s="464"/>
      <c r="AH862" s="448"/>
      <c r="AI862" s="464"/>
      <c r="AL862" s="448"/>
      <c r="AP862" s="448"/>
    </row>
    <row r="863" spans="1:42" ht="13">
      <c r="A863" s="462"/>
      <c r="B863" s="462"/>
      <c r="N863" s="448"/>
      <c r="O863" s="464"/>
      <c r="R863" s="448"/>
      <c r="S863" s="464"/>
      <c r="V863" s="448"/>
      <c r="W863" s="464"/>
      <c r="Z863" s="448"/>
      <c r="AA863" s="464"/>
      <c r="AD863" s="448"/>
      <c r="AE863" s="464"/>
      <c r="AH863" s="448"/>
      <c r="AI863" s="464"/>
      <c r="AL863" s="448"/>
      <c r="AP863" s="448"/>
    </row>
    <row r="864" spans="1:42" ht="13">
      <c r="A864" s="462"/>
      <c r="B864" s="462"/>
      <c r="N864" s="448"/>
      <c r="O864" s="464"/>
      <c r="R864" s="448"/>
      <c r="S864" s="464"/>
      <c r="V864" s="448"/>
      <c r="W864" s="464"/>
      <c r="Z864" s="448"/>
      <c r="AA864" s="464"/>
      <c r="AD864" s="448"/>
      <c r="AE864" s="464"/>
      <c r="AH864" s="448"/>
      <c r="AI864" s="464"/>
      <c r="AL864" s="448"/>
      <c r="AP864" s="448"/>
    </row>
    <row r="865" spans="1:42" ht="13">
      <c r="A865" s="462"/>
      <c r="B865" s="462"/>
      <c r="N865" s="448"/>
      <c r="O865" s="464"/>
      <c r="R865" s="448"/>
      <c r="S865" s="464"/>
      <c r="V865" s="448"/>
      <c r="W865" s="464"/>
      <c r="Z865" s="448"/>
      <c r="AA865" s="464"/>
      <c r="AD865" s="448"/>
      <c r="AE865" s="464"/>
      <c r="AH865" s="448"/>
      <c r="AI865" s="464"/>
      <c r="AL865" s="448"/>
      <c r="AP865" s="448"/>
    </row>
    <row r="866" spans="1:42" ht="13">
      <c r="A866" s="462"/>
      <c r="B866" s="462"/>
      <c r="N866" s="448"/>
      <c r="O866" s="464"/>
      <c r="R866" s="448"/>
      <c r="S866" s="464"/>
      <c r="V866" s="448"/>
      <c r="W866" s="464"/>
      <c r="Z866" s="448"/>
      <c r="AA866" s="464"/>
      <c r="AD866" s="448"/>
      <c r="AE866" s="464"/>
      <c r="AH866" s="448"/>
      <c r="AI866" s="464"/>
      <c r="AL866" s="448"/>
      <c r="AP866" s="448"/>
    </row>
    <row r="867" spans="1:42" ht="13">
      <c r="A867" s="462"/>
      <c r="B867" s="462"/>
      <c r="N867" s="448"/>
      <c r="O867" s="464"/>
      <c r="R867" s="448"/>
      <c r="S867" s="464"/>
      <c r="V867" s="448"/>
      <c r="W867" s="464"/>
      <c r="Z867" s="448"/>
      <c r="AA867" s="464"/>
      <c r="AD867" s="448"/>
      <c r="AE867" s="464"/>
      <c r="AH867" s="448"/>
      <c r="AI867" s="464"/>
      <c r="AL867" s="448"/>
      <c r="AP867" s="448"/>
    </row>
    <row r="868" spans="1:42" ht="13">
      <c r="A868" s="462"/>
      <c r="B868" s="462"/>
      <c r="N868" s="448"/>
      <c r="O868" s="464"/>
      <c r="R868" s="448"/>
      <c r="S868" s="464"/>
      <c r="V868" s="448"/>
      <c r="W868" s="464"/>
      <c r="Z868" s="448"/>
      <c r="AA868" s="464"/>
      <c r="AD868" s="448"/>
      <c r="AE868" s="464"/>
      <c r="AH868" s="448"/>
      <c r="AI868" s="464"/>
      <c r="AL868" s="448"/>
      <c r="AP868" s="448"/>
    </row>
    <row r="869" spans="1:42" ht="13">
      <c r="A869" s="462"/>
      <c r="B869" s="462"/>
      <c r="N869" s="448"/>
      <c r="O869" s="464"/>
      <c r="R869" s="448"/>
      <c r="S869" s="464"/>
      <c r="V869" s="448"/>
      <c r="W869" s="464"/>
      <c r="Z869" s="448"/>
      <c r="AA869" s="464"/>
      <c r="AD869" s="448"/>
      <c r="AE869" s="464"/>
      <c r="AH869" s="448"/>
      <c r="AI869" s="464"/>
      <c r="AL869" s="448"/>
      <c r="AP869" s="448"/>
    </row>
    <row r="870" spans="1:42" ht="13">
      <c r="A870" s="462"/>
      <c r="B870" s="462"/>
      <c r="N870" s="448"/>
      <c r="O870" s="464"/>
      <c r="R870" s="448"/>
      <c r="S870" s="464"/>
      <c r="V870" s="448"/>
      <c r="W870" s="464"/>
      <c r="Z870" s="448"/>
      <c r="AA870" s="464"/>
      <c r="AD870" s="448"/>
      <c r="AE870" s="464"/>
      <c r="AH870" s="448"/>
      <c r="AI870" s="464"/>
      <c r="AL870" s="448"/>
      <c r="AP870" s="448"/>
    </row>
    <row r="871" spans="1:42" ht="13">
      <c r="A871" s="462"/>
      <c r="B871" s="462"/>
      <c r="N871" s="448"/>
      <c r="O871" s="464"/>
      <c r="R871" s="448"/>
      <c r="S871" s="464"/>
      <c r="V871" s="448"/>
      <c r="W871" s="464"/>
      <c r="Z871" s="448"/>
      <c r="AA871" s="464"/>
      <c r="AD871" s="448"/>
      <c r="AE871" s="464"/>
      <c r="AH871" s="448"/>
      <c r="AI871" s="464"/>
      <c r="AL871" s="448"/>
      <c r="AP871" s="448"/>
    </row>
    <row r="872" spans="1:42" ht="13">
      <c r="A872" s="462"/>
      <c r="B872" s="462"/>
      <c r="N872" s="448"/>
      <c r="O872" s="464"/>
      <c r="R872" s="448"/>
      <c r="S872" s="464"/>
      <c r="V872" s="448"/>
      <c r="W872" s="464"/>
      <c r="Z872" s="448"/>
      <c r="AA872" s="464"/>
      <c r="AD872" s="448"/>
      <c r="AE872" s="464"/>
      <c r="AH872" s="448"/>
      <c r="AI872" s="464"/>
      <c r="AL872" s="448"/>
      <c r="AP872" s="448"/>
    </row>
    <row r="873" spans="1:42" ht="13">
      <c r="A873" s="462"/>
      <c r="B873" s="462"/>
      <c r="N873" s="448"/>
      <c r="O873" s="464"/>
      <c r="R873" s="448"/>
      <c r="S873" s="464"/>
      <c r="V873" s="448"/>
      <c r="W873" s="464"/>
      <c r="Z873" s="448"/>
      <c r="AA873" s="464"/>
      <c r="AD873" s="448"/>
      <c r="AE873" s="464"/>
      <c r="AH873" s="448"/>
      <c r="AI873" s="464"/>
      <c r="AL873" s="448"/>
      <c r="AP873" s="448"/>
    </row>
    <row r="874" spans="1:42" ht="13">
      <c r="A874" s="462"/>
      <c r="B874" s="462"/>
      <c r="N874" s="448"/>
      <c r="O874" s="464"/>
      <c r="R874" s="448"/>
      <c r="S874" s="464"/>
      <c r="V874" s="448"/>
      <c r="W874" s="464"/>
      <c r="Z874" s="448"/>
      <c r="AA874" s="464"/>
      <c r="AD874" s="448"/>
      <c r="AE874" s="464"/>
      <c r="AH874" s="448"/>
      <c r="AI874" s="464"/>
      <c r="AL874" s="448"/>
      <c r="AP874" s="448"/>
    </row>
    <row r="875" spans="1:42" ht="13">
      <c r="A875" s="462"/>
      <c r="B875" s="462"/>
      <c r="N875" s="448"/>
      <c r="O875" s="464"/>
      <c r="R875" s="448"/>
      <c r="S875" s="464"/>
      <c r="V875" s="448"/>
      <c r="W875" s="464"/>
      <c r="Z875" s="448"/>
      <c r="AA875" s="464"/>
      <c r="AD875" s="448"/>
      <c r="AE875" s="464"/>
      <c r="AH875" s="448"/>
      <c r="AI875" s="464"/>
      <c r="AL875" s="448"/>
      <c r="AP875" s="448"/>
    </row>
    <row r="876" spans="1:42" ht="13">
      <c r="A876" s="462"/>
      <c r="B876" s="462"/>
      <c r="N876" s="448"/>
      <c r="O876" s="464"/>
      <c r="R876" s="448"/>
      <c r="S876" s="464"/>
      <c r="V876" s="448"/>
      <c r="W876" s="464"/>
      <c r="Z876" s="448"/>
      <c r="AA876" s="464"/>
      <c r="AD876" s="448"/>
      <c r="AE876" s="464"/>
      <c r="AH876" s="448"/>
      <c r="AI876" s="464"/>
      <c r="AL876" s="448"/>
      <c r="AP876" s="448"/>
    </row>
    <row r="877" spans="1:42" ht="13">
      <c r="A877" s="462"/>
      <c r="B877" s="462"/>
      <c r="N877" s="448"/>
      <c r="O877" s="464"/>
      <c r="R877" s="448"/>
      <c r="S877" s="464"/>
      <c r="V877" s="448"/>
      <c r="W877" s="464"/>
      <c r="Z877" s="448"/>
      <c r="AA877" s="464"/>
      <c r="AD877" s="448"/>
      <c r="AE877" s="464"/>
      <c r="AH877" s="448"/>
      <c r="AI877" s="464"/>
      <c r="AL877" s="448"/>
      <c r="AP877" s="448"/>
    </row>
    <row r="878" spans="1:42" ht="13">
      <c r="A878" s="462"/>
      <c r="B878" s="462"/>
      <c r="N878" s="448"/>
      <c r="O878" s="464"/>
      <c r="R878" s="448"/>
      <c r="S878" s="464"/>
      <c r="V878" s="448"/>
      <c r="W878" s="464"/>
      <c r="Z878" s="448"/>
      <c r="AA878" s="464"/>
      <c r="AD878" s="448"/>
      <c r="AE878" s="464"/>
      <c r="AH878" s="448"/>
      <c r="AI878" s="464"/>
      <c r="AL878" s="448"/>
      <c r="AP878" s="448"/>
    </row>
    <row r="879" spans="1:42" ht="13">
      <c r="A879" s="462"/>
      <c r="B879" s="462"/>
      <c r="N879" s="448"/>
      <c r="O879" s="464"/>
      <c r="R879" s="448"/>
      <c r="S879" s="464"/>
      <c r="V879" s="448"/>
      <c r="W879" s="464"/>
      <c r="Z879" s="448"/>
      <c r="AA879" s="464"/>
      <c r="AD879" s="448"/>
      <c r="AE879" s="464"/>
      <c r="AH879" s="448"/>
      <c r="AI879" s="464"/>
      <c r="AL879" s="448"/>
      <c r="AP879" s="448"/>
    </row>
    <row r="880" spans="1:42" ht="13">
      <c r="A880" s="462"/>
      <c r="B880" s="462"/>
      <c r="N880" s="448"/>
      <c r="O880" s="464"/>
      <c r="R880" s="448"/>
      <c r="S880" s="464"/>
      <c r="V880" s="448"/>
      <c r="W880" s="464"/>
      <c r="Z880" s="448"/>
      <c r="AA880" s="464"/>
      <c r="AD880" s="448"/>
      <c r="AE880" s="464"/>
      <c r="AH880" s="448"/>
      <c r="AI880" s="464"/>
      <c r="AL880" s="448"/>
      <c r="AP880" s="448"/>
    </row>
    <row r="881" spans="1:42" ht="13">
      <c r="A881" s="462"/>
      <c r="B881" s="462"/>
      <c r="N881" s="448"/>
      <c r="O881" s="464"/>
      <c r="R881" s="448"/>
      <c r="S881" s="464"/>
      <c r="V881" s="448"/>
      <c r="W881" s="464"/>
      <c r="Z881" s="448"/>
      <c r="AA881" s="464"/>
      <c r="AD881" s="448"/>
      <c r="AE881" s="464"/>
      <c r="AH881" s="448"/>
      <c r="AI881" s="464"/>
      <c r="AL881" s="448"/>
      <c r="AP881" s="448"/>
    </row>
    <row r="882" spans="1:42" ht="13">
      <c r="A882" s="462"/>
      <c r="B882" s="462"/>
      <c r="N882" s="448"/>
      <c r="O882" s="464"/>
      <c r="R882" s="448"/>
      <c r="S882" s="464"/>
      <c r="V882" s="448"/>
      <c r="W882" s="464"/>
      <c r="Z882" s="448"/>
      <c r="AA882" s="464"/>
      <c r="AD882" s="448"/>
      <c r="AE882" s="464"/>
      <c r="AH882" s="448"/>
      <c r="AI882" s="464"/>
      <c r="AL882" s="448"/>
      <c r="AP882" s="448"/>
    </row>
    <row r="883" spans="1:42" ht="13">
      <c r="A883" s="462"/>
      <c r="B883" s="462"/>
      <c r="N883" s="448"/>
      <c r="O883" s="464"/>
      <c r="R883" s="448"/>
      <c r="S883" s="464"/>
      <c r="V883" s="448"/>
      <c r="W883" s="464"/>
      <c r="Z883" s="448"/>
      <c r="AA883" s="464"/>
      <c r="AD883" s="448"/>
      <c r="AE883" s="464"/>
      <c r="AH883" s="448"/>
      <c r="AI883" s="464"/>
      <c r="AL883" s="448"/>
      <c r="AP883" s="448"/>
    </row>
    <row r="884" spans="1:42" ht="13">
      <c r="A884" s="462"/>
      <c r="B884" s="462"/>
      <c r="N884" s="448"/>
      <c r="O884" s="464"/>
      <c r="R884" s="448"/>
      <c r="S884" s="464"/>
      <c r="V884" s="448"/>
      <c r="W884" s="464"/>
      <c r="Z884" s="448"/>
      <c r="AA884" s="464"/>
      <c r="AD884" s="448"/>
      <c r="AE884" s="464"/>
      <c r="AH884" s="448"/>
      <c r="AI884" s="464"/>
      <c r="AL884" s="448"/>
      <c r="AP884" s="448"/>
    </row>
    <row r="885" spans="1:42" ht="13">
      <c r="A885" s="462"/>
      <c r="B885" s="462"/>
      <c r="N885" s="448"/>
      <c r="O885" s="464"/>
      <c r="R885" s="448"/>
      <c r="S885" s="464"/>
      <c r="V885" s="448"/>
      <c r="W885" s="464"/>
      <c r="Z885" s="448"/>
      <c r="AA885" s="464"/>
      <c r="AD885" s="448"/>
      <c r="AE885" s="464"/>
      <c r="AH885" s="448"/>
      <c r="AI885" s="464"/>
      <c r="AL885" s="448"/>
      <c r="AP885" s="448"/>
    </row>
    <row r="886" spans="1:42" ht="13">
      <c r="A886" s="462"/>
      <c r="B886" s="462"/>
      <c r="N886" s="448"/>
      <c r="O886" s="464"/>
      <c r="R886" s="448"/>
      <c r="S886" s="464"/>
      <c r="V886" s="448"/>
      <c r="W886" s="464"/>
      <c r="Z886" s="448"/>
      <c r="AA886" s="464"/>
      <c r="AD886" s="448"/>
      <c r="AE886" s="464"/>
      <c r="AH886" s="448"/>
      <c r="AI886" s="464"/>
      <c r="AL886" s="448"/>
      <c r="AP886" s="448"/>
    </row>
    <row r="887" spans="1:42" ht="13">
      <c r="A887" s="462"/>
      <c r="B887" s="462"/>
      <c r="N887" s="448"/>
      <c r="O887" s="464"/>
      <c r="R887" s="448"/>
      <c r="S887" s="464"/>
      <c r="V887" s="448"/>
      <c r="W887" s="464"/>
      <c r="Z887" s="448"/>
      <c r="AA887" s="464"/>
      <c r="AD887" s="448"/>
      <c r="AE887" s="464"/>
      <c r="AH887" s="448"/>
      <c r="AI887" s="464"/>
      <c r="AL887" s="448"/>
      <c r="AP887" s="448"/>
    </row>
    <row r="888" spans="1:42" ht="13">
      <c r="A888" s="462"/>
      <c r="B888" s="462"/>
      <c r="N888" s="448"/>
      <c r="O888" s="464"/>
      <c r="R888" s="448"/>
      <c r="S888" s="464"/>
      <c r="V888" s="448"/>
      <c r="W888" s="464"/>
      <c r="Z888" s="448"/>
      <c r="AA888" s="464"/>
      <c r="AD888" s="448"/>
      <c r="AE888" s="464"/>
      <c r="AH888" s="448"/>
      <c r="AI888" s="464"/>
      <c r="AL888" s="448"/>
      <c r="AP888" s="448"/>
    </row>
    <row r="889" spans="1:42" ht="13">
      <c r="A889" s="462"/>
      <c r="B889" s="462"/>
      <c r="N889" s="448"/>
      <c r="O889" s="464"/>
      <c r="R889" s="448"/>
      <c r="S889" s="464"/>
      <c r="V889" s="448"/>
      <c r="W889" s="464"/>
      <c r="Z889" s="448"/>
      <c r="AA889" s="464"/>
      <c r="AD889" s="448"/>
      <c r="AE889" s="464"/>
      <c r="AH889" s="448"/>
      <c r="AI889" s="464"/>
      <c r="AL889" s="448"/>
      <c r="AP889" s="448"/>
    </row>
    <row r="890" spans="1:42" ht="13">
      <c r="A890" s="462"/>
      <c r="B890" s="462"/>
      <c r="N890" s="448"/>
      <c r="O890" s="464"/>
      <c r="R890" s="448"/>
      <c r="S890" s="464"/>
      <c r="V890" s="448"/>
      <c r="W890" s="464"/>
      <c r="Z890" s="448"/>
      <c r="AA890" s="464"/>
      <c r="AD890" s="448"/>
      <c r="AE890" s="464"/>
      <c r="AH890" s="448"/>
      <c r="AI890" s="464"/>
      <c r="AL890" s="448"/>
      <c r="AP890" s="448"/>
    </row>
    <row r="891" spans="1:42" ht="13">
      <c r="A891" s="462"/>
      <c r="B891" s="462"/>
      <c r="N891" s="448"/>
      <c r="O891" s="464"/>
      <c r="R891" s="448"/>
      <c r="S891" s="464"/>
      <c r="V891" s="448"/>
      <c r="W891" s="464"/>
      <c r="Z891" s="448"/>
      <c r="AA891" s="464"/>
      <c r="AD891" s="448"/>
      <c r="AE891" s="464"/>
      <c r="AH891" s="448"/>
      <c r="AI891" s="464"/>
      <c r="AL891" s="448"/>
      <c r="AP891" s="448"/>
    </row>
    <row r="892" spans="1:42" ht="13">
      <c r="A892" s="462"/>
      <c r="B892" s="462"/>
      <c r="N892" s="448"/>
      <c r="O892" s="464"/>
      <c r="R892" s="448"/>
      <c r="S892" s="464"/>
      <c r="V892" s="448"/>
      <c r="W892" s="464"/>
      <c r="Z892" s="448"/>
      <c r="AA892" s="464"/>
      <c r="AD892" s="448"/>
      <c r="AE892" s="464"/>
      <c r="AH892" s="448"/>
      <c r="AI892" s="464"/>
      <c r="AL892" s="448"/>
      <c r="AP892" s="448"/>
    </row>
    <row r="893" spans="1:42" ht="13">
      <c r="A893" s="462"/>
      <c r="B893" s="462"/>
      <c r="N893" s="448"/>
      <c r="O893" s="464"/>
      <c r="R893" s="448"/>
      <c r="S893" s="464"/>
      <c r="V893" s="448"/>
      <c r="W893" s="464"/>
      <c r="Z893" s="448"/>
      <c r="AA893" s="464"/>
      <c r="AD893" s="448"/>
      <c r="AE893" s="464"/>
      <c r="AH893" s="448"/>
      <c r="AI893" s="464"/>
      <c r="AL893" s="448"/>
      <c r="AP893" s="448"/>
    </row>
    <row r="894" spans="1:42" ht="13">
      <c r="A894" s="462"/>
      <c r="B894" s="462"/>
      <c r="N894" s="448"/>
      <c r="O894" s="464"/>
      <c r="R894" s="448"/>
      <c r="S894" s="464"/>
      <c r="V894" s="448"/>
      <c r="W894" s="464"/>
      <c r="Z894" s="448"/>
      <c r="AA894" s="464"/>
      <c r="AD894" s="448"/>
      <c r="AE894" s="464"/>
      <c r="AH894" s="448"/>
      <c r="AI894" s="464"/>
      <c r="AL894" s="448"/>
      <c r="AP894" s="448"/>
    </row>
    <row r="895" spans="1:42" ht="13">
      <c r="A895" s="462"/>
      <c r="B895" s="462"/>
      <c r="N895" s="448"/>
      <c r="O895" s="464"/>
      <c r="R895" s="448"/>
      <c r="S895" s="464"/>
      <c r="V895" s="448"/>
      <c r="W895" s="464"/>
      <c r="Z895" s="448"/>
      <c r="AA895" s="464"/>
      <c r="AD895" s="448"/>
      <c r="AE895" s="464"/>
      <c r="AH895" s="448"/>
      <c r="AI895" s="464"/>
      <c r="AL895" s="448"/>
      <c r="AP895" s="448"/>
    </row>
    <row r="896" spans="1:42" ht="13">
      <c r="A896" s="462"/>
      <c r="B896" s="462"/>
      <c r="N896" s="448"/>
      <c r="O896" s="464"/>
      <c r="R896" s="448"/>
      <c r="S896" s="464"/>
      <c r="V896" s="448"/>
      <c r="W896" s="464"/>
      <c r="Z896" s="448"/>
      <c r="AA896" s="464"/>
      <c r="AD896" s="448"/>
      <c r="AE896" s="464"/>
      <c r="AH896" s="448"/>
      <c r="AI896" s="464"/>
      <c r="AL896" s="448"/>
      <c r="AP896" s="448"/>
    </row>
    <row r="897" spans="1:42" ht="13">
      <c r="A897" s="462"/>
      <c r="B897" s="462"/>
      <c r="N897" s="448"/>
      <c r="O897" s="464"/>
      <c r="R897" s="448"/>
      <c r="S897" s="464"/>
      <c r="V897" s="448"/>
      <c r="W897" s="464"/>
      <c r="Z897" s="448"/>
      <c r="AA897" s="464"/>
      <c r="AD897" s="448"/>
      <c r="AE897" s="464"/>
      <c r="AH897" s="448"/>
      <c r="AI897" s="464"/>
      <c r="AL897" s="448"/>
      <c r="AP897" s="448"/>
    </row>
    <row r="898" spans="1:42" ht="13">
      <c r="A898" s="462"/>
      <c r="B898" s="462"/>
      <c r="N898" s="448"/>
      <c r="O898" s="464"/>
      <c r="R898" s="448"/>
      <c r="S898" s="464"/>
      <c r="V898" s="448"/>
      <c r="W898" s="464"/>
      <c r="Z898" s="448"/>
      <c r="AA898" s="464"/>
      <c r="AD898" s="448"/>
      <c r="AE898" s="464"/>
      <c r="AH898" s="448"/>
      <c r="AI898" s="464"/>
      <c r="AL898" s="448"/>
      <c r="AP898" s="448"/>
    </row>
    <row r="899" spans="1:42" ht="13">
      <c r="A899" s="462"/>
      <c r="B899" s="462"/>
      <c r="N899" s="448"/>
      <c r="O899" s="464"/>
      <c r="R899" s="448"/>
      <c r="S899" s="464"/>
      <c r="V899" s="448"/>
      <c r="W899" s="464"/>
      <c r="Z899" s="448"/>
      <c r="AA899" s="464"/>
      <c r="AD899" s="448"/>
      <c r="AE899" s="464"/>
      <c r="AH899" s="448"/>
      <c r="AI899" s="464"/>
      <c r="AL899" s="448"/>
      <c r="AP899" s="448"/>
    </row>
    <row r="900" spans="1:42" ht="13">
      <c r="A900" s="462"/>
      <c r="B900" s="462"/>
      <c r="N900" s="448"/>
      <c r="O900" s="464"/>
      <c r="R900" s="448"/>
      <c r="S900" s="464"/>
      <c r="V900" s="448"/>
      <c r="W900" s="464"/>
      <c r="Z900" s="448"/>
      <c r="AA900" s="464"/>
      <c r="AD900" s="448"/>
      <c r="AE900" s="464"/>
      <c r="AH900" s="448"/>
      <c r="AI900" s="464"/>
      <c r="AL900" s="448"/>
      <c r="AP900" s="448"/>
    </row>
    <row r="901" spans="1:42" ht="13">
      <c r="A901" s="462"/>
      <c r="B901" s="462"/>
      <c r="N901" s="448"/>
      <c r="O901" s="464"/>
      <c r="R901" s="448"/>
      <c r="S901" s="464"/>
      <c r="V901" s="448"/>
      <c r="W901" s="464"/>
      <c r="Z901" s="448"/>
      <c r="AA901" s="464"/>
      <c r="AD901" s="448"/>
      <c r="AE901" s="464"/>
      <c r="AH901" s="448"/>
      <c r="AI901" s="464"/>
      <c r="AL901" s="448"/>
      <c r="AP901" s="448"/>
    </row>
    <row r="902" spans="1:42" ht="13">
      <c r="A902" s="462"/>
      <c r="B902" s="462"/>
      <c r="N902" s="448"/>
      <c r="O902" s="464"/>
      <c r="R902" s="448"/>
      <c r="S902" s="464"/>
      <c r="V902" s="448"/>
      <c r="W902" s="464"/>
      <c r="Z902" s="448"/>
      <c r="AA902" s="464"/>
      <c r="AD902" s="448"/>
      <c r="AE902" s="464"/>
      <c r="AH902" s="448"/>
      <c r="AI902" s="464"/>
      <c r="AL902" s="448"/>
      <c r="AP902" s="448"/>
    </row>
    <row r="903" spans="1:42" ht="13">
      <c r="A903" s="462"/>
      <c r="B903" s="462"/>
      <c r="N903" s="448"/>
      <c r="O903" s="464"/>
      <c r="R903" s="448"/>
      <c r="S903" s="464"/>
      <c r="V903" s="448"/>
      <c r="W903" s="464"/>
      <c r="Z903" s="448"/>
      <c r="AA903" s="464"/>
      <c r="AD903" s="448"/>
      <c r="AE903" s="464"/>
      <c r="AH903" s="448"/>
      <c r="AI903" s="464"/>
      <c r="AL903" s="448"/>
      <c r="AP903" s="448"/>
    </row>
    <row r="904" spans="1:42" ht="13">
      <c r="A904" s="462"/>
      <c r="B904" s="462"/>
      <c r="N904" s="448"/>
      <c r="O904" s="464"/>
      <c r="R904" s="448"/>
      <c r="S904" s="464"/>
      <c r="V904" s="448"/>
      <c r="W904" s="464"/>
      <c r="Z904" s="448"/>
      <c r="AA904" s="464"/>
      <c r="AD904" s="448"/>
      <c r="AE904" s="464"/>
      <c r="AH904" s="448"/>
      <c r="AI904" s="464"/>
      <c r="AL904" s="448"/>
      <c r="AP904" s="448"/>
    </row>
    <row r="905" spans="1:42" ht="13">
      <c r="A905" s="462"/>
      <c r="B905" s="462"/>
      <c r="N905" s="448"/>
      <c r="O905" s="464"/>
      <c r="R905" s="448"/>
      <c r="S905" s="464"/>
      <c r="V905" s="448"/>
      <c r="W905" s="464"/>
      <c r="Z905" s="448"/>
      <c r="AA905" s="464"/>
      <c r="AD905" s="448"/>
      <c r="AE905" s="464"/>
      <c r="AH905" s="448"/>
      <c r="AI905" s="464"/>
      <c r="AL905" s="448"/>
      <c r="AP905" s="448"/>
    </row>
    <row r="906" spans="1:42" ht="13">
      <c r="A906" s="462"/>
      <c r="B906" s="462"/>
      <c r="N906" s="448"/>
      <c r="O906" s="464"/>
      <c r="R906" s="448"/>
      <c r="S906" s="464"/>
      <c r="V906" s="448"/>
      <c r="W906" s="464"/>
      <c r="Z906" s="448"/>
      <c r="AA906" s="464"/>
      <c r="AD906" s="448"/>
      <c r="AE906" s="464"/>
      <c r="AH906" s="448"/>
      <c r="AI906" s="464"/>
      <c r="AL906" s="448"/>
      <c r="AP906" s="448"/>
    </row>
    <row r="907" spans="1:42" ht="13">
      <c r="A907" s="462"/>
      <c r="B907" s="462"/>
      <c r="N907" s="448"/>
      <c r="O907" s="464"/>
      <c r="R907" s="448"/>
      <c r="S907" s="464"/>
      <c r="V907" s="448"/>
      <c r="W907" s="464"/>
      <c r="Z907" s="448"/>
      <c r="AA907" s="464"/>
      <c r="AD907" s="448"/>
      <c r="AE907" s="464"/>
      <c r="AH907" s="448"/>
      <c r="AI907" s="464"/>
      <c r="AL907" s="448"/>
      <c r="AP907" s="448"/>
    </row>
    <row r="908" spans="1:42" ht="13">
      <c r="A908" s="462"/>
      <c r="B908" s="462"/>
      <c r="N908" s="448"/>
      <c r="O908" s="464"/>
      <c r="R908" s="448"/>
      <c r="S908" s="464"/>
      <c r="V908" s="448"/>
      <c r="W908" s="464"/>
      <c r="Z908" s="448"/>
      <c r="AA908" s="464"/>
      <c r="AD908" s="448"/>
      <c r="AE908" s="464"/>
      <c r="AH908" s="448"/>
      <c r="AI908" s="464"/>
      <c r="AL908" s="448"/>
      <c r="AP908" s="448"/>
    </row>
    <row r="909" spans="1:42" ht="13">
      <c r="A909" s="462"/>
      <c r="B909" s="462"/>
      <c r="N909" s="448"/>
      <c r="O909" s="464"/>
      <c r="R909" s="448"/>
      <c r="S909" s="464"/>
      <c r="V909" s="448"/>
      <c r="W909" s="464"/>
      <c r="Z909" s="448"/>
      <c r="AA909" s="464"/>
      <c r="AD909" s="448"/>
      <c r="AE909" s="464"/>
      <c r="AH909" s="448"/>
      <c r="AI909" s="464"/>
      <c r="AL909" s="448"/>
      <c r="AP909" s="448"/>
    </row>
    <row r="910" spans="1:42" ht="13">
      <c r="A910" s="462"/>
      <c r="B910" s="462"/>
      <c r="N910" s="448"/>
      <c r="O910" s="464"/>
      <c r="R910" s="448"/>
      <c r="S910" s="464"/>
      <c r="V910" s="448"/>
      <c r="W910" s="464"/>
      <c r="Z910" s="448"/>
      <c r="AA910" s="464"/>
      <c r="AD910" s="448"/>
      <c r="AE910" s="464"/>
      <c r="AH910" s="448"/>
      <c r="AI910" s="464"/>
      <c r="AL910" s="448"/>
      <c r="AP910" s="448"/>
    </row>
    <row r="911" spans="1:42" ht="13">
      <c r="A911" s="462"/>
      <c r="B911" s="462"/>
      <c r="N911" s="448"/>
      <c r="O911" s="464"/>
      <c r="R911" s="448"/>
      <c r="S911" s="464"/>
      <c r="V911" s="448"/>
      <c r="W911" s="464"/>
      <c r="Z911" s="448"/>
      <c r="AA911" s="464"/>
      <c r="AD911" s="448"/>
      <c r="AE911" s="464"/>
      <c r="AH911" s="448"/>
      <c r="AI911" s="464"/>
      <c r="AL911" s="448"/>
      <c r="AP911" s="448"/>
    </row>
    <row r="912" spans="1:42" ht="13">
      <c r="A912" s="462"/>
      <c r="B912" s="462"/>
      <c r="N912" s="448"/>
      <c r="O912" s="464"/>
      <c r="R912" s="448"/>
      <c r="S912" s="464"/>
      <c r="V912" s="448"/>
      <c r="W912" s="464"/>
      <c r="Z912" s="448"/>
      <c r="AA912" s="464"/>
      <c r="AD912" s="448"/>
      <c r="AE912" s="464"/>
      <c r="AH912" s="448"/>
      <c r="AI912" s="464"/>
      <c r="AL912" s="448"/>
      <c r="AP912" s="448"/>
    </row>
    <row r="913" spans="1:42" ht="13">
      <c r="A913" s="462"/>
      <c r="B913" s="462"/>
      <c r="N913" s="448"/>
      <c r="O913" s="464"/>
      <c r="R913" s="448"/>
      <c r="S913" s="464"/>
      <c r="V913" s="448"/>
      <c r="W913" s="464"/>
      <c r="Z913" s="448"/>
      <c r="AA913" s="464"/>
      <c r="AD913" s="448"/>
      <c r="AE913" s="464"/>
      <c r="AH913" s="448"/>
      <c r="AI913" s="464"/>
      <c r="AL913" s="448"/>
      <c r="AP913" s="448"/>
    </row>
    <row r="914" spans="1:42" ht="13">
      <c r="A914" s="462"/>
      <c r="B914" s="462"/>
      <c r="N914" s="448"/>
      <c r="O914" s="464"/>
      <c r="R914" s="448"/>
      <c r="S914" s="464"/>
      <c r="V914" s="448"/>
      <c r="W914" s="464"/>
      <c r="Z914" s="448"/>
      <c r="AA914" s="464"/>
      <c r="AD914" s="448"/>
      <c r="AE914" s="464"/>
      <c r="AH914" s="448"/>
      <c r="AI914" s="464"/>
      <c r="AL914" s="448"/>
      <c r="AP914" s="448"/>
    </row>
    <row r="915" spans="1:42" ht="13">
      <c r="A915" s="462"/>
      <c r="B915" s="462"/>
      <c r="N915" s="448"/>
      <c r="O915" s="464"/>
      <c r="R915" s="448"/>
      <c r="S915" s="464"/>
      <c r="V915" s="448"/>
      <c r="W915" s="464"/>
      <c r="Z915" s="448"/>
      <c r="AA915" s="464"/>
      <c r="AD915" s="448"/>
      <c r="AE915" s="464"/>
      <c r="AH915" s="448"/>
      <c r="AI915" s="464"/>
      <c r="AL915" s="448"/>
      <c r="AP915" s="448"/>
    </row>
    <row r="916" spans="1:42" ht="13">
      <c r="A916" s="462"/>
      <c r="B916" s="462"/>
      <c r="N916" s="448"/>
      <c r="O916" s="464"/>
      <c r="R916" s="448"/>
      <c r="S916" s="464"/>
      <c r="V916" s="448"/>
      <c r="W916" s="464"/>
      <c r="Z916" s="448"/>
      <c r="AA916" s="464"/>
      <c r="AD916" s="448"/>
      <c r="AE916" s="464"/>
      <c r="AH916" s="448"/>
      <c r="AI916" s="464"/>
      <c r="AL916" s="448"/>
      <c r="AP916" s="448"/>
    </row>
    <row r="917" spans="1:42" ht="13">
      <c r="A917" s="462"/>
      <c r="B917" s="462"/>
      <c r="N917" s="448"/>
      <c r="O917" s="464"/>
      <c r="R917" s="448"/>
      <c r="S917" s="464"/>
      <c r="V917" s="448"/>
      <c r="W917" s="464"/>
      <c r="Z917" s="448"/>
      <c r="AA917" s="464"/>
      <c r="AD917" s="448"/>
      <c r="AE917" s="464"/>
      <c r="AH917" s="448"/>
      <c r="AI917" s="464"/>
      <c r="AL917" s="448"/>
      <c r="AP917" s="448"/>
    </row>
    <row r="918" spans="1:42" ht="13">
      <c r="A918" s="462"/>
      <c r="B918" s="462"/>
      <c r="N918" s="448"/>
      <c r="O918" s="464"/>
      <c r="R918" s="448"/>
      <c r="S918" s="464"/>
      <c r="V918" s="448"/>
      <c r="W918" s="464"/>
      <c r="Z918" s="448"/>
      <c r="AA918" s="464"/>
      <c r="AD918" s="448"/>
      <c r="AE918" s="464"/>
      <c r="AH918" s="448"/>
      <c r="AI918" s="464"/>
      <c r="AL918" s="448"/>
      <c r="AP918" s="448"/>
    </row>
    <row r="919" spans="1:42" ht="13">
      <c r="A919" s="462"/>
      <c r="B919" s="462"/>
      <c r="N919" s="448"/>
      <c r="O919" s="464"/>
      <c r="R919" s="448"/>
      <c r="S919" s="464"/>
      <c r="V919" s="448"/>
      <c r="W919" s="464"/>
      <c r="Z919" s="448"/>
      <c r="AA919" s="464"/>
      <c r="AD919" s="448"/>
      <c r="AE919" s="464"/>
      <c r="AH919" s="448"/>
      <c r="AI919" s="464"/>
      <c r="AL919" s="448"/>
      <c r="AP919" s="448"/>
    </row>
    <row r="920" spans="1:42" ht="13">
      <c r="A920" s="462"/>
      <c r="B920" s="462"/>
      <c r="N920" s="448"/>
      <c r="O920" s="464"/>
      <c r="R920" s="448"/>
      <c r="S920" s="464"/>
      <c r="V920" s="448"/>
      <c r="W920" s="464"/>
      <c r="Z920" s="448"/>
      <c r="AA920" s="464"/>
      <c r="AD920" s="448"/>
      <c r="AE920" s="464"/>
      <c r="AH920" s="448"/>
      <c r="AI920" s="464"/>
      <c r="AL920" s="448"/>
      <c r="AP920" s="448"/>
    </row>
    <row r="921" spans="1:42" ht="13">
      <c r="A921" s="462"/>
      <c r="B921" s="462"/>
      <c r="N921" s="448"/>
      <c r="O921" s="464"/>
      <c r="R921" s="448"/>
      <c r="S921" s="464"/>
      <c r="V921" s="448"/>
      <c r="W921" s="464"/>
      <c r="Z921" s="448"/>
      <c r="AA921" s="464"/>
      <c r="AD921" s="448"/>
      <c r="AE921" s="464"/>
      <c r="AH921" s="448"/>
      <c r="AI921" s="464"/>
      <c r="AL921" s="448"/>
      <c r="AP921" s="448"/>
    </row>
    <row r="922" spans="1:42" ht="13">
      <c r="A922" s="462"/>
      <c r="B922" s="462"/>
      <c r="N922" s="448"/>
      <c r="O922" s="464"/>
      <c r="R922" s="448"/>
      <c r="S922" s="464"/>
      <c r="V922" s="448"/>
      <c r="W922" s="464"/>
      <c r="Z922" s="448"/>
      <c r="AA922" s="464"/>
      <c r="AD922" s="448"/>
      <c r="AE922" s="464"/>
      <c r="AH922" s="448"/>
      <c r="AI922" s="464"/>
      <c r="AL922" s="448"/>
      <c r="AP922" s="448"/>
    </row>
    <row r="923" spans="1:42" ht="13">
      <c r="A923" s="462"/>
      <c r="B923" s="462"/>
      <c r="N923" s="448"/>
      <c r="O923" s="464"/>
      <c r="R923" s="448"/>
      <c r="S923" s="464"/>
      <c r="V923" s="448"/>
      <c r="W923" s="464"/>
      <c r="Z923" s="448"/>
      <c r="AA923" s="464"/>
      <c r="AD923" s="448"/>
      <c r="AE923" s="464"/>
      <c r="AH923" s="448"/>
      <c r="AI923" s="464"/>
      <c r="AL923" s="448"/>
      <c r="AP923" s="448"/>
    </row>
    <row r="924" spans="1:42" ht="13">
      <c r="A924" s="462"/>
      <c r="B924" s="462"/>
      <c r="N924" s="448"/>
      <c r="O924" s="464"/>
      <c r="R924" s="448"/>
      <c r="S924" s="464"/>
      <c r="V924" s="448"/>
      <c r="W924" s="464"/>
      <c r="Z924" s="448"/>
      <c r="AA924" s="464"/>
      <c r="AD924" s="448"/>
      <c r="AE924" s="464"/>
      <c r="AH924" s="448"/>
      <c r="AI924" s="464"/>
      <c r="AL924" s="448"/>
      <c r="AP924" s="448"/>
    </row>
    <row r="925" spans="1:42" ht="13">
      <c r="A925" s="462"/>
      <c r="B925" s="462"/>
      <c r="N925" s="448"/>
      <c r="O925" s="464"/>
      <c r="R925" s="448"/>
      <c r="S925" s="464"/>
      <c r="V925" s="448"/>
      <c r="W925" s="464"/>
      <c r="Z925" s="448"/>
      <c r="AA925" s="464"/>
      <c r="AD925" s="448"/>
      <c r="AE925" s="464"/>
      <c r="AH925" s="448"/>
      <c r="AI925" s="464"/>
      <c r="AL925" s="448"/>
      <c r="AP925" s="448"/>
    </row>
    <row r="926" spans="1:42" ht="13">
      <c r="A926" s="462"/>
      <c r="B926" s="462"/>
      <c r="N926" s="448"/>
      <c r="O926" s="464"/>
      <c r="R926" s="448"/>
      <c r="S926" s="464"/>
      <c r="V926" s="448"/>
      <c r="W926" s="464"/>
      <c r="Z926" s="448"/>
      <c r="AA926" s="464"/>
      <c r="AD926" s="448"/>
      <c r="AE926" s="464"/>
      <c r="AH926" s="448"/>
      <c r="AI926" s="464"/>
      <c r="AL926" s="448"/>
      <c r="AP926" s="448"/>
    </row>
    <row r="927" spans="1:42" ht="13">
      <c r="A927" s="462"/>
      <c r="B927" s="462"/>
      <c r="N927" s="448"/>
      <c r="O927" s="464"/>
      <c r="R927" s="448"/>
      <c r="S927" s="464"/>
      <c r="V927" s="448"/>
      <c r="W927" s="464"/>
      <c r="Z927" s="448"/>
      <c r="AA927" s="464"/>
      <c r="AD927" s="448"/>
      <c r="AE927" s="464"/>
      <c r="AH927" s="448"/>
      <c r="AI927" s="464"/>
      <c r="AL927" s="448"/>
      <c r="AP927" s="448"/>
    </row>
    <row r="928" spans="1:42" ht="13">
      <c r="A928" s="462"/>
      <c r="B928" s="462"/>
      <c r="N928" s="448"/>
      <c r="O928" s="464"/>
      <c r="R928" s="448"/>
      <c r="S928" s="464"/>
      <c r="V928" s="448"/>
      <c r="W928" s="464"/>
      <c r="Z928" s="448"/>
      <c r="AA928" s="464"/>
      <c r="AD928" s="448"/>
      <c r="AE928" s="464"/>
      <c r="AH928" s="448"/>
      <c r="AI928" s="464"/>
      <c r="AL928" s="448"/>
      <c r="AP928" s="448"/>
    </row>
    <row r="929" spans="1:42" ht="13">
      <c r="A929" s="462"/>
      <c r="B929" s="462"/>
      <c r="N929" s="448"/>
      <c r="O929" s="464"/>
      <c r="R929" s="448"/>
      <c r="S929" s="464"/>
      <c r="V929" s="448"/>
      <c r="W929" s="464"/>
      <c r="Z929" s="448"/>
      <c r="AA929" s="464"/>
      <c r="AD929" s="448"/>
      <c r="AE929" s="464"/>
      <c r="AH929" s="448"/>
      <c r="AI929" s="464"/>
      <c r="AL929" s="448"/>
      <c r="AP929" s="448"/>
    </row>
    <row r="930" spans="1:42" ht="13">
      <c r="A930" s="462"/>
      <c r="B930" s="462"/>
      <c r="N930" s="448"/>
      <c r="O930" s="464"/>
      <c r="R930" s="448"/>
      <c r="S930" s="464"/>
      <c r="V930" s="448"/>
      <c r="W930" s="464"/>
      <c r="Z930" s="448"/>
      <c r="AA930" s="464"/>
      <c r="AD930" s="448"/>
      <c r="AE930" s="464"/>
      <c r="AH930" s="448"/>
      <c r="AI930" s="464"/>
      <c r="AL930" s="448"/>
      <c r="AP930" s="448"/>
    </row>
    <row r="931" spans="1:42" ht="13">
      <c r="A931" s="462"/>
      <c r="B931" s="462"/>
      <c r="N931" s="448"/>
      <c r="O931" s="464"/>
      <c r="R931" s="448"/>
      <c r="S931" s="464"/>
      <c r="V931" s="448"/>
      <c r="W931" s="464"/>
      <c r="Z931" s="448"/>
      <c r="AA931" s="464"/>
      <c r="AD931" s="448"/>
      <c r="AE931" s="464"/>
      <c r="AH931" s="448"/>
      <c r="AI931" s="464"/>
      <c r="AL931" s="448"/>
      <c r="AP931" s="448"/>
    </row>
    <row r="932" spans="1:42" ht="13">
      <c r="A932" s="462"/>
      <c r="B932" s="462"/>
      <c r="N932" s="448"/>
      <c r="O932" s="464"/>
      <c r="R932" s="448"/>
      <c r="S932" s="464"/>
      <c r="V932" s="448"/>
      <c r="W932" s="464"/>
      <c r="Z932" s="448"/>
      <c r="AA932" s="464"/>
      <c r="AD932" s="448"/>
      <c r="AE932" s="464"/>
      <c r="AH932" s="448"/>
      <c r="AI932" s="464"/>
      <c r="AL932" s="448"/>
      <c r="AP932" s="448"/>
    </row>
    <row r="933" spans="1:42" ht="13">
      <c r="A933" s="462"/>
      <c r="B933" s="462"/>
      <c r="N933" s="448"/>
      <c r="O933" s="464"/>
      <c r="R933" s="448"/>
      <c r="S933" s="464"/>
      <c r="V933" s="448"/>
      <c r="W933" s="464"/>
      <c r="Z933" s="448"/>
      <c r="AA933" s="464"/>
      <c r="AD933" s="448"/>
      <c r="AE933" s="464"/>
      <c r="AH933" s="448"/>
      <c r="AI933" s="464"/>
      <c r="AL933" s="448"/>
      <c r="AP933" s="448"/>
    </row>
    <row r="934" spans="1:42" ht="13">
      <c r="A934" s="462"/>
      <c r="B934" s="462"/>
      <c r="N934" s="448"/>
      <c r="O934" s="464"/>
      <c r="R934" s="448"/>
      <c r="S934" s="464"/>
      <c r="V934" s="448"/>
      <c r="W934" s="464"/>
      <c r="Z934" s="448"/>
      <c r="AA934" s="464"/>
      <c r="AD934" s="448"/>
      <c r="AE934" s="464"/>
      <c r="AH934" s="448"/>
      <c r="AI934" s="464"/>
      <c r="AL934" s="448"/>
      <c r="AP934" s="448"/>
    </row>
    <row r="935" spans="1:42" ht="13">
      <c r="A935" s="462"/>
      <c r="B935" s="462"/>
      <c r="N935" s="448"/>
      <c r="O935" s="464"/>
      <c r="R935" s="448"/>
      <c r="S935" s="464"/>
      <c r="V935" s="448"/>
      <c r="W935" s="464"/>
      <c r="Z935" s="448"/>
      <c r="AA935" s="464"/>
      <c r="AD935" s="448"/>
      <c r="AE935" s="464"/>
      <c r="AH935" s="448"/>
      <c r="AI935" s="464"/>
      <c r="AL935" s="448"/>
      <c r="AP935" s="448"/>
    </row>
    <row r="936" spans="1:42" ht="13">
      <c r="A936" s="462"/>
      <c r="B936" s="462"/>
      <c r="N936" s="448"/>
      <c r="O936" s="464"/>
      <c r="R936" s="448"/>
      <c r="S936" s="464"/>
      <c r="V936" s="448"/>
      <c r="W936" s="464"/>
      <c r="Z936" s="448"/>
      <c r="AA936" s="464"/>
      <c r="AD936" s="448"/>
      <c r="AE936" s="464"/>
      <c r="AH936" s="448"/>
      <c r="AI936" s="464"/>
      <c r="AL936" s="448"/>
      <c r="AP936" s="448"/>
    </row>
    <row r="937" spans="1:42" ht="13">
      <c r="A937" s="462"/>
      <c r="B937" s="462"/>
      <c r="N937" s="448"/>
      <c r="O937" s="464"/>
      <c r="R937" s="448"/>
      <c r="S937" s="464"/>
      <c r="V937" s="448"/>
      <c r="W937" s="464"/>
      <c r="Z937" s="448"/>
      <c r="AA937" s="464"/>
      <c r="AD937" s="448"/>
      <c r="AE937" s="464"/>
      <c r="AH937" s="448"/>
      <c r="AI937" s="464"/>
      <c r="AL937" s="448"/>
      <c r="AP937" s="448"/>
    </row>
    <row r="938" spans="1:42" ht="13">
      <c r="A938" s="462"/>
      <c r="B938" s="462"/>
      <c r="N938" s="448"/>
      <c r="O938" s="464"/>
      <c r="R938" s="448"/>
      <c r="S938" s="464"/>
      <c r="V938" s="448"/>
      <c r="W938" s="464"/>
      <c r="Z938" s="448"/>
      <c r="AA938" s="464"/>
      <c r="AD938" s="448"/>
      <c r="AE938" s="464"/>
      <c r="AH938" s="448"/>
      <c r="AI938" s="464"/>
      <c r="AL938" s="448"/>
      <c r="AP938" s="448"/>
    </row>
    <row r="939" spans="1:42" ht="13">
      <c r="A939" s="462"/>
      <c r="B939" s="462"/>
      <c r="N939" s="448"/>
      <c r="O939" s="464"/>
      <c r="R939" s="448"/>
      <c r="S939" s="464"/>
      <c r="V939" s="448"/>
      <c r="W939" s="464"/>
      <c r="Z939" s="448"/>
      <c r="AA939" s="464"/>
      <c r="AD939" s="448"/>
      <c r="AE939" s="464"/>
      <c r="AH939" s="448"/>
      <c r="AI939" s="464"/>
      <c r="AL939" s="448"/>
      <c r="AP939" s="448"/>
    </row>
    <row r="940" spans="1:42" ht="13">
      <c r="A940" s="462"/>
      <c r="B940" s="462"/>
      <c r="N940" s="448"/>
      <c r="O940" s="464"/>
      <c r="R940" s="448"/>
      <c r="S940" s="464"/>
      <c r="V940" s="448"/>
      <c r="W940" s="464"/>
      <c r="Z940" s="448"/>
      <c r="AA940" s="464"/>
      <c r="AD940" s="448"/>
      <c r="AE940" s="464"/>
      <c r="AH940" s="448"/>
      <c r="AI940" s="464"/>
      <c r="AL940" s="448"/>
      <c r="AP940" s="448"/>
    </row>
    <row r="941" spans="1:42" ht="13">
      <c r="A941" s="462"/>
      <c r="B941" s="462"/>
      <c r="N941" s="448"/>
      <c r="O941" s="464"/>
      <c r="R941" s="448"/>
      <c r="S941" s="464"/>
      <c r="V941" s="448"/>
      <c r="W941" s="464"/>
      <c r="Z941" s="448"/>
      <c r="AA941" s="464"/>
      <c r="AD941" s="448"/>
      <c r="AE941" s="464"/>
      <c r="AH941" s="448"/>
      <c r="AI941" s="464"/>
      <c r="AL941" s="448"/>
      <c r="AP941" s="448"/>
    </row>
    <row r="942" spans="1:42" ht="13">
      <c r="A942" s="462"/>
      <c r="B942" s="462"/>
      <c r="N942" s="448"/>
      <c r="O942" s="464"/>
      <c r="R942" s="448"/>
      <c r="S942" s="464"/>
      <c r="V942" s="448"/>
      <c r="W942" s="464"/>
      <c r="Z942" s="448"/>
      <c r="AA942" s="464"/>
      <c r="AD942" s="448"/>
      <c r="AE942" s="464"/>
      <c r="AH942" s="448"/>
      <c r="AI942" s="464"/>
      <c r="AL942" s="448"/>
      <c r="AP942" s="448"/>
    </row>
    <row r="943" spans="1:42" ht="13">
      <c r="A943" s="462"/>
      <c r="B943" s="462"/>
      <c r="N943" s="448"/>
      <c r="O943" s="464"/>
      <c r="R943" s="448"/>
      <c r="S943" s="464"/>
      <c r="V943" s="448"/>
      <c r="W943" s="464"/>
      <c r="Z943" s="448"/>
      <c r="AA943" s="464"/>
      <c r="AD943" s="448"/>
      <c r="AE943" s="464"/>
      <c r="AH943" s="448"/>
      <c r="AI943" s="464"/>
      <c r="AL943" s="448"/>
      <c r="AP943" s="448"/>
    </row>
    <row r="944" spans="1:42" ht="13">
      <c r="A944" s="462"/>
      <c r="B944" s="462"/>
      <c r="N944" s="448"/>
      <c r="O944" s="464"/>
      <c r="R944" s="448"/>
      <c r="S944" s="464"/>
      <c r="V944" s="448"/>
      <c r="W944" s="464"/>
      <c r="Z944" s="448"/>
      <c r="AA944" s="464"/>
      <c r="AD944" s="448"/>
      <c r="AE944" s="464"/>
      <c r="AH944" s="448"/>
      <c r="AI944" s="464"/>
      <c r="AL944" s="448"/>
      <c r="AP944" s="448"/>
    </row>
    <row r="945" spans="1:42" ht="13">
      <c r="A945" s="462"/>
      <c r="B945" s="462"/>
      <c r="N945" s="448"/>
      <c r="O945" s="464"/>
      <c r="R945" s="448"/>
      <c r="S945" s="464"/>
      <c r="V945" s="448"/>
      <c r="W945" s="464"/>
      <c r="Z945" s="448"/>
      <c r="AA945" s="464"/>
      <c r="AD945" s="448"/>
      <c r="AE945" s="464"/>
      <c r="AH945" s="448"/>
      <c r="AI945" s="464"/>
      <c r="AL945" s="448"/>
      <c r="AP945" s="448"/>
    </row>
    <row r="946" spans="1:42" ht="13">
      <c r="A946" s="462"/>
      <c r="B946" s="462"/>
      <c r="N946" s="448"/>
      <c r="O946" s="464"/>
      <c r="R946" s="448"/>
      <c r="S946" s="464"/>
      <c r="V946" s="448"/>
      <c r="W946" s="464"/>
      <c r="Z946" s="448"/>
      <c r="AA946" s="464"/>
      <c r="AD946" s="448"/>
      <c r="AE946" s="464"/>
      <c r="AH946" s="448"/>
      <c r="AI946" s="464"/>
      <c r="AL946" s="448"/>
      <c r="AP946" s="448"/>
    </row>
    <row r="947" spans="1:42" ht="13">
      <c r="A947" s="462"/>
      <c r="B947" s="462"/>
      <c r="N947" s="448"/>
      <c r="O947" s="464"/>
      <c r="R947" s="448"/>
      <c r="S947" s="464"/>
      <c r="V947" s="448"/>
      <c r="W947" s="464"/>
      <c r="Z947" s="448"/>
      <c r="AA947" s="464"/>
      <c r="AD947" s="448"/>
      <c r="AE947" s="464"/>
      <c r="AH947" s="448"/>
      <c r="AI947" s="464"/>
      <c r="AL947" s="448"/>
      <c r="AP947" s="448"/>
    </row>
    <row r="948" spans="1:42" ht="13">
      <c r="A948" s="462"/>
      <c r="B948" s="462"/>
      <c r="N948" s="448"/>
      <c r="O948" s="464"/>
      <c r="R948" s="448"/>
      <c r="S948" s="464"/>
      <c r="V948" s="448"/>
      <c r="W948" s="464"/>
      <c r="Z948" s="448"/>
      <c r="AA948" s="464"/>
      <c r="AD948" s="448"/>
      <c r="AE948" s="464"/>
      <c r="AH948" s="448"/>
      <c r="AI948" s="464"/>
      <c r="AL948" s="448"/>
      <c r="AP948" s="448"/>
    </row>
    <row r="949" spans="1:42" ht="13">
      <c r="A949" s="462"/>
      <c r="B949" s="462"/>
      <c r="N949" s="448"/>
      <c r="O949" s="464"/>
      <c r="R949" s="448"/>
      <c r="S949" s="464"/>
      <c r="V949" s="448"/>
      <c r="W949" s="464"/>
      <c r="Z949" s="448"/>
      <c r="AA949" s="464"/>
      <c r="AD949" s="448"/>
      <c r="AE949" s="464"/>
      <c r="AH949" s="448"/>
      <c r="AI949" s="464"/>
      <c r="AL949" s="448"/>
      <c r="AP949" s="448"/>
    </row>
    <row r="950" spans="1:42" ht="13">
      <c r="A950" s="462"/>
      <c r="B950" s="462"/>
      <c r="N950" s="448"/>
      <c r="O950" s="464"/>
      <c r="R950" s="448"/>
      <c r="S950" s="464"/>
      <c r="V950" s="448"/>
      <c r="W950" s="464"/>
      <c r="Z950" s="448"/>
      <c r="AA950" s="464"/>
      <c r="AD950" s="448"/>
      <c r="AE950" s="464"/>
      <c r="AH950" s="448"/>
      <c r="AI950" s="464"/>
      <c r="AL950" s="448"/>
      <c r="AP950" s="448"/>
    </row>
    <row r="951" spans="1:42" ht="13">
      <c r="A951" s="462"/>
      <c r="B951" s="462"/>
      <c r="N951" s="448"/>
      <c r="O951" s="464"/>
      <c r="R951" s="448"/>
      <c r="S951" s="464"/>
      <c r="V951" s="448"/>
      <c r="W951" s="464"/>
      <c r="Z951" s="448"/>
      <c r="AA951" s="464"/>
      <c r="AD951" s="448"/>
      <c r="AE951" s="464"/>
      <c r="AH951" s="448"/>
      <c r="AI951" s="464"/>
      <c r="AL951" s="448"/>
      <c r="AP951" s="448"/>
    </row>
    <row r="952" spans="1:42" ht="13">
      <c r="A952" s="462"/>
      <c r="B952" s="462"/>
      <c r="N952" s="448"/>
      <c r="O952" s="464"/>
      <c r="R952" s="448"/>
      <c r="S952" s="464"/>
      <c r="V952" s="448"/>
      <c r="W952" s="464"/>
      <c r="Z952" s="448"/>
      <c r="AA952" s="464"/>
      <c r="AD952" s="448"/>
      <c r="AE952" s="464"/>
      <c r="AH952" s="448"/>
      <c r="AI952" s="464"/>
      <c r="AL952" s="448"/>
      <c r="AP952" s="448"/>
    </row>
    <row r="953" spans="1:42" ht="13">
      <c r="A953" s="462"/>
      <c r="B953" s="462"/>
      <c r="N953" s="448"/>
      <c r="O953" s="464"/>
      <c r="R953" s="448"/>
      <c r="S953" s="464"/>
      <c r="V953" s="448"/>
      <c r="W953" s="464"/>
      <c r="Z953" s="448"/>
      <c r="AA953" s="464"/>
      <c r="AD953" s="448"/>
      <c r="AE953" s="464"/>
      <c r="AH953" s="448"/>
      <c r="AI953" s="464"/>
      <c r="AL953" s="448"/>
      <c r="AP953" s="448"/>
    </row>
    <row r="954" spans="1:42" ht="13">
      <c r="A954" s="462"/>
      <c r="B954" s="462"/>
      <c r="N954" s="448"/>
      <c r="O954" s="464"/>
      <c r="R954" s="448"/>
      <c r="S954" s="464"/>
      <c r="V954" s="448"/>
      <c r="W954" s="464"/>
      <c r="Z954" s="448"/>
      <c r="AA954" s="464"/>
      <c r="AD954" s="448"/>
      <c r="AE954" s="464"/>
      <c r="AH954" s="448"/>
      <c r="AI954" s="464"/>
      <c r="AL954" s="448"/>
      <c r="AP954" s="448"/>
    </row>
    <row r="955" spans="1:42" ht="13">
      <c r="A955" s="462"/>
      <c r="B955" s="462"/>
      <c r="N955" s="448"/>
      <c r="O955" s="464"/>
      <c r="R955" s="448"/>
      <c r="S955" s="464"/>
      <c r="V955" s="448"/>
      <c r="W955" s="464"/>
      <c r="Z955" s="448"/>
      <c r="AA955" s="464"/>
      <c r="AD955" s="448"/>
      <c r="AE955" s="464"/>
      <c r="AH955" s="448"/>
      <c r="AI955" s="464"/>
      <c r="AL955" s="448"/>
      <c r="AP955" s="448"/>
    </row>
    <row r="956" spans="1:42" ht="13">
      <c r="A956" s="462"/>
      <c r="B956" s="462"/>
      <c r="N956" s="448"/>
      <c r="O956" s="464"/>
      <c r="R956" s="448"/>
      <c r="S956" s="464"/>
      <c r="V956" s="448"/>
      <c r="W956" s="464"/>
      <c r="Z956" s="448"/>
      <c r="AA956" s="464"/>
      <c r="AD956" s="448"/>
      <c r="AE956" s="464"/>
      <c r="AH956" s="448"/>
      <c r="AI956" s="464"/>
      <c r="AL956" s="448"/>
      <c r="AP956" s="448"/>
    </row>
    <row r="957" spans="1:42" ht="13">
      <c r="A957" s="462"/>
      <c r="B957" s="462"/>
      <c r="N957" s="448"/>
      <c r="O957" s="464"/>
      <c r="R957" s="448"/>
      <c r="S957" s="464"/>
      <c r="V957" s="448"/>
      <c r="W957" s="464"/>
      <c r="Z957" s="448"/>
      <c r="AA957" s="464"/>
      <c r="AD957" s="448"/>
      <c r="AE957" s="464"/>
      <c r="AH957" s="448"/>
      <c r="AI957" s="464"/>
      <c r="AL957" s="448"/>
      <c r="AP957" s="448"/>
    </row>
    <row r="958" spans="1:42" ht="13">
      <c r="A958" s="462"/>
      <c r="B958" s="462"/>
      <c r="N958" s="448"/>
      <c r="O958" s="464"/>
      <c r="R958" s="448"/>
      <c r="S958" s="464"/>
      <c r="V958" s="448"/>
      <c r="W958" s="464"/>
      <c r="Z958" s="448"/>
      <c r="AA958" s="464"/>
      <c r="AD958" s="448"/>
      <c r="AE958" s="464"/>
      <c r="AH958" s="448"/>
      <c r="AI958" s="464"/>
      <c r="AL958" s="448"/>
      <c r="AP958" s="448"/>
    </row>
    <row r="959" spans="1:42" ht="13">
      <c r="A959" s="462"/>
      <c r="B959" s="462"/>
      <c r="N959" s="448"/>
      <c r="O959" s="464"/>
      <c r="R959" s="448"/>
      <c r="S959" s="464"/>
      <c r="V959" s="448"/>
      <c r="W959" s="464"/>
      <c r="Z959" s="448"/>
      <c r="AA959" s="464"/>
      <c r="AD959" s="448"/>
      <c r="AE959" s="464"/>
      <c r="AH959" s="448"/>
      <c r="AI959" s="464"/>
      <c r="AL959" s="448"/>
      <c r="AP959" s="448"/>
    </row>
    <row r="960" spans="1:42" ht="13">
      <c r="A960" s="462"/>
      <c r="B960" s="462"/>
      <c r="N960" s="448"/>
      <c r="O960" s="464"/>
      <c r="R960" s="448"/>
      <c r="S960" s="464"/>
      <c r="V960" s="448"/>
      <c r="W960" s="464"/>
      <c r="Z960" s="448"/>
      <c r="AA960" s="464"/>
      <c r="AD960" s="448"/>
      <c r="AE960" s="464"/>
      <c r="AH960" s="448"/>
      <c r="AI960" s="464"/>
      <c r="AL960" s="448"/>
      <c r="AP960" s="448"/>
    </row>
    <row r="961" spans="1:42" ht="13">
      <c r="A961" s="462"/>
      <c r="B961" s="462"/>
      <c r="N961" s="448"/>
      <c r="O961" s="464"/>
      <c r="R961" s="448"/>
      <c r="S961" s="464"/>
      <c r="V961" s="448"/>
      <c r="W961" s="464"/>
      <c r="Z961" s="448"/>
      <c r="AA961" s="464"/>
      <c r="AD961" s="448"/>
      <c r="AE961" s="464"/>
      <c r="AH961" s="448"/>
      <c r="AI961" s="464"/>
      <c r="AL961" s="448"/>
      <c r="AP961" s="448"/>
    </row>
    <row r="962" spans="1:42" ht="13">
      <c r="A962" s="462"/>
      <c r="B962" s="462"/>
      <c r="N962" s="448"/>
      <c r="O962" s="464"/>
      <c r="R962" s="448"/>
      <c r="S962" s="464"/>
      <c r="V962" s="448"/>
      <c r="W962" s="464"/>
      <c r="Z962" s="448"/>
      <c r="AA962" s="464"/>
      <c r="AD962" s="448"/>
      <c r="AE962" s="464"/>
      <c r="AH962" s="448"/>
      <c r="AI962" s="464"/>
      <c r="AL962" s="448"/>
      <c r="AP962" s="448"/>
    </row>
    <row r="963" spans="1:42" ht="13">
      <c r="A963" s="462"/>
      <c r="B963" s="462"/>
      <c r="N963" s="448"/>
      <c r="O963" s="464"/>
      <c r="R963" s="448"/>
      <c r="S963" s="464"/>
      <c r="V963" s="448"/>
      <c r="W963" s="464"/>
      <c r="Z963" s="448"/>
      <c r="AA963" s="464"/>
      <c r="AD963" s="448"/>
      <c r="AE963" s="464"/>
      <c r="AH963" s="448"/>
      <c r="AI963" s="464"/>
      <c r="AL963" s="448"/>
      <c r="AP963" s="448"/>
    </row>
    <row r="964" spans="1:42" ht="13">
      <c r="A964" s="462"/>
      <c r="B964" s="462"/>
      <c r="N964" s="448"/>
      <c r="O964" s="464"/>
      <c r="R964" s="448"/>
      <c r="S964" s="464"/>
      <c r="V964" s="448"/>
      <c r="W964" s="464"/>
      <c r="Z964" s="448"/>
      <c r="AA964" s="464"/>
      <c r="AD964" s="448"/>
      <c r="AE964" s="464"/>
      <c r="AH964" s="448"/>
      <c r="AI964" s="464"/>
      <c r="AL964" s="448"/>
      <c r="AP964" s="448"/>
    </row>
    <row r="965" spans="1:42" ht="13">
      <c r="A965" s="462"/>
      <c r="B965" s="462"/>
      <c r="N965" s="448"/>
      <c r="O965" s="464"/>
      <c r="R965" s="448"/>
      <c r="S965" s="464"/>
      <c r="V965" s="448"/>
      <c r="W965" s="464"/>
      <c r="Z965" s="448"/>
      <c r="AA965" s="464"/>
      <c r="AD965" s="448"/>
      <c r="AE965" s="464"/>
      <c r="AH965" s="448"/>
      <c r="AI965" s="464"/>
      <c r="AL965" s="448"/>
      <c r="AP965" s="448"/>
    </row>
    <row r="966" spans="1:42" ht="13">
      <c r="A966" s="462"/>
      <c r="B966" s="462"/>
      <c r="N966" s="448"/>
      <c r="O966" s="464"/>
      <c r="R966" s="448"/>
      <c r="S966" s="464"/>
      <c r="V966" s="448"/>
      <c r="W966" s="464"/>
      <c r="Z966" s="448"/>
      <c r="AA966" s="464"/>
      <c r="AD966" s="448"/>
      <c r="AE966" s="464"/>
      <c r="AH966" s="448"/>
      <c r="AI966" s="464"/>
      <c r="AL966" s="448"/>
      <c r="AP966" s="448"/>
    </row>
    <row r="967" spans="1:42" ht="13">
      <c r="A967" s="462"/>
      <c r="B967" s="462"/>
      <c r="N967" s="448"/>
      <c r="O967" s="464"/>
      <c r="R967" s="448"/>
      <c r="S967" s="464"/>
      <c r="V967" s="448"/>
      <c r="W967" s="464"/>
      <c r="Z967" s="448"/>
      <c r="AA967" s="464"/>
      <c r="AD967" s="448"/>
      <c r="AE967" s="464"/>
      <c r="AH967" s="448"/>
      <c r="AI967" s="464"/>
      <c r="AL967" s="448"/>
      <c r="AP967" s="448"/>
    </row>
    <row r="968" spans="1:42" ht="13">
      <c r="A968" s="462"/>
      <c r="B968" s="462"/>
      <c r="N968" s="448"/>
      <c r="O968" s="464"/>
      <c r="R968" s="448"/>
      <c r="S968" s="464"/>
      <c r="V968" s="448"/>
      <c r="W968" s="464"/>
      <c r="Z968" s="448"/>
      <c r="AA968" s="464"/>
      <c r="AD968" s="448"/>
      <c r="AE968" s="464"/>
      <c r="AH968" s="448"/>
      <c r="AI968" s="464"/>
      <c r="AL968" s="448"/>
      <c r="AP968" s="448"/>
    </row>
    <row r="969" spans="1:42" ht="13">
      <c r="A969" s="462"/>
      <c r="B969" s="462"/>
      <c r="N969" s="448"/>
      <c r="O969" s="464"/>
      <c r="R969" s="448"/>
      <c r="S969" s="464"/>
      <c r="V969" s="448"/>
      <c r="W969" s="464"/>
      <c r="Z969" s="448"/>
      <c r="AA969" s="464"/>
      <c r="AD969" s="448"/>
      <c r="AE969" s="464"/>
      <c r="AH969" s="448"/>
      <c r="AI969" s="464"/>
      <c r="AL969" s="448"/>
      <c r="AP969" s="448"/>
    </row>
    <row r="970" spans="1:42" ht="13">
      <c r="A970" s="462"/>
      <c r="B970" s="462"/>
      <c r="N970" s="448"/>
      <c r="O970" s="464"/>
      <c r="R970" s="448"/>
      <c r="S970" s="464"/>
      <c r="V970" s="448"/>
      <c r="W970" s="464"/>
      <c r="Z970" s="448"/>
      <c r="AA970" s="464"/>
      <c r="AD970" s="448"/>
      <c r="AE970" s="464"/>
      <c r="AH970" s="448"/>
      <c r="AI970" s="464"/>
      <c r="AL970" s="448"/>
      <c r="AP970" s="448"/>
    </row>
    <row r="971" spans="1:42" ht="13">
      <c r="A971" s="462"/>
      <c r="B971" s="462"/>
      <c r="N971" s="448"/>
      <c r="O971" s="464"/>
      <c r="R971" s="448"/>
      <c r="S971" s="464"/>
      <c r="V971" s="448"/>
      <c r="W971" s="464"/>
      <c r="Z971" s="448"/>
      <c r="AA971" s="464"/>
      <c r="AD971" s="448"/>
      <c r="AE971" s="464"/>
      <c r="AH971" s="448"/>
      <c r="AI971" s="464"/>
      <c r="AL971" s="448"/>
      <c r="AP971" s="448"/>
    </row>
    <row r="972" spans="1:42" ht="13">
      <c r="A972" s="462"/>
      <c r="B972" s="462"/>
      <c r="N972" s="448"/>
      <c r="O972" s="464"/>
      <c r="R972" s="448"/>
      <c r="S972" s="464"/>
      <c r="V972" s="448"/>
      <c r="W972" s="464"/>
      <c r="Z972" s="448"/>
      <c r="AA972" s="464"/>
      <c r="AD972" s="448"/>
      <c r="AE972" s="464"/>
      <c r="AH972" s="448"/>
      <c r="AI972" s="464"/>
      <c r="AL972" s="448"/>
      <c r="AP972" s="448"/>
    </row>
    <row r="973" spans="1:42" ht="13">
      <c r="A973" s="462"/>
      <c r="B973" s="462"/>
      <c r="N973" s="448"/>
      <c r="O973" s="464"/>
      <c r="R973" s="448"/>
      <c r="S973" s="464"/>
      <c r="V973" s="448"/>
      <c r="W973" s="464"/>
      <c r="Z973" s="448"/>
      <c r="AA973" s="464"/>
      <c r="AD973" s="448"/>
      <c r="AE973" s="464"/>
      <c r="AH973" s="448"/>
      <c r="AI973" s="464"/>
      <c r="AL973" s="448"/>
      <c r="AP973" s="448"/>
    </row>
    <row r="974" spans="1:42" ht="13">
      <c r="A974" s="462"/>
      <c r="B974" s="462"/>
      <c r="N974" s="448"/>
      <c r="O974" s="464"/>
      <c r="R974" s="448"/>
      <c r="S974" s="464"/>
      <c r="V974" s="448"/>
      <c r="W974" s="464"/>
      <c r="Z974" s="448"/>
      <c r="AA974" s="464"/>
      <c r="AD974" s="448"/>
      <c r="AE974" s="464"/>
      <c r="AH974" s="448"/>
      <c r="AI974" s="464"/>
      <c r="AL974" s="448"/>
      <c r="AP974" s="448"/>
    </row>
    <row r="975" spans="1:42" ht="13">
      <c r="A975" s="462"/>
      <c r="B975" s="462"/>
      <c r="N975" s="448"/>
      <c r="O975" s="464"/>
      <c r="R975" s="448"/>
      <c r="S975" s="464"/>
      <c r="V975" s="448"/>
      <c r="W975" s="464"/>
      <c r="Z975" s="448"/>
      <c r="AA975" s="464"/>
      <c r="AD975" s="448"/>
      <c r="AE975" s="464"/>
      <c r="AH975" s="448"/>
      <c r="AI975" s="464"/>
      <c r="AL975" s="448"/>
      <c r="AP975" s="448"/>
    </row>
    <row r="976" spans="1:42" ht="13">
      <c r="A976" s="462"/>
      <c r="B976" s="462"/>
      <c r="N976" s="448"/>
      <c r="O976" s="464"/>
      <c r="R976" s="448"/>
      <c r="S976" s="464"/>
      <c r="V976" s="448"/>
      <c r="W976" s="464"/>
      <c r="Z976" s="448"/>
      <c r="AA976" s="464"/>
      <c r="AD976" s="448"/>
      <c r="AE976" s="464"/>
      <c r="AH976" s="448"/>
      <c r="AI976" s="464"/>
      <c r="AL976" s="448"/>
      <c r="AP976" s="448"/>
    </row>
    <row r="977" spans="1:42" ht="13">
      <c r="A977" s="462"/>
      <c r="B977" s="462"/>
      <c r="N977" s="448"/>
      <c r="O977" s="464"/>
      <c r="R977" s="448"/>
      <c r="S977" s="464"/>
      <c r="V977" s="448"/>
      <c r="W977" s="464"/>
      <c r="Z977" s="448"/>
      <c r="AA977" s="464"/>
      <c r="AD977" s="448"/>
      <c r="AE977" s="464"/>
      <c r="AH977" s="448"/>
      <c r="AI977" s="464"/>
      <c r="AL977" s="448"/>
      <c r="AP977" s="448"/>
    </row>
    <row r="978" spans="1:42" ht="13">
      <c r="A978" s="462"/>
      <c r="B978" s="462"/>
      <c r="N978" s="448"/>
      <c r="O978" s="464"/>
      <c r="R978" s="448"/>
      <c r="S978" s="464"/>
      <c r="V978" s="448"/>
      <c r="W978" s="464"/>
      <c r="Z978" s="448"/>
      <c r="AA978" s="464"/>
      <c r="AD978" s="448"/>
      <c r="AE978" s="464"/>
      <c r="AH978" s="448"/>
      <c r="AI978" s="464"/>
      <c r="AL978" s="448"/>
      <c r="AP978" s="448"/>
    </row>
    <row r="979" spans="1:42" ht="13">
      <c r="A979" s="462"/>
      <c r="B979" s="462"/>
      <c r="N979" s="448"/>
      <c r="O979" s="464"/>
      <c r="R979" s="448"/>
      <c r="S979" s="464"/>
      <c r="V979" s="448"/>
      <c r="W979" s="464"/>
      <c r="Z979" s="448"/>
      <c r="AA979" s="464"/>
      <c r="AD979" s="448"/>
      <c r="AE979" s="464"/>
      <c r="AH979" s="448"/>
      <c r="AI979" s="464"/>
      <c r="AL979" s="448"/>
      <c r="AP979" s="448"/>
    </row>
    <row r="980" spans="1:42" ht="13">
      <c r="A980" s="462"/>
      <c r="B980" s="462"/>
      <c r="N980" s="448"/>
      <c r="O980" s="464"/>
      <c r="R980" s="448"/>
      <c r="S980" s="464"/>
      <c r="V980" s="448"/>
      <c r="W980" s="464"/>
      <c r="Z980" s="448"/>
      <c r="AA980" s="464"/>
      <c r="AD980" s="448"/>
      <c r="AE980" s="464"/>
      <c r="AH980" s="448"/>
      <c r="AI980" s="464"/>
      <c r="AL980" s="448"/>
      <c r="AP980" s="448"/>
    </row>
    <row r="981" spans="1:42" ht="13">
      <c r="A981" s="462"/>
      <c r="B981" s="462"/>
      <c r="N981" s="448"/>
      <c r="O981" s="464"/>
      <c r="R981" s="448"/>
      <c r="S981" s="464"/>
      <c r="V981" s="448"/>
      <c r="W981" s="464"/>
      <c r="Z981" s="448"/>
      <c r="AA981" s="464"/>
      <c r="AD981" s="448"/>
      <c r="AE981" s="464"/>
      <c r="AH981" s="448"/>
      <c r="AI981" s="464"/>
      <c r="AL981" s="448"/>
      <c r="AP981" s="448"/>
    </row>
    <row r="982" spans="1:42" ht="13">
      <c r="A982" s="462"/>
      <c r="B982" s="462"/>
      <c r="N982" s="448"/>
      <c r="O982" s="464"/>
      <c r="R982" s="448"/>
      <c r="S982" s="464"/>
      <c r="V982" s="448"/>
      <c r="W982" s="464"/>
      <c r="Z982" s="448"/>
      <c r="AA982" s="464"/>
      <c r="AD982" s="448"/>
      <c r="AE982" s="464"/>
      <c r="AH982" s="448"/>
      <c r="AI982" s="464"/>
      <c r="AL982" s="448"/>
      <c r="AP982" s="448"/>
    </row>
    <row r="983" spans="1:42" ht="13">
      <c r="A983" s="462"/>
      <c r="B983" s="462"/>
      <c r="N983" s="448"/>
      <c r="O983" s="464"/>
      <c r="R983" s="448"/>
      <c r="S983" s="464"/>
      <c r="V983" s="448"/>
      <c r="W983" s="464"/>
      <c r="Z983" s="448"/>
      <c r="AA983" s="464"/>
      <c r="AD983" s="448"/>
      <c r="AE983" s="464"/>
      <c r="AH983" s="448"/>
      <c r="AI983" s="464"/>
      <c r="AL983" s="448"/>
      <c r="AP983" s="448"/>
    </row>
    <row r="984" spans="1:42" ht="13">
      <c r="A984" s="462"/>
      <c r="B984" s="462"/>
      <c r="N984" s="448"/>
      <c r="O984" s="464"/>
      <c r="R984" s="448"/>
      <c r="S984" s="464"/>
      <c r="V984" s="448"/>
      <c r="W984" s="464"/>
      <c r="Z984" s="448"/>
      <c r="AA984" s="464"/>
      <c r="AD984" s="448"/>
      <c r="AE984" s="464"/>
      <c r="AH984" s="448"/>
      <c r="AI984" s="464"/>
      <c r="AL984" s="448"/>
      <c r="AP984" s="448"/>
    </row>
    <row r="985" spans="1:42" ht="13">
      <c r="A985" s="462"/>
      <c r="B985" s="462"/>
      <c r="N985" s="448"/>
      <c r="O985" s="464"/>
      <c r="R985" s="448"/>
      <c r="S985" s="464"/>
      <c r="V985" s="448"/>
      <c r="W985" s="464"/>
      <c r="Z985" s="448"/>
      <c r="AA985" s="464"/>
      <c r="AD985" s="448"/>
      <c r="AE985" s="464"/>
      <c r="AH985" s="448"/>
      <c r="AI985" s="464"/>
      <c r="AL985" s="448"/>
      <c r="AP985" s="448"/>
    </row>
    <row r="986" spans="1:42" ht="13">
      <c r="A986" s="462"/>
      <c r="B986" s="462"/>
      <c r="N986" s="448"/>
      <c r="O986" s="464"/>
      <c r="R986" s="448"/>
      <c r="S986" s="464"/>
      <c r="V986" s="448"/>
      <c r="W986" s="464"/>
      <c r="Z986" s="448"/>
      <c r="AA986" s="464"/>
      <c r="AD986" s="448"/>
      <c r="AE986" s="464"/>
      <c r="AH986" s="448"/>
      <c r="AI986" s="464"/>
      <c r="AL986" s="448"/>
      <c r="AP986" s="448"/>
    </row>
    <row r="987" spans="1:42" ht="13">
      <c r="A987" s="462"/>
      <c r="B987" s="462"/>
      <c r="N987" s="448"/>
      <c r="O987" s="464"/>
      <c r="R987" s="448"/>
      <c r="S987" s="464"/>
      <c r="V987" s="448"/>
      <c r="W987" s="464"/>
      <c r="Z987" s="448"/>
      <c r="AA987" s="464"/>
      <c r="AD987" s="448"/>
      <c r="AE987" s="464"/>
      <c r="AH987" s="448"/>
      <c r="AI987" s="464"/>
      <c r="AL987" s="448"/>
      <c r="AP987" s="448"/>
    </row>
    <row r="988" spans="1:42" ht="13">
      <c r="A988" s="462"/>
      <c r="B988" s="462"/>
      <c r="N988" s="448"/>
      <c r="O988" s="464"/>
      <c r="R988" s="448"/>
      <c r="S988" s="464"/>
      <c r="V988" s="448"/>
      <c r="W988" s="464"/>
      <c r="Z988" s="448"/>
      <c r="AA988" s="464"/>
      <c r="AD988" s="448"/>
      <c r="AE988" s="464"/>
      <c r="AH988" s="448"/>
      <c r="AI988" s="464"/>
      <c r="AL988" s="448"/>
      <c r="AP988" s="448"/>
    </row>
    <row r="989" spans="1:42" ht="13">
      <c r="A989" s="462"/>
      <c r="B989" s="462"/>
      <c r="N989" s="448"/>
      <c r="O989" s="464"/>
      <c r="R989" s="448"/>
      <c r="S989" s="464"/>
      <c r="V989" s="448"/>
      <c r="W989" s="464"/>
      <c r="Z989" s="448"/>
      <c r="AA989" s="464"/>
      <c r="AD989" s="448"/>
      <c r="AE989" s="464"/>
      <c r="AH989" s="448"/>
      <c r="AI989" s="464"/>
      <c r="AL989" s="448"/>
      <c r="AP989" s="448"/>
    </row>
    <row r="990" spans="1:42" ht="13">
      <c r="A990" s="462"/>
      <c r="B990" s="462"/>
      <c r="N990" s="448"/>
      <c r="O990" s="464"/>
      <c r="R990" s="448"/>
      <c r="S990" s="464"/>
      <c r="V990" s="448"/>
      <c r="W990" s="464"/>
      <c r="Z990" s="448"/>
      <c r="AA990" s="464"/>
      <c r="AD990" s="448"/>
      <c r="AE990" s="464"/>
      <c r="AH990" s="448"/>
      <c r="AI990" s="464"/>
      <c r="AL990" s="448"/>
      <c r="AP990" s="448"/>
    </row>
    <row r="991" spans="1:42" ht="13">
      <c r="A991" s="462"/>
      <c r="B991" s="462"/>
      <c r="N991" s="448"/>
      <c r="O991" s="464"/>
      <c r="R991" s="448"/>
      <c r="S991" s="464"/>
      <c r="V991" s="448"/>
      <c r="W991" s="464"/>
      <c r="Z991" s="448"/>
      <c r="AA991" s="464"/>
      <c r="AD991" s="448"/>
      <c r="AE991" s="464"/>
      <c r="AH991" s="448"/>
      <c r="AI991" s="464"/>
      <c r="AL991" s="448"/>
      <c r="AP991" s="448"/>
    </row>
    <row r="992" spans="1:42" ht="13">
      <c r="A992" s="462"/>
      <c r="B992" s="462"/>
      <c r="N992" s="448"/>
      <c r="O992" s="464"/>
      <c r="R992" s="448"/>
      <c r="S992" s="464"/>
      <c r="V992" s="448"/>
      <c r="W992" s="464"/>
      <c r="Z992" s="448"/>
      <c r="AA992" s="464"/>
      <c r="AD992" s="448"/>
      <c r="AE992" s="464"/>
      <c r="AH992" s="448"/>
      <c r="AI992" s="464"/>
      <c r="AL992" s="448"/>
      <c r="AP992" s="448"/>
    </row>
    <row r="993" spans="1:42" ht="13">
      <c r="A993" s="462"/>
      <c r="B993" s="462"/>
      <c r="N993" s="448"/>
      <c r="O993" s="464"/>
      <c r="R993" s="448"/>
      <c r="S993" s="464"/>
      <c r="V993" s="448"/>
      <c r="W993" s="464"/>
      <c r="Z993" s="448"/>
      <c r="AA993" s="464"/>
      <c r="AD993" s="448"/>
      <c r="AE993" s="464"/>
      <c r="AH993" s="448"/>
      <c r="AI993" s="464"/>
      <c r="AL993" s="448"/>
      <c r="AP993" s="448"/>
    </row>
    <row r="994" spans="1:42" ht="13">
      <c r="A994" s="462"/>
      <c r="B994" s="462"/>
      <c r="N994" s="448"/>
      <c r="O994" s="464"/>
      <c r="R994" s="448"/>
      <c r="S994" s="464"/>
      <c r="V994" s="448"/>
      <c r="W994" s="464"/>
      <c r="Z994" s="448"/>
      <c r="AA994" s="464"/>
      <c r="AD994" s="448"/>
      <c r="AE994" s="464"/>
      <c r="AH994" s="448"/>
      <c r="AI994" s="464"/>
      <c r="AL994" s="448"/>
      <c r="AP994" s="448"/>
    </row>
    <row r="995" spans="1:42" ht="13">
      <c r="A995" s="462"/>
      <c r="B995" s="462"/>
      <c r="N995" s="448"/>
      <c r="O995" s="464"/>
      <c r="R995" s="448"/>
      <c r="S995" s="464"/>
      <c r="V995" s="448"/>
      <c r="W995" s="464"/>
      <c r="Z995" s="448"/>
      <c r="AA995" s="464"/>
      <c r="AD995" s="448"/>
      <c r="AE995" s="464"/>
      <c r="AH995" s="448"/>
      <c r="AI995" s="464"/>
      <c r="AL995" s="448"/>
      <c r="AP995" s="448"/>
    </row>
    <row r="996" spans="1:42" ht="13">
      <c r="A996" s="462"/>
      <c r="B996" s="462"/>
      <c r="N996" s="448"/>
      <c r="O996" s="464"/>
      <c r="R996" s="448"/>
      <c r="S996" s="464"/>
      <c r="V996" s="448"/>
      <c r="W996" s="464"/>
      <c r="Z996" s="448"/>
      <c r="AA996" s="464"/>
      <c r="AD996" s="448"/>
      <c r="AE996" s="464"/>
      <c r="AH996" s="448"/>
      <c r="AI996" s="464"/>
      <c r="AL996" s="448"/>
      <c r="AP996" s="448"/>
    </row>
    <row r="997" spans="1:42" ht="13">
      <c r="A997" s="462"/>
      <c r="B997" s="462"/>
      <c r="N997" s="448"/>
      <c r="O997" s="464"/>
      <c r="R997" s="448"/>
      <c r="S997" s="464"/>
      <c r="V997" s="448"/>
      <c r="W997" s="464"/>
      <c r="Z997" s="448"/>
      <c r="AA997" s="464"/>
      <c r="AD997" s="448"/>
      <c r="AE997" s="464"/>
      <c r="AH997" s="448"/>
      <c r="AI997" s="464"/>
      <c r="AL997" s="448"/>
      <c r="AP997" s="448"/>
    </row>
    <row r="998" spans="1:42" ht="13">
      <c r="A998" s="462"/>
      <c r="B998" s="462"/>
      <c r="N998" s="448"/>
      <c r="O998" s="464"/>
      <c r="R998" s="448"/>
      <c r="S998" s="464"/>
      <c r="V998" s="448"/>
      <c r="W998" s="464"/>
      <c r="Z998" s="448"/>
      <c r="AA998" s="464"/>
      <c r="AD998" s="448"/>
      <c r="AE998" s="464"/>
      <c r="AH998" s="448"/>
      <c r="AI998" s="464"/>
      <c r="AL998" s="448"/>
      <c r="AP998" s="448"/>
    </row>
    <row r="999" spans="1:42" ht="13">
      <c r="A999" s="462"/>
      <c r="B999" s="462"/>
      <c r="N999" s="448"/>
      <c r="O999" s="464"/>
      <c r="R999" s="448"/>
      <c r="S999" s="464"/>
      <c r="V999" s="448"/>
      <c r="W999" s="464"/>
      <c r="Z999" s="448"/>
      <c r="AA999" s="464"/>
      <c r="AD999" s="448"/>
      <c r="AE999" s="464"/>
      <c r="AH999" s="448"/>
      <c r="AI999" s="464"/>
      <c r="AL999" s="448"/>
      <c r="AP999" s="448"/>
    </row>
    <row r="1000" spans="1:42" ht="13">
      <c r="A1000" s="462"/>
      <c r="B1000" s="462"/>
      <c r="N1000" s="448"/>
      <c r="O1000" s="464"/>
      <c r="R1000" s="448"/>
      <c r="S1000" s="464"/>
      <c r="V1000" s="448"/>
      <c r="W1000" s="464"/>
      <c r="Z1000" s="448"/>
      <c r="AA1000" s="464"/>
      <c r="AD1000" s="448"/>
      <c r="AE1000" s="464"/>
      <c r="AH1000" s="448"/>
      <c r="AI1000" s="464"/>
      <c r="AL1000" s="448"/>
      <c r="AP1000" s="448"/>
    </row>
    <row r="1001" spans="1:42" ht="13">
      <c r="A1001" s="462"/>
      <c r="B1001" s="462"/>
      <c r="N1001" s="448"/>
      <c r="O1001" s="464"/>
      <c r="R1001" s="448"/>
      <c r="S1001" s="464"/>
      <c r="V1001" s="448"/>
      <c r="W1001" s="464"/>
      <c r="Z1001" s="448"/>
      <c r="AA1001" s="464"/>
      <c r="AD1001" s="448"/>
      <c r="AE1001" s="464"/>
      <c r="AH1001" s="448"/>
      <c r="AI1001" s="464"/>
      <c r="AL1001" s="448"/>
      <c r="AP1001" s="448"/>
    </row>
    <row r="1002" spans="1:42" ht="13">
      <c r="A1002" s="462"/>
      <c r="B1002" s="462"/>
      <c r="N1002" s="448"/>
      <c r="O1002" s="464"/>
      <c r="R1002" s="448"/>
      <c r="S1002" s="464"/>
      <c r="V1002" s="448"/>
      <c r="W1002" s="464"/>
      <c r="Z1002" s="448"/>
      <c r="AA1002" s="464"/>
      <c r="AD1002" s="448"/>
      <c r="AE1002" s="464"/>
      <c r="AH1002" s="448"/>
      <c r="AI1002" s="464"/>
      <c r="AL1002" s="448"/>
      <c r="AP1002" s="448"/>
    </row>
    <row r="1003" spans="1:42" ht="13">
      <c r="A1003" s="462"/>
      <c r="B1003" s="462"/>
      <c r="N1003" s="448"/>
      <c r="O1003" s="464"/>
      <c r="R1003" s="448"/>
      <c r="S1003" s="464"/>
      <c r="V1003" s="448"/>
      <c r="W1003" s="464"/>
      <c r="Z1003" s="448"/>
      <c r="AA1003" s="464"/>
      <c r="AD1003" s="448"/>
      <c r="AE1003" s="464"/>
      <c r="AH1003" s="448"/>
      <c r="AI1003" s="464"/>
      <c r="AL1003" s="448"/>
      <c r="AP1003" s="448"/>
    </row>
    <row r="1004" spans="1:42" ht="13">
      <c r="A1004" s="462"/>
      <c r="B1004" s="462"/>
      <c r="N1004" s="448"/>
      <c r="O1004" s="464"/>
      <c r="R1004" s="448"/>
      <c r="S1004" s="464"/>
      <c r="V1004" s="448"/>
      <c r="W1004" s="464"/>
      <c r="Z1004" s="448"/>
      <c r="AA1004" s="464"/>
      <c r="AD1004" s="448"/>
      <c r="AE1004" s="464"/>
      <c r="AH1004" s="448"/>
      <c r="AI1004" s="464"/>
      <c r="AL1004" s="448"/>
      <c r="AP1004" s="448"/>
    </row>
    <row r="1005" spans="1:42" ht="13">
      <c r="A1005" s="462"/>
      <c r="B1005" s="462"/>
      <c r="N1005" s="448"/>
      <c r="O1005" s="464"/>
      <c r="R1005" s="448"/>
      <c r="S1005" s="464"/>
      <c r="V1005" s="448"/>
      <c r="W1005" s="464"/>
      <c r="Z1005" s="448"/>
      <c r="AA1005" s="464"/>
      <c r="AD1005" s="448"/>
      <c r="AE1005" s="464"/>
      <c r="AH1005" s="448"/>
      <c r="AI1005" s="464"/>
      <c r="AL1005" s="448"/>
      <c r="AP1005" s="448"/>
    </row>
    <row r="1006" spans="1:42" ht="13">
      <c r="A1006" s="462"/>
      <c r="B1006" s="462"/>
      <c r="N1006" s="448"/>
      <c r="O1006" s="464"/>
      <c r="R1006" s="448"/>
      <c r="S1006" s="464"/>
      <c r="V1006" s="448"/>
      <c r="W1006" s="464"/>
      <c r="Z1006" s="448"/>
      <c r="AA1006" s="464"/>
      <c r="AD1006" s="448"/>
      <c r="AE1006" s="464"/>
      <c r="AH1006" s="448"/>
      <c r="AI1006" s="464"/>
      <c r="AL1006" s="448"/>
      <c r="AP1006" s="448"/>
    </row>
    <row r="1007" spans="1:42" ht="13">
      <c r="A1007" s="462"/>
      <c r="B1007" s="462"/>
      <c r="N1007" s="448"/>
      <c r="O1007" s="464"/>
      <c r="R1007" s="448"/>
      <c r="S1007" s="464"/>
      <c r="V1007" s="448"/>
      <c r="W1007" s="464"/>
      <c r="Z1007" s="448"/>
      <c r="AA1007" s="464"/>
      <c r="AD1007" s="448"/>
      <c r="AE1007" s="464"/>
      <c r="AH1007" s="448"/>
      <c r="AI1007" s="464"/>
      <c r="AL1007" s="448"/>
      <c r="AP1007" s="448"/>
    </row>
    <row r="1008" spans="1:42" ht="13">
      <c r="A1008" s="462"/>
      <c r="B1008" s="462"/>
      <c r="N1008" s="448"/>
      <c r="O1008" s="464"/>
      <c r="R1008" s="448"/>
      <c r="S1008" s="464"/>
      <c r="V1008" s="448"/>
      <c r="W1008" s="464"/>
      <c r="Z1008" s="448"/>
      <c r="AA1008" s="464"/>
      <c r="AD1008" s="448"/>
      <c r="AE1008" s="464"/>
      <c r="AH1008" s="448"/>
      <c r="AI1008" s="464"/>
      <c r="AL1008" s="448"/>
      <c r="AP1008" s="448"/>
    </row>
    <row r="1009" spans="1:42" ht="13">
      <c r="A1009" s="462"/>
      <c r="B1009" s="462"/>
      <c r="N1009" s="448"/>
      <c r="O1009" s="464"/>
      <c r="R1009" s="448"/>
      <c r="S1009" s="464"/>
      <c r="V1009" s="448"/>
      <c r="W1009" s="464"/>
      <c r="Z1009" s="448"/>
      <c r="AA1009" s="464"/>
      <c r="AD1009" s="448"/>
      <c r="AE1009" s="464"/>
      <c r="AH1009" s="448"/>
      <c r="AI1009" s="464"/>
      <c r="AL1009" s="448"/>
      <c r="AP1009" s="448"/>
    </row>
    <row r="1010" spans="1:42" ht="13">
      <c r="A1010" s="462"/>
      <c r="B1010" s="462"/>
      <c r="N1010" s="448"/>
      <c r="O1010" s="464"/>
      <c r="R1010" s="448"/>
      <c r="S1010" s="464"/>
      <c r="V1010" s="448"/>
      <c r="W1010" s="464"/>
      <c r="Z1010" s="448"/>
      <c r="AA1010" s="464"/>
      <c r="AD1010" s="448"/>
      <c r="AE1010" s="464"/>
      <c r="AH1010" s="448"/>
      <c r="AI1010" s="464"/>
      <c r="AL1010" s="448"/>
      <c r="AP1010" s="44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T1010"/>
  <sheetViews>
    <sheetView workbookViewId="0">
      <pane xSplit="2" ySplit="11" topLeftCell="C12" activePane="bottomRight" state="frozen"/>
      <selection pane="topRight" activeCell="C1" sqref="C1"/>
      <selection pane="bottomLeft" activeCell="A12" sqref="A12"/>
      <selection pane="bottomRight" activeCell="C12" sqref="C12"/>
    </sheetView>
  </sheetViews>
  <sheetFormatPr baseColWidth="10" defaultColWidth="14.5" defaultRowHeight="15.75" customHeight="1"/>
  <cols>
    <col min="3" max="3" width="21.83203125" customWidth="1"/>
    <col min="6" max="13" width="14.5" hidden="1"/>
    <col min="14" max="14" width="3" customWidth="1"/>
    <col min="18" max="18" width="3" customWidth="1"/>
    <col min="22" max="22" width="3" customWidth="1"/>
    <col min="26" max="26" width="3" customWidth="1"/>
    <col min="30" max="30" width="3" customWidth="1"/>
    <col min="34" max="34" width="3" customWidth="1"/>
    <col min="38" max="38" width="3" customWidth="1"/>
    <col min="42" max="42" width="3" customWidth="1"/>
  </cols>
  <sheetData>
    <row r="1" spans="1:46" ht="15.75" customHeight="1">
      <c r="A1" s="445" t="s">
        <v>1435</v>
      </c>
      <c r="B1" s="445" t="s">
        <v>1436</v>
      </c>
      <c r="C1" s="446"/>
      <c r="D1" s="447"/>
      <c r="E1" s="446" t="s">
        <v>1437</v>
      </c>
      <c r="F1" s="447"/>
      <c r="G1" s="446"/>
      <c r="H1" s="447"/>
      <c r="I1" s="447"/>
      <c r="J1" s="447"/>
      <c r="K1" s="447"/>
      <c r="L1" s="447"/>
      <c r="M1" s="447"/>
      <c r="N1" s="448"/>
      <c r="O1" s="449"/>
      <c r="P1" s="446"/>
      <c r="Q1" s="450" t="s">
        <v>524</v>
      </c>
      <c r="R1" s="448"/>
      <c r="S1" s="451"/>
      <c r="T1" s="452"/>
      <c r="U1" s="450" t="s">
        <v>469</v>
      </c>
      <c r="V1" s="448"/>
      <c r="W1" s="451"/>
      <c r="X1" s="453"/>
      <c r="Y1" s="450" t="s">
        <v>1350</v>
      </c>
      <c r="Z1" s="448"/>
      <c r="AA1" s="451"/>
      <c r="AB1" s="453"/>
      <c r="AC1" s="450" t="s">
        <v>876</v>
      </c>
      <c r="AD1" s="448"/>
      <c r="AE1" s="451"/>
      <c r="AF1" s="453"/>
      <c r="AG1" s="450" t="s">
        <v>786</v>
      </c>
      <c r="AH1" s="448"/>
      <c r="AI1" s="451"/>
      <c r="AJ1" s="447"/>
      <c r="AK1" s="450" t="s">
        <v>994</v>
      </c>
      <c r="AL1" s="448"/>
      <c r="AM1" s="447"/>
      <c r="AN1" s="447"/>
      <c r="AO1" s="450" t="s">
        <v>851</v>
      </c>
      <c r="AP1" s="448"/>
      <c r="AQ1" s="447"/>
      <c r="AR1" s="447"/>
      <c r="AS1" s="454" t="s">
        <v>368</v>
      </c>
      <c r="AT1" s="447"/>
    </row>
    <row r="2" spans="1:46" ht="15.75" customHeight="1">
      <c r="A2" s="455" t="s">
        <v>354</v>
      </c>
      <c r="B2" s="455" t="s">
        <v>1626</v>
      </c>
      <c r="C2" s="446"/>
      <c r="D2" s="447"/>
      <c r="E2" s="447">
        <f t="shared" ref="E2:E4" ca="1" si="0">COUNTIF(E$12:E$202, $B2)</f>
        <v>37</v>
      </c>
      <c r="F2" s="447"/>
      <c r="G2" s="446"/>
      <c r="H2" s="447"/>
      <c r="I2" s="447"/>
      <c r="J2" s="447"/>
      <c r="K2" s="447"/>
      <c r="L2" s="447"/>
      <c r="M2" s="447"/>
      <c r="N2" s="448"/>
      <c r="O2" s="449"/>
      <c r="P2" s="447"/>
      <c r="Q2" s="447">
        <f t="shared" ref="Q2:Q4" ca="1" si="1">COUNTIF(Q$12:Q$202, $B2)</f>
        <v>1</v>
      </c>
      <c r="R2" s="448"/>
      <c r="S2" s="451"/>
      <c r="T2" s="447"/>
      <c r="U2" s="447">
        <f t="shared" ref="U2:U4" ca="1" si="2">COUNTIF(U$12:U$202, $B2)</f>
        <v>2</v>
      </c>
      <c r="V2" s="448"/>
      <c r="W2" s="451"/>
      <c r="X2" s="447"/>
      <c r="Y2" s="447">
        <f t="shared" ref="Y2:Y4" ca="1" si="3">COUNTIF(Y$12:Y$202, $B2)</f>
        <v>4</v>
      </c>
      <c r="Z2" s="448"/>
      <c r="AA2" s="451"/>
      <c r="AB2" s="447"/>
      <c r="AC2" s="447">
        <f t="shared" ref="AC2:AC4" ca="1" si="4">COUNTIF(AC$12:AC$202, $B2)</f>
        <v>5</v>
      </c>
      <c r="AD2" s="448"/>
      <c r="AE2" s="451"/>
      <c r="AF2" s="447"/>
      <c r="AG2" s="447">
        <f t="shared" ref="AG2:AG4" ca="1" si="5">COUNTIF(AG$12:AG$202, $B2)</f>
        <v>2</v>
      </c>
      <c r="AH2" s="448"/>
      <c r="AI2" s="451"/>
      <c r="AJ2" s="447"/>
      <c r="AK2" s="447">
        <f t="shared" ref="AK2:AK4" ca="1" si="6">COUNTIF(AK$12:AK$202, $B2)</f>
        <v>9</v>
      </c>
      <c r="AL2" s="448"/>
      <c r="AM2" s="447"/>
      <c r="AN2" s="447"/>
      <c r="AO2" s="447">
        <f t="shared" ref="AO2:AO4" ca="1" si="7">COUNTIF(AO$12:AO$202, $B2)</f>
        <v>6</v>
      </c>
      <c r="AP2" s="448"/>
      <c r="AQ2" s="447"/>
      <c r="AR2" s="447"/>
      <c r="AS2" s="447">
        <f t="shared" ref="AS2:AS4" ca="1" si="8">COUNTIF(AS$12:AS$202, $B2)</f>
        <v>6</v>
      </c>
      <c r="AT2" s="447"/>
    </row>
    <row r="3" spans="1:46" ht="15.75" customHeight="1">
      <c r="A3" s="455" t="s">
        <v>355</v>
      </c>
      <c r="B3" s="455" t="s">
        <v>1635</v>
      </c>
      <c r="C3" s="446"/>
      <c r="D3" s="447"/>
      <c r="E3" s="447">
        <f t="shared" ca="1" si="0"/>
        <v>6</v>
      </c>
      <c r="F3" s="447"/>
      <c r="G3" s="446"/>
      <c r="H3" s="447"/>
      <c r="I3" s="447"/>
      <c r="J3" s="447"/>
      <c r="K3" s="447"/>
      <c r="L3" s="447"/>
      <c r="M3" s="447"/>
      <c r="N3" s="448"/>
      <c r="O3" s="449"/>
      <c r="P3" s="447"/>
      <c r="Q3" s="447">
        <f t="shared" ca="1" si="1"/>
        <v>1</v>
      </c>
      <c r="R3" s="448"/>
      <c r="S3" s="451"/>
      <c r="T3" s="447"/>
      <c r="U3" s="447">
        <f t="shared" ca="1" si="2"/>
        <v>0</v>
      </c>
      <c r="V3" s="448"/>
      <c r="W3" s="451"/>
      <c r="X3" s="447"/>
      <c r="Y3" s="447">
        <f t="shared" ca="1" si="3"/>
        <v>0</v>
      </c>
      <c r="Z3" s="448"/>
      <c r="AA3" s="451"/>
      <c r="AB3" s="447"/>
      <c r="AC3" s="447">
        <f t="shared" ca="1" si="4"/>
        <v>1</v>
      </c>
      <c r="AD3" s="448"/>
      <c r="AE3" s="451"/>
      <c r="AF3" s="447"/>
      <c r="AG3" s="447">
        <f t="shared" ca="1" si="5"/>
        <v>0</v>
      </c>
      <c r="AH3" s="448"/>
      <c r="AI3" s="451"/>
      <c r="AJ3" s="447"/>
      <c r="AK3" s="447">
        <f t="shared" ca="1" si="6"/>
        <v>0</v>
      </c>
      <c r="AL3" s="448"/>
      <c r="AM3" s="447"/>
      <c r="AN3" s="447"/>
      <c r="AO3" s="447">
        <f t="shared" ca="1" si="7"/>
        <v>2</v>
      </c>
      <c r="AP3" s="448"/>
      <c r="AQ3" s="447"/>
      <c r="AR3" s="447"/>
      <c r="AS3" s="447">
        <f t="shared" ca="1" si="8"/>
        <v>0</v>
      </c>
      <c r="AT3" s="447"/>
    </row>
    <row r="4" spans="1:46" ht="15.75" customHeight="1">
      <c r="A4" s="455" t="s">
        <v>385</v>
      </c>
      <c r="B4" s="455" t="s">
        <v>1446</v>
      </c>
      <c r="C4" s="446"/>
      <c r="D4" s="447"/>
      <c r="E4" s="447">
        <f t="shared" ca="1" si="0"/>
        <v>128</v>
      </c>
      <c r="F4" s="447"/>
      <c r="G4" s="446"/>
      <c r="H4" s="447"/>
      <c r="I4" s="447"/>
      <c r="J4" s="447"/>
      <c r="K4" s="447"/>
      <c r="L4" s="447"/>
      <c r="M4" s="447"/>
      <c r="N4" s="448"/>
      <c r="O4" s="449"/>
      <c r="P4" s="447"/>
      <c r="Q4" s="447">
        <f t="shared" ca="1" si="1"/>
        <v>18</v>
      </c>
      <c r="R4" s="448"/>
      <c r="S4" s="451"/>
      <c r="T4" s="447"/>
      <c r="U4" s="447">
        <f t="shared" ca="1" si="2"/>
        <v>18</v>
      </c>
      <c r="V4" s="448"/>
      <c r="W4" s="451"/>
      <c r="X4" s="447"/>
      <c r="Y4" s="447">
        <f t="shared" ca="1" si="3"/>
        <v>16</v>
      </c>
      <c r="Z4" s="448"/>
      <c r="AA4" s="451"/>
      <c r="AB4" s="447"/>
      <c r="AC4" s="447">
        <f t="shared" ca="1" si="4"/>
        <v>14</v>
      </c>
      <c r="AD4" s="448"/>
      <c r="AE4" s="451"/>
      <c r="AF4" s="447"/>
      <c r="AG4" s="447">
        <f t="shared" ca="1" si="5"/>
        <v>18</v>
      </c>
      <c r="AH4" s="448"/>
      <c r="AI4" s="451"/>
      <c r="AJ4" s="447"/>
      <c r="AK4" s="447">
        <f t="shared" ca="1" si="6"/>
        <v>11</v>
      </c>
      <c r="AL4" s="448"/>
      <c r="AM4" s="447"/>
      <c r="AN4" s="447"/>
      <c r="AO4" s="447">
        <f t="shared" ca="1" si="7"/>
        <v>12</v>
      </c>
      <c r="AP4" s="448"/>
      <c r="AQ4" s="447"/>
      <c r="AR4" s="447"/>
      <c r="AS4" s="447">
        <f t="shared" ca="1" si="8"/>
        <v>14</v>
      </c>
      <c r="AT4" s="447"/>
    </row>
    <row r="5" spans="1:46" ht="15.75" customHeight="1">
      <c r="A5" s="455"/>
      <c r="B5" s="455"/>
      <c r="C5" s="446"/>
      <c r="D5" s="447"/>
      <c r="E5" s="447"/>
      <c r="F5" s="447"/>
      <c r="G5" s="446"/>
      <c r="H5" s="447"/>
      <c r="I5" s="447"/>
      <c r="J5" s="447"/>
      <c r="K5" s="447"/>
      <c r="L5" s="447"/>
      <c r="M5" s="447"/>
      <c r="N5" s="448"/>
      <c r="O5" s="449"/>
      <c r="P5" s="447"/>
      <c r="Q5" s="447"/>
      <c r="R5" s="448"/>
      <c r="S5" s="451"/>
      <c r="T5" s="447"/>
      <c r="U5" s="447"/>
      <c r="V5" s="448"/>
      <c r="W5" s="451"/>
      <c r="X5" s="447"/>
      <c r="Y5" s="447"/>
      <c r="Z5" s="448"/>
      <c r="AA5" s="451"/>
      <c r="AB5" s="447"/>
      <c r="AC5" s="447"/>
      <c r="AD5" s="448"/>
      <c r="AE5" s="451"/>
      <c r="AF5" s="447"/>
      <c r="AG5" s="447"/>
      <c r="AH5" s="448"/>
      <c r="AI5" s="451"/>
      <c r="AJ5" s="447"/>
      <c r="AK5" s="447"/>
      <c r="AL5" s="448"/>
      <c r="AM5" s="447"/>
      <c r="AN5" s="447"/>
      <c r="AO5" s="447"/>
      <c r="AP5" s="448"/>
      <c r="AQ5" s="447"/>
      <c r="AR5" s="447"/>
      <c r="AS5" s="447"/>
      <c r="AT5" s="447"/>
    </row>
    <row r="6" spans="1:46" ht="15.75" customHeight="1">
      <c r="A6" s="455"/>
      <c r="B6" s="455"/>
      <c r="C6" s="446"/>
      <c r="D6" s="447"/>
      <c r="E6" s="447"/>
      <c r="F6" s="447"/>
      <c r="G6" s="446"/>
      <c r="H6" s="447"/>
      <c r="I6" s="447"/>
      <c r="J6" s="447"/>
      <c r="K6" s="447"/>
      <c r="L6" s="447"/>
      <c r="M6" s="447"/>
      <c r="N6" s="448"/>
      <c r="O6" s="449"/>
      <c r="P6" s="447"/>
      <c r="Q6" s="447"/>
      <c r="R6" s="448"/>
      <c r="S6" s="451"/>
      <c r="T6" s="447"/>
      <c r="U6" s="447"/>
      <c r="V6" s="448"/>
      <c r="W6" s="451"/>
      <c r="X6" s="447"/>
      <c r="Y6" s="447"/>
      <c r="Z6" s="448"/>
      <c r="AA6" s="451"/>
      <c r="AB6" s="447"/>
      <c r="AC6" s="447"/>
      <c r="AD6" s="448"/>
      <c r="AE6" s="451"/>
      <c r="AF6" s="447"/>
      <c r="AG6" s="447"/>
      <c r="AH6" s="448"/>
      <c r="AI6" s="451"/>
      <c r="AJ6" s="447"/>
      <c r="AK6" s="447"/>
      <c r="AL6" s="448"/>
      <c r="AM6" s="447"/>
      <c r="AN6" s="447"/>
      <c r="AO6" s="447"/>
      <c r="AP6" s="448"/>
      <c r="AQ6" s="447"/>
      <c r="AR6" s="447"/>
      <c r="AS6" s="447"/>
      <c r="AT6" s="447"/>
    </row>
    <row r="7" spans="1:46" ht="15.75" customHeight="1">
      <c r="A7" s="455"/>
      <c r="B7" s="455"/>
      <c r="C7" s="446"/>
      <c r="D7" s="447"/>
      <c r="E7" s="447"/>
      <c r="F7" s="447"/>
      <c r="G7" s="446"/>
      <c r="H7" s="447"/>
      <c r="I7" s="447"/>
      <c r="J7" s="447"/>
      <c r="K7" s="447"/>
      <c r="L7" s="447"/>
      <c r="M7" s="447"/>
      <c r="N7" s="448"/>
      <c r="O7" s="449"/>
      <c r="P7" s="447"/>
      <c r="Q7" s="447"/>
      <c r="R7" s="448"/>
      <c r="S7" s="451"/>
      <c r="T7" s="447"/>
      <c r="U7" s="447"/>
      <c r="V7" s="448"/>
      <c r="W7" s="451"/>
      <c r="X7" s="447"/>
      <c r="Y7" s="447"/>
      <c r="Z7" s="448"/>
      <c r="AA7" s="451"/>
      <c r="AB7" s="447"/>
      <c r="AC7" s="447"/>
      <c r="AD7" s="448"/>
      <c r="AE7" s="451"/>
      <c r="AF7" s="447"/>
      <c r="AG7" s="447"/>
      <c r="AH7" s="448"/>
      <c r="AI7" s="451"/>
      <c r="AJ7" s="447"/>
      <c r="AK7" s="447"/>
      <c r="AL7" s="448"/>
      <c r="AM7" s="447"/>
      <c r="AN7" s="447"/>
      <c r="AO7" s="447"/>
      <c r="AP7" s="448"/>
      <c r="AQ7" s="447"/>
      <c r="AR7" s="447"/>
      <c r="AS7" s="447"/>
      <c r="AT7" s="447"/>
    </row>
    <row r="8" spans="1:46" ht="15.75" customHeight="1">
      <c r="A8" s="455"/>
      <c r="B8" s="455"/>
      <c r="C8" s="446"/>
      <c r="D8" s="447"/>
      <c r="E8" s="447"/>
      <c r="F8" s="447"/>
      <c r="G8" s="446"/>
      <c r="H8" s="447"/>
      <c r="I8" s="447"/>
      <c r="J8" s="447"/>
      <c r="K8" s="447"/>
      <c r="L8" s="447"/>
      <c r="M8" s="447"/>
      <c r="N8" s="448"/>
      <c r="O8" s="449"/>
      <c r="P8" s="447"/>
      <c r="Q8" s="447"/>
      <c r="R8" s="448"/>
      <c r="S8" s="451"/>
      <c r="T8" s="447"/>
      <c r="U8" s="447"/>
      <c r="V8" s="448"/>
      <c r="W8" s="451"/>
      <c r="X8" s="447"/>
      <c r="Y8" s="447"/>
      <c r="Z8" s="448"/>
      <c r="AA8" s="451"/>
      <c r="AB8" s="447"/>
      <c r="AC8" s="447"/>
      <c r="AD8" s="448"/>
      <c r="AE8" s="451"/>
      <c r="AF8" s="447"/>
      <c r="AG8" s="447"/>
      <c r="AH8" s="448"/>
      <c r="AI8" s="451"/>
      <c r="AJ8" s="447"/>
      <c r="AK8" s="447"/>
      <c r="AL8" s="448"/>
      <c r="AM8" s="447"/>
      <c r="AN8" s="447"/>
      <c r="AO8" s="447"/>
      <c r="AP8" s="448"/>
      <c r="AQ8" s="447"/>
      <c r="AR8" s="447"/>
      <c r="AS8" s="447"/>
      <c r="AT8" s="447"/>
    </row>
    <row r="9" spans="1:46" ht="15.75" customHeight="1">
      <c r="A9" s="455" t="s">
        <v>1451</v>
      </c>
      <c r="B9" s="455"/>
      <c r="C9" s="446"/>
      <c r="D9" s="447"/>
      <c r="E9" s="447">
        <f ca="1">COUNTA(E$12:E$202)</f>
        <v>185</v>
      </c>
      <c r="F9" s="447"/>
      <c r="G9" s="446"/>
      <c r="H9" s="447"/>
      <c r="I9" s="447"/>
      <c r="J9" s="447"/>
      <c r="K9" s="447"/>
      <c r="L9" s="447"/>
      <c r="M9" s="447"/>
      <c r="N9" s="448"/>
      <c r="O9" s="449"/>
      <c r="P9" s="447"/>
      <c r="Q9" s="447">
        <f ca="1">COUNTA(Q$12:Q$202)</f>
        <v>20</v>
      </c>
      <c r="R9" s="448"/>
      <c r="S9" s="451"/>
      <c r="T9" s="447"/>
      <c r="U9" s="447">
        <f ca="1">COUNTA(U$12:U$202)</f>
        <v>20</v>
      </c>
      <c r="V9" s="448"/>
      <c r="W9" s="451"/>
      <c r="X9" s="447"/>
      <c r="Y9" s="447">
        <f ca="1">COUNTA(Y$12:Y$202)</f>
        <v>20</v>
      </c>
      <c r="Z9" s="448"/>
      <c r="AA9" s="451"/>
      <c r="AB9" s="447"/>
      <c r="AC9" s="447">
        <f ca="1">COUNTA(AC$12:AC$202)</f>
        <v>20</v>
      </c>
      <c r="AD9" s="448"/>
      <c r="AE9" s="451"/>
      <c r="AF9" s="447"/>
      <c r="AG9" s="447">
        <f ca="1">COUNTA(AG$12:AG$202)</f>
        <v>20</v>
      </c>
      <c r="AH9" s="448"/>
      <c r="AI9" s="451"/>
      <c r="AJ9" s="447"/>
      <c r="AK9" s="447">
        <f ca="1">COUNTA(AK$12:AK$202)</f>
        <v>20</v>
      </c>
      <c r="AL9" s="448"/>
      <c r="AM9" s="447"/>
      <c r="AN9" s="447"/>
      <c r="AO9" s="447">
        <f ca="1">COUNTA(AO$12:AO$202)</f>
        <v>20</v>
      </c>
      <c r="AP9" s="448"/>
      <c r="AQ9" s="447"/>
      <c r="AR9" s="447"/>
      <c r="AS9" s="447">
        <f ca="1">COUNTA(AS$12:AS$202)</f>
        <v>20</v>
      </c>
      <c r="AT9" s="447"/>
    </row>
    <row r="10" spans="1:46" ht="15.75" customHeight="1">
      <c r="A10" s="455"/>
      <c r="B10" s="455"/>
      <c r="C10" s="446"/>
      <c r="D10" s="446" t="s">
        <v>1452</v>
      </c>
      <c r="E10" s="447">
        <f ca="1">SUM(E2:E8)</f>
        <v>171</v>
      </c>
      <c r="F10" s="447"/>
      <c r="G10" s="446"/>
      <c r="H10" s="447"/>
      <c r="I10" s="447"/>
      <c r="J10" s="447"/>
      <c r="K10" s="447"/>
      <c r="L10" s="447"/>
      <c r="M10" s="447"/>
      <c r="N10" s="448"/>
      <c r="O10" s="449"/>
      <c r="P10" s="446" t="s">
        <v>1452</v>
      </c>
      <c r="Q10" s="447">
        <f ca="1">SUM(Q2:Q8)</f>
        <v>20</v>
      </c>
      <c r="R10" s="448"/>
      <c r="S10" s="451"/>
      <c r="T10" s="446" t="s">
        <v>1452</v>
      </c>
      <c r="U10" s="447">
        <f ca="1">SUM(U2:U8)</f>
        <v>20</v>
      </c>
      <c r="V10" s="448"/>
      <c r="W10" s="451"/>
      <c r="X10" s="446" t="s">
        <v>1452</v>
      </c>
      <c r="Y10" s="447">
        <f ca="1">SUM(Y2:Y8)</f>
        <v>20</v>
      </c>
      <c r="Z10" s="448"/>
      <c r="AA10" s="451"/>
      <c r="AB10" s="446" t="s">
        <v>1452</v>
      </c>
      <c r="AC10" s="447">
        <f ca="1">SUM(AC2:AC8)</f>
        <v>20</v>
      </c>
      <c r="AD10" s="448"/>
      <c r="AE10" s="451"/>
      <c r="AF10" s="446" t="s">
        <v>1452</v>
      </c>
      <c r="AG10" s="447">
        <f ca="1">SUM(AG2:AG8)</f>
        <v>20</v>
      </c>
      <c r="AH10" s="448"/>
      <c r="AI10" s="451"/>
      <c r="AJ10" s="446" t="s">
        <v>1452</v>
      </c>
      <c r="AK10" s="447">
        <f ca="1">SUM(AK2:AK8)</f>
        <v>20</v>
      </c>
      <c r="AL10" s="448"/>
      <c r="AM10" s="447"/>
      <c r="AN10" s="446" t="s">
        <v>1452</v>
      </c>
      <c r="AO10" s="447">
        <f ca="1">SUM(AO2:AO8)</f>
        <v>20</v>
      </c>
      <c r="AP10" s="448"/>
      <c r="AQ10" s="447"/>
      <c r="AR10" s="446" t="s">
        <v>1452</v>
      </c>
      <c r="AS10" s="447">
        <f ca="1">SUM(AS2:AS8)</f>
        <v>20</v>
      </c>
      <c r="AT10" s="447"/>
    </row>
    <row r="11" spans="1:46" ht="15.75" customHeight="1">
      <c r="A11" s="458"/>
      <c r="B11" s="458"/>
      <c r="C11" s="459" t="str">
        <f>Filtered!I1</f>
        <v>title</v>
      </c>
      <c r="D11" s="459" t="str">
        <f>Filtered!J1</f>
        <v>Top journals in</v>
      </c>
      <c r="E11" s="454" t="s">
        <v>1637</v>
      </c>
      <c r="F11" s="450" t="s">
        <v>524</v>
      </c>
      <c r="G11" s="450" t="s">
        <v>469</v>
      </c>
      <c r="H11" s="450" t="s">
        <v>1350</v>
      </c>
      <c r="I11" s="450" t="s">
        <v>876</v>
      </c>
      <c r="J11" s="450" t="s">
        <v>786</v>
      </c>
      <c r="K11" s="450" t="s">
        <v>994</v>
      </c>
      <c r="L11" s="450" t="s">
        <v>851</v>
      </c>
      <c r="M11" s="454" t="s">
        <v>368</v>
      </c>
      <c r="N11" s="460"/>
      <c r="O11" s="450" t="s">
        <v>524</v>
      </c>
      <c r="P11" s="459"/>
      <c r="Q11" s="459"/>
      <c r="R11" s="460"/>
      <c r="S11" s="450" t="s">
        <v>469</v>
      </c>
      <c r="T11" s="459"/>
      <c r="U11" s="459"/>
      <c r="V11" s="460"/>
      <c r="W11" s="450" t="s">
        <v>1350</v>
      </c>
      <c r="X11" s="459"/>
      <c r="Y11" s="450"/>
      <c r="Z11" s="460"/>
      <c r="AA11" s="450" t="s">
        <v>876</v>
      </c>
      <c r="AB11" s="459"/>
      <c r="AC11" s="459"/>
      <c r="AD11" s="460"/>
      <c r="AE11" s="450" t="s">
        <v>786</v>
      </c>
      <c r="AF11" s="450"/>
      <c r="AG11" s="450"/>
      <c r="AH11" s="461"/>
      <c r="AI11" s="450" t="s">
        <v>994</v>
      </c>
      <c r="AJ11" s="450"/>
      <c r="AK11" s="450"/>
      <c r="AL11" s="461"/>
      <c r="AM11" s="450" t="s">
        <v>851</v>
      </c>
      <c r="AN11" s="450"/>
      <c r="AO11" s="450"/>
      <c r="AP11" s="461"/>
      <c r="AQ11" s="454" t="s">
        <v>368</v>
      </c>
      <c r="AR11" s="450"/>
      <c r="AS11" s="450"/>
      <c r="AT11" s="450"/>
    </row>
    <row r="12" spans="1:46" ht="15.75" customHeight="1">
      <c r="A12" s="462"/>
      <c r="B12" s="462"/>
      <c r="C12" t="str">
        <f ca="1">Filtered!I2</f>
        <v>Academic Medicine</v>
      </c>
      <c r="D12" t="str">
        <f ca="1">Filtered!J2</f>
        <v>Social Sciences</v>
      </c>
      <c r="E12" t="str">
        <f ca="1">Filtered!AD2</f>
        <v>Yes</v>
      </c>
      <c r="F12" t="b">
        <f t="shared" ref="F12:F182" ca="1" si="9">IF(ISERROR(SEARCH("bus",$D12)),FALSE,TRUE)</f>
        <v>0</v>
      </c>
      <c r="G12" t="b">
        <f t="shared" ref="G12:G182" ca="1" si="10">IF(ISERROR(SEARCH("chem",$D12)),FALSE,TRUE)</f>
        <v>0</v>
      </c>
      <c r="H12" t="b">
        <f t="shared" ref="H12:H182" ca="1" si="11">IF(ISERROR(SEARCH("computer",$D12)),FALSE,TRUE)</f>
        <v>0</v>
      </c>
      <c r="I12" t="b">
        <f t="shared" ref="I12:I182" ca="1" si="12">IF(ISERROR(SEARCH("health",$D12)),FALSE,TRUE)</f>
        <v>0</v>
      </c>
      <c r="J12" t="b">
        <f t="shared" ref="J12:J182" ca="1" si="13">IF(ISERROR(SEARCH("humanities",$D12)),FALSE,TRUE)</f>
        <v>0</v>
      </c>
      <c r="K12" t="b">
        <f t="shared" ref="K12:K182" ca="1" si="14">IF(ISERROR(SEARCH("life",$D12)),FALSE,TRUE)</f>
        <v>0</v>
      </c>
      <c r="L12" t="b">
        <f t="shared" ref="L12:L182" ca="1" si="15">IF(ISERROR(SEARCH("physics",$D12)),FALSE,TRUE)</f>
        <v>0</v>
      </c>
      <c r="M12" t="b">
        <f t="shared" ref="M12:M182" ca="1" si="16">IF(ISERROR(SEARCH("social",$D12)),FALSE,TRUE)</f>
        <v>1</v>
      </c>
      <c r="N12" s="448"/>
      <c r="O12" s="464" t="str">
        <f ca="1">IFERROR(__xludf.DUMMYFUNCTION("filter($C:$E,F:F)"),"Academy of Management Journal")</f>
        <v>Academy of Management Journal</v>
      </c>
      <c r="P12" t="str">
        <f ca="1">IFERROR(__xludf.DUMMYFUNCTION("""COMPUTED_VALUE"""),"Business, Economics &amp; Management")</f>
        <v>Business, Economics &amp; Management</v>
      </c>
      <c r="Q12" t="str">
        <f ca="1">IFERROR(__xludf.DUMMYFUNCTION("""COMPUTED_VALUE"""),"No")</f>
        <v>No</v>
      </c>
      <c r="R12" s="448"/>
      <c r="S12" s="464" t="str">
        <f ca="1">IFERROR(__xludf.DUMMYFUNCTION("filter($C:$E,G:G)"),"ACS Applied Materials &amp; Interfaces")</f>
        <v>ACS Applied Materials &amp; Interfaces</v>
      </c>
      <c r="T12" t="str">
        <f ca="1">IFERROR(__xludf.DUMMYFUNCTION("""COMPUTED_VALUE"""),"Chemical &amp; Materials Sciences, Engineering &amp; Computer Science")</f>
        <v>Chemical &amp; Materials Sciences, Engineering &amp; Computer Science</v>
      </c>
      <c r="U12" t="str">
        <f ca="1">IFERROR(__xludf.DUMMYFUNCTION("""COMPUTED_VALUE"""),"Unsure")</f>
        <v>Unsure</v>
      </c>
      <c r="V12" s="448"/>
      <c r="W12" s="464" t="str">
        <f ca="1">IFERROR(__xludf.DUMMYFUNCTION("filter($C:$E,H:H)"),"ACS Applied Materials &amp; Interfaces")</f>
        <v>ACS Applied Materials &amp; Interfaces</v>
      </c>
      <c r="X12" t="str">
        <f ca="1">IFERROR(__xludf.DUMMYFUNCTION("""COMPUTED_VALUE"""),"Chemical &amp; Materials Sciences, Engineering &amp; Computer Science")</f>
        <v>Chemical &amp; Materials Sciences, Engineering &amp; Computer Science</v>
      </c>
      <c r="Y12" t="str">
        <f ca="1">IFERROR(__xludf.DUMMYFUNCTION("""COMPUTED_VALUE"""),"Unsure")</f>
        <v>Unsure</v>
      </c>
      <c r="Z12" s="448"/>
      <c r="AA12" s="466" t="str">
        <f ca="1">IFERROR(__xludf.DUMMYFUNCTION("filter($C:$E,I:I)"),"Blood")</f>
        <v>Blood</v>
      </c>
      <c r="AB12" t="str">
        <f ca="1">IFERROR(__xludf.DUMMYFUNCTION("""COMPUTED_VALUE"""),"Health &amp; Medical Sciences")</f>
        <v>Health &amp; Medical Sciences</v>
      </c>
      <c r="AC12" t="str">
        <f ca="1">IFERROR(__xludf.DUMMYFUNCTION("""COMPUTED_VALUE"""),"No")</f>
        <v>No</v>
      </c>
      <c r="AD12" s="448"/>
      <c r="AE12" s="466" t="str">
        <f ca="1">IFERROR(__xludf.DUMMYFUNCTION("filter($C:$E,J:J)"),"Applied Linguistics")</f>
        <v>Applied Linguistics</v>
      </c>
      <c r="AF12" t="str">
        <f ca="1">IFERROR(__xludf.DUMMYFUNCTION("""COMPUTED_VALUE"""),"Humanities, Literature &amp; Arts")</f>
        <v>Humanities, Literature &amp; Arts</v>
      </c>
      <c r="AG12" t="str">
        <f ca="1">IFERROR(__xludf.DUMMYFUNCTION("""COMPUTED_VALUE"""),"Yes")</f>
        <v>Yes</v>
      </c>
      <c r="AH12" s="448"/>
      <c r="AI12" s="464" t="str">
        <f ca="1">IFERROR(__xludf.DUMMYFUNCTION("filter($C:$E,K:K)"),"Cell")</f>
        <v>Cell</v>
      </c>
      <c r="AJ12" t="str">
        <f ca="1">IFERROR(__xludf.DUMMYFUNCTION("""COMPUTED_VALUE"""),"Health &amp; Medical Sciences, Life Sciences &amp; Earth Sciences")</f>
        <v>Health &amp; Medical Sciences, Life Sciences &amp; Earth Sciences</v>
      </c>
      <c r="AK12" t="str">
        <f ca="1">IFERROR(__xludf.DUMMYFUNCTION("""COMPUTED_VALUE"""),"Yes")</f>
        <v>Yes</v>
      </c>
      <c r="AL12" s="448"/>
      <c r="AM12" t="str">
        <f ca="1">IFERROR(__xludf.DUMMYFUNCTION("filter($C:$E,L:L)"),"Astronomy &amp; Astrophysics")</f>
        <v>Astronomy &amp; Astrophysics</v>
      </c>
      <c r="AN12" t="str">
        <f ca="1">IFERROR(__xludf.DUMMYFUNCTION("""COMPUTED_VALUE"""),"Physics &amp; Mathematics")</f>
        <v>Physics &amp; Mathematics</v>
      </c>
      <c r="AO12" t="str">
        <f ca="1">IFERROR(__xludf.DUMMYFUNCTION("""COMPUTED_VALUE"""),"Not specified")</f>
        <v>Not specified</v>
      </c>
      <c r="AP12" s="448"/>
      <c r="AQ12" t="str">
        <f ca="1">IFERROR(__xludf.DUMMYFUNCTION("filter($C:$E,M:M)"),"Academic Medicine")</f>
        <v>Academic Medicine</v>
      </c>
      <c r="AR12" t="str">
        <f ca="1">IFERROR(__xludf.DUMMYFUNCTION("""COMPUTED_VALUE"""),"Social Sciences")</f>
        <v>Social Sciences</v>
      </c>
      <c r="AS12" t="str">
        <f ca="1">IFERROR(__xludf.DUMMYFUNCTION("""COMPUTED_VALUE"""),"Yes")</f>
        <v>Yes</v>
      </c>
    </row>
    <row r="13" spans="1:46" ht="15.75" customHeight="1">
      <c r="A13" s="462"/>
      <c r="B13" s="462"/>
      <c r="C13" t="str">
        <f ca="1">Filtered!I3</f>
        <v>ACS Applied Materials &amp; Interfaces</v>
      </c>
      <c r="D13" t="str">
        <f ca="1">Filtered!J3</f>
        <v>Chemical &amp; Materials Sciences, Engineering &amp; Computer Science</v>
      </c>
      <c r="E13" t="str">
        <f ca="1">Filtered!AD3</f>
        <v>Unsure</v>
      </c>
      <c r="F13" t="b">
        <f t="shared" ca="1" si="9"/>
        <v>0</v>
      </c>
      <c r="G13" t="b">
        <f t="shared" ca="1" si="10"/>
        <v>1</v>
      </c>
      <c r="H13" t="b">
        <f t="shared" ca="1" si="11"/>
        <v>1</v>
      </c>
      <c r="I13" t="b">
        <f t="shared" ca="1" si="12"/>
        <v>0</v>
      </c>
      <c r="J13" t="b">
        <f t="shared" ca="1" si="13"/>
        <v>0</v>
      </c>
      <c r="K13" t="b">
        <f t="shared" ca="1" si="14"/>
        <v>0</v>
      </c>
      <c r="L13" t="b">
        <f t="shared" ca="1" si="15"/>
        <v>0</v>
      </c>
      <c r="M13" t="b">
        <f t="shared" ca="1" si="16"/>
        <v>0</v>
      </c>
      <c r="N13" s="448"/>
      <c r="O13" s="464" t="str">
        <f ca="1">IFERROR(__xludf.DUMMYFUNCTION("""COMPUTED_VALUE"""),"American Economic Review")</f>
        <v>American Economic Review</v>
      </c>
      <c r="P13" t="str">
        <f ca="1">IFERROR(__xludf.DUMMYFUNCTION("""COMPUTED_VALUE"""),"Business, Economics &amp; Management")</f>
        <v>Business, Economics &amp; Management</v>
      </c>
      <c r="Q13" t="str">
        <f ca="1">IFERROR(__xludf.DUMMYFUNCTION("""COMPUTED_VALUE"""),"Unsure")</f>
        <v>Unsure</v>
      </c>
      <c r="R13" s="448"/>
      <c r="S13" s="464" t="str">
        <f ca="1">IFERROR(__xludf.DUMMYFUNCTION("""COMPUTED_VALUE"""),"Accounts of Chemical Research")</f>
        <v>Accounts of Chemical Research</v>
      </c>
      <c r="T13" t="str">
        <f ca="1">IFERROR(__xludf.DUMMYFUNCTION("""COMPUTED_VALUE"""),"Chemical &amp; Materials Sciences")</f>
        <v>Chemical &amp; Materials Sciences</v>
      </c>
      <c r="U13" t="str">
        <f ca="1">IFERROR(__xludf.DUMMYFUNCTION("""COMPUTED_VALUE"""),"Unsure")</f>
        <v>Unsure</v>
      </c>
      <c r="V13" s="448"/>
      <c r="W13" s="464" t="str">
        <f ca="1">IFERROR(__xludf.DUMMYFUNCTION("""COMPUTED_VALUE"""),"ACS Nano")</f>
        <v>ACS Nano</v>
      </c>
      <c r="X13" t="str">
        <f ca="1">IFERROR(__xludf.DUMMYFUNCTION("""COMPUTED_VALUE"""),"Chemical &amp; Materials Sciences, Engineering &amp; Computer Science")</f>
        <v>Chemical &amp; Materials Sciences, Engineering &amp; Computer Science</v>
      </c>
      <c r="Y13" t="str">
        <f ca="1">IFERROR(__xludf.DUMMYFUNCTION("""COMPUTED_VALUE"""),"Unsure")</f>
        <v>Unsure</v>
      </c>
      <c r="Z13" s="448"/>
      <c r="AA13" s="464" t="str">
        <f ca="1">IFERROR(__xludf.DUMMYFUNCTION("""COMPUTED_VALUE"""),"BMJ")</f>
        <v>BMJ</v>
      </c>
      <c r="AB13" t="str">
        <f ca="1">IFERROR(__xludf.DUMMYFUNCTION("""COMPUTED_VALUE"""),"Health &amp; Medical Sciences")</f>
        <v>Health &amp; Medical Sciences</v>
      </c>
      <c r="AC13" t="str">
        <f ca="1">IFERROR(__xludf.DUMMYFUNCTION("""COMPUTED_VALUE"""),"Yes")</f>
        <v>Yes</v>
      </c>
      <c r="AD13" s="448"/>
      <c r="AE13" s="464" t="str">
        <f ca="1">IFERROR(__xludf.DUMMYFUNCTION("""COMPUTED_VALUE"""),"Digital Journalism")</f>
        <v>Digital Journalism</v>
      </c>
      <c r="AF13" t="str">
        <f ca="1">IFERROR(__xludf.DUMMYFUNCTION("""COMPUTED_VALUE"""),"Humanities, Literature &amp; Arts")</f>
        <v>Humanities, Literature &amp; Arts</v>
      </c>
      <c r="AG13" t="str">
        <f ca="1">IFERROR(__xludf.DUMMYFUNCTION("""COMPUTED_VALUE"""),"Unsure")</f>
        <v>Unsure</v>
      </c>
      <c r="AH13" s="448"/>
      <c r="AI13" s="464" t="str">
        <f ca="1">IFERROR(__xludf.DUMMYFUNCTION("""COMPUTED_VALUE"""),"Cell Metabolism")</f>
        <v>Cell Metabolism</v>
      </c>
      <c r="AJ13" t="str">
        <f ca="1">IFERROR(__xludf.DUMMYFUNCTION("""COMPUTED_VALUE"""),"Life Sciences &amp; Earth Sciences")</f>
        <v>Life Sciences &amp; Earth Sciences</v>
      </c>
      <c r="AK13" t="str">
        <f ca="1">IFERROR(__xludf.DUMMYFUNCTION("""COMPUTED_VALUE"""),"Yes")</f>
        <v>Yes</v>
      </c>
      <c r="AL13" s="448"/>
      <c r="AM13" t="str">
        <f ca="1">IFERROR(__xludf.DUMMYFUNCTION("""COMPUTED_VALUE"""),"Geophysical Research Letters")</f>
        <v>Geophysical Research Letters</v>
      </c>
      <c r="AN13" t="str">
        <f ca="1">IFERROR(__xludf.DUMMYFUNCTION("""COMPUTED_VALUE"""),"Physics &amp; Mathematics")</f>
        <v>Physics &amp; Mathematics</v>
      </c>
      <c r="AO13" t="str">
        <f ca="1">IFERROR(__xludf.DUMMYFUNCTION("""COMPUTED_VALUE"""),"Unsure")</f>
        <v>Unsure</v>
      </c>
      <c r="AP13" s="448"/>
      <c r="AQ13" t="str">
        <f ca="1">IFERROR(__xludf.DUMMYFUNCTION("""COMPUTED_VALUE"""),"American Journal of Political Science")</f>
        <v>American Journal of Political Science</v>
      </c>
      <c r="AR13" t="str">
        <f ca="1">IFERROR(__xludf.DUMMYFUNCTION("""COMPUTED_VALUE"""),"Social Sciences")</f>
        <v>Social Sciences</v>
      </c>
      <c r="AS13" t="str">
        <f ca="1">IFERROR(__xludf.DUMMYFUNCTION("""COMPUTED_VALUE"""),"Unsure")</f>
        <v>Unsure</v>
      </c>
    </row>
    <row r="14" spans="1:46" ht="15.75" customHeight="1">
      <c r="A14" s="462"/>
      <c r="B14" s="462"/>
      <c r="C14" t="str">
        <f ca="1">Filtered!I4</f>
        <v>Accounts of Chemical Research</v>
      </c>
      <c r="D14" t="str">
        <f ca="1">Filtered!J4</f>
        <v>Chemical &amp; Materials Sciences</v>
      </c>
      <c r="E14" t="str">
        <f ca="1">Filtered!AD4</f>
        <v>Unsure</v>
      </c>
      <c r="F14" t="b">
        <f t="shared" ca="1" si="9"/>
        <v>0</v>
      </c>
      <c r="G14" t="b">
        <f t="shared" ca="1" si="10"/>
        <v>1</v>
      </c>
      <c r="H14" t="b">
        <f t="shared" ca="1" si="11"/>
        <v>0</v>
      </c>
      <c r="I14" t="b">
        <f t="shared" ca="1" si="12"/>
        <v>0</v>
      </c>
      <c r="J14" t="b">
        <f t="shared" ca="1" si="13"/>
        <v>0</v>
      </c>
      <c r="K14" t="b">
        <f t="shared" ca="1" si="14"/>
        <v>0</v>
      </c>
      <c r="L14" t="b">
        <f t="shared" ca="1" si="15"/>
        <v>0</v>
      </c>
      <c r="M14" t="b">
        <f t="shared" ca="1" si="16"/>
        <v>0</v>
      </c>
      <c r="N14" s="448"/>
      <c r="O14" s="464" t="str">
        <f ca="1">IFERROR(__xludf.DUMMYFUNCTION("""COMPUTED_VALUE"""),"Econometrica")</f>
        <v>Econometrica</v>
      </c>
      <c r="P14" t="str">
        <f ca="1">IFERROR(__xludf.DUMMYFUNCTION("""COMPUTED_VALUE"""),"Business, Economics &amp; Management")</f>
        <v>Business, Economics &amp; Management</v>
      </c>
      <c r="Q14" t="str">
        <f ca="1">IFERROR(__xludf.DUMMYFUNCTION("""COMPUTED_VALUE"""),"Unsure")</f>
        <v>Unsure</v>
      </c>
      <c r="R14" s="448"/>
      <c r="S14" s="464" t="str">
        <f ca="1">IFERROR(__xludf.DUMMYFUNCTION("""COMPUTED_VALUE"""),"ACS Nano")</f>
        <v>ACS Nano</v>
      </c>
      <c r="T14" t="str">
        <f ca="1">IFERROR(__xludf.DUMMYFUNCTION("""COMPUTED_VALUE"""),"Chemical &amp; Materials Sciences, Engineering &amp; Computer Science")</f>
        <v>Chemical &amp; Materials Sciences, Engineering &amp; Computer Science</v>
      </c>
      <c r="U14" t="str">
        <f ca="1">IFERROR(__xludf.DUMMYFUNCTION("""COMPUTED_VALUE"""),"Unsure")</f>
        <v>Unsure</v>
      </c>
      <c r="V14" s="448"/>
      <c r="W14" s="464" t="str">
        <f ca="1">IFERROR(__xludf.DUMMYFUNCTION("""COMPUTED_VALUE"""),"Advanced Energy Materials")</f>
        <v>Advanced Energy Materials</v>
      </c>
      <c r="X14" t="str">
        <f ca="1">IFERROR(__xludf.DUMMYFUNCTION("""COMPUTED_VALUE"""),"Chemical &amp; Materials Sciences, Engineering &amp; Computer Science")</f>
        <v>Chemical &amp; Materials Sciences, Engineering &amp; Computer Science</v>
      </c>
      <c r="Y14" t="str">
        <f ca="1">IFERROR(__xludf.DUMMYFUNCTION("""COMPUTED_VALUE"""),"Unsure")</f>
        <v>Unsure</v>
      </c>
      <c r="Z14" s="448"/>
      <c r="AA14" s="464" t="str">
        <f ca="1">IFERROR(__xludf.DUMMYFUNCTION("""COMPUTED_VALUE"""),"Cell")</f>
        <v>Cell</v>
      </c>
      <c r="AB14" t="str">
        <f ca="1">IFERROR(__xludf.DUMMYFUNCTION("""COMPUTED_VALUE"""),"Health &amp; Medical Sciences, Life Sciences &amp; Earth Sciences")</f>
        <v>Health &amp; Medical Sciences, Life Sciences &amp; Earth Sciences</v>
      </c>
      <c r="AC14" t="str">
        <f ca="1">IFERROR(__xludf.DUMMYFUNCTION("""COMPUTED_VALUE"""),"Yes")</f>
        <v>Yes</v>
      </c>
      <c r="AD14" s="448"/>
      <c r="AE14" s="464" t="str">
        <f ca="1">IFERROR(__xludf.DUMMYFUNCTION("""COMPUTED_VALUE"""),"Gender &amp; Society")</f>
        <v>Gender &amp; Society</v>
      </c>
      <c r="AF14" t="str">
        <f ca="1">IFERROR(__xludf.DUMMYFUNCTION("""COMPUTED_VALUE"""),"Humanities, Literature &amp; Arts")</f>
        <v>Humanities, Literature &amp; Arts</v>
      </c>
      <c r="AG14" t="str">
        <f ca="1">IFERROR(__xludf.DUMMYFUNCTION("""COMPUTED_VALUE"""),"Unsure")</f>
        <v>Unsure</v>
      </c>
      <c r="AH14" s="448"/>
      <c r="AI14" s="464" t="str">
        <f ca="1">IFERROR(__xludf.DUMMYFUNCTION("""COMPUTED_VALUE"""),"Cell Stem Cell")</f>
        <v>Cell Stem Cell</v>
      </c>
      <c r="AJ14" t="str">
        <f ca="1">IFERROR(__xludf.DUMMYFUNCTION("""COMPUTED_VALUE"""),"Life Sciences &amp; Earth Sciences")</f>
        <v>Life Sciences &amp; Earth Sciences</v>
      </c>
      <c r="AK14" t="str">
        <f ca="1">IFERROR(__xludf.DUMMYFUNCTION("""COMPUTED_VALUE"""),"Yes")</f>
        <v>Yes</v>
      </c>
      <c r="AL14" s="448"/>
      <c r="AM14" t="str">
        <f ca="1">IFERROR(__xludf.DUMMYFUNCTION("""COMPUTED_VALUE"""),"IEEE Transactions on Automatic Control")</f>
        <v>IEEE Transactions on Automatic Control</v>
      </c>
      <c r="AN14" t="str">
        <f ca="1">IFERROR(__xludf.DUMMYFUNCTION("""COMPUTED_VALUE"""),"Physics &amp; Mathematics")</f>
        <v>Physics &amp; Mathematics</v>
      </c>
      <c r="AO14" t="str">
        <f ca="1">IFERROR(__xludf.DUMMYFUNCTION("""COMPUTED_VALUE"""),"Unsure")</f>
        <v>Unsure</v>
      </c>
      <c r="AP14" s="448"/>
      <c r="AQ14" t="str">
        <f ca="1">IFERROR(__xludf.DUMMYFUNCTION("""COMPUTED_VALUE"""),"American Journal of Public Health")</f>
        <v>American Journal of Public Health</v>
      </c>
      <c r="AR14" t="str">
        <f ca="1">IFERROR(__xludf.DUMMYFUNCTION("""COMPUTED_VALUE"""),"Social Sciences")</f>
        <v>Social Sciences</v>
      </c>
      <c r="AS14" t="str">
        <f ca="1">IFERROR(__xludf.DUMMYFUNCTION("""COMPUTED_VALUE"""),"Unsure")</f>
        <v>Unsure</v>
      </c>
    </row>
    <row r="15" spans="1:46" ht="15.75" customHeight="1">
      <c r="A15" s="462"/>
      <c r="B15" s="462"/>
      <c r="C15" t="str">
        <f ca="1">Filtered!I5</f>
        <v>ACS Catalysis</v>
      </c>
      <c r="D15" t="str">
        <f ca="1">Filtered!J5</f>
        <v/>
      </c>
      <c r="E15" t="str">
        <f ca="1">Filtered!AD5</f>
        <v>Unsure</v>
      </c>
      <c r="F15" t="b">
        <f t="shared" ca="1" si="9"/>
        <v>0</v>
      </c>
      <c r="G15" t="b">
        <f t="shared" ca="1" si="10"/>
        <v>0</v>
      </c>
      <c r="H15" t="b">
        <f t="shared" ca="1" si="11"/>
        <v>0</v>
      </c>
      <c r="I15" t="b">
        <f t="shared" ca="1" si="12"/>
        <v>0</v>
      </c>
      <c r="J15" t="b">
        <f t="shared" ca="1" si="13"/>
        <v>0</v>
      </c>
      <c r="K15" t="b">
        <f t="shared" ca="1" si="14"/>
        <v>0</v>
      </c>
      <c r="L15" t="b">
        <f t="shared" ca="1" si="15"/>
        <v>0</v>
      </c>
      <c r="M15" t="b">
        <f t="shared" ca="1" si="16"/>
        <v>0</v>
      </c>
      <c r="N15" s="448"/>
      <c r="O15" s="464" t="str">
        <f ca="1">IFERROR(__xludf.DUMMYFUNCTION("""COMPUTED_VALUE"""),"International Journal of Production Economics")</f>
        <v>International Journal of Production Economics</v>
      </c>
      <c r="P15" t="str">
        <f ca="1">IFERROR(__xludf.DUMMYFUNCTION("""COMPUTED_VALUE"""),"Business, Economics &amp; Management")</f>
        <v>Business, Economics &amp; Management</v>
      </c>
      <c r="Q15" t="str">
        <f ca="1">IFERROR(__xludf.DUMMYFUNCTION("""COMPUTED_VALUE"""),"Unsure")</f>
        <v>Unsure</v>
      </c>
      <c r="R15" s="448"/>
      <c r="S15" s="464" t="str">
        <f ca="1">IFERROR(__xludf.DUMMYFUNCTION("""COMPUTED_VALUE"""),"Advanced Energy Materials")</f>
        <v>Advanced Energy Materials</v>
      </c>
      <c r="T15" t="str">
        <f ca="1">IFERROR(__xludf.DUMMYFUNCTION("""COMPUTED_VALUE"""),"Chemical &amp; Materials Sciences, Engineering &amp; Computer Science")</f>
        <v>Chemical &amp; Materials Sciences, Engineering &amp; Computer Science</v>
      </c>
      <c r="U15" t="str">
        <f ca="1">IFERROR(__xludf.DUMMYFUNCTION("""COMPUTED_VALUE"""),"Unsure")</f>
        <v>Unsure</v>
      </c>
      <c r="V15" s="448"/>
      <c r="W15" s="464" t="str">
        <f ca="1">IFERROR(__xludf.DUMMYFUNCTION("""COMPUTED_VALUE"""),"Advanced Functional Materials")</f>
        <v>Advanced Functional Materials</v>
      </c>
      <c r="X15" t="str">
        <f ca="1">IFERROR(__xludf.DUMMYFUNCTION("""COMPUTED_VALUE"""),"Chemical &amp; Materials Sciences, Engineering &amp; Computer Science")</f>
        <v>Chemical &amp; Materials Sciences, Engineering &amp; Computer Science</v>
      </c>
      <c r="Y15" t="str">
        <f ca="1">IFERROR(__xludf.DUMMYFUNCTION("""COMPUTED_VALUE"""),"Unsure")</f>
        <v>Unsure</v>
      </c>
      <c r="Z15" s="448"/>
      <c r="AA15" s="464" t="str">
        <f ca="1">IFERROR(__xludf.DUMMYFUNCTION("""COMPUTED_VALUE"""),"Circulation")</f>
        <v>Circulation</v>
      </c>
      <c r="AB15" t="str">
        <f ca="1">IFERROR(__xludf.DUMMYFUNCTION("""COMPUTED_VALUE"""),"Health &amp; Medical Sciences")</f>
        <v>Health &amp; Medical Sciences</v>
      </c>
      <c r="AC15" t="str">
        <f ca="1">IFERROR(__xludf.DUMMYFUNCTION("""COMPUTED_VALUE"""),"Unsure")</f>
        <v>Unsure</v>
      </c>
      <c r="AD15" s="448"/>
      <c r="AE15" s="464" t="str">
        <f ca="1">IFERROR(__xludf.DUMMYFUNCTION("""COMPUTED_VALUE"""),"International Journal of Communication")</f>
        <v>International Journal of Communication</v>
      </c>
      <c r="AF15" t="str">
        <f ca="1">IFERROR(__xludf.DUMMYFUNCTION("""COMPUTED_VALUE"""),"Humanities, Literature &amp; Arts")</f>
        <v>Humanities, Literature &amp; Arts</v>
      </c>
      <c r="AG15" t="str">
        <f ca="1">IFERROR(__xludf.DUMMYFUNCTION("""COMPUTED_VALUE"""),"Unsure")</f>
        <v>Unsure</v>
      </c>
      <c r="AH15" s="448"/>
      <c r="AI15" s="464" t="str">
        <f ca="1">IFERROR(__xludf.DUMMYFUNCTION("""COMPUTED_VALUE"""),"Environmental Science &amp; Technology")</f>
        <v>Environmental Science &amp; Technology</v>
      </c>
      <c r="AJ15" t="str">
        <f ca="1">IFERROR(__xludf.DUMMYFUNCTION("""COMPUTED_VALUE"""),"Life Sciences &amp; Earth Sciences")</f>
        <v>Life Sciences &amp; Earth Sciences</v>
      </c>
      <c r="AK15" t="str">
        <f ca="1">IFERROR(__xludf.DUMMYFUNCTION("""COMPUTED_VALUE"""),"Unsure")</f>
        <v>Unsure</v>
      </c>
      <c r="AL15" s="448"/>
      <c r="AM15" t="str">
        <f ca="1">IFERROR(__xludf.DUMMYFUNCTION("""COMPUTED_VALUE"""),"IEEE Transactions on Signal Processing")</f>
        <v>IEEE Transactions on Signal Processing</v>
      </c>
      <c r="AN15" t="str">
        <f ca="1">IFERROR(__xludf.DUMMYFUNCTION("""COMPUTED_VALUE"""),"Physics &amp; Mathematics")</f>
        <v>Physics &amp; Mathematics</v>
      </c>
      <c r="AO15" t="str">
        <f ca="1">IFERROR(__xludf.DUMMYFUNCTION("""COMPUTED_VALUE"""),"Unsure")</f>
        <v>Unsure</v>
      </c>
      <c r="AP15" s="448"/>
      <c r="AQ15" t="str">
        <f ca="1">IFERROR(__xludf.DUMMYFUNCTION("""COMPUTED_VALUE"""),"American Political Science Review")</f>
        <v>American Political Science Review</v>
      </c>
      <c r="AR15" t="str">
        <f ca="1">IFERROR(__xludf.DUMMYFUNCTION("""COMPUTED_VALUE"""),"Social Sciences")</f>
        <v>Social Sciences</v>
      </c>
      <c r="AS15" t="str">
        <f ca="1">IFERROR(__xludf.DUMMYFUNCTION("""COMPUTED_VALUE"""),"Unsure")</f>
        <v>Unsure</v>
      </c>
    </row>
    <row r="16" spans="1:46" ht="15.75" customHeight="1">
      <c r="A16" s="462"/>
      <c r="B16" s="462"/>
      <c r="C16" t="str">
        <f ca="1">Filtered!I6</f>
        <v>Academy of Management Journal</v>
      </c>
      <c r="D16" t="str">
        <f ca="1">Filtered!J6</f>
        <v>Business, Economics &amp; Management</v>
      </c>
      <c r="E16" t="str">
        <f ca="1">Filtered!AD6</f>
        <v>No</v>
      </c>
      <c r="F16" t="b">
        <f t="shared" ca="1" si="9"/>
        <v>1</v>
      </c>
      <c r="G16" t="b">
        <f t="shared" ca="1" si="10"/>
        <v>0</v>
      </c>
      <c r="H16" t="b">
        <f t="shared" ca="1" si="11"/>
        <v>0</v>
      </c>
      <c r="I16" t="b">
        <f t="shared" ca="1" si="12"/>
        <v>0</v>
      </c>
      <c r="J16" t="b">
        <f t="shared" ca="1" si="13"/>
        <v>0</v>
      </c>
      <c r="K16" t="b">
        <f t="shared" ca="1" si="14"/>
        <v>0</v>
      </c>
      <c r="L16" t="b">
        <f t="shared" ca="1" si="15"/>
        <v>0</v>
      </c>
      <c r="M16" t="b">
        <f t="shared" ca="1" si="16"/>
        <v>0</v>
      </c>
      <c r="N16" s="448"/>
      <c r="O16" s="464" t="str">
        <f ca="1">IFERROR(__xludf.DUMMYFUNCTION("""COMPUTED_VALUE"""),"Journal of Banking &amp; Finance")</f>
        <v>Journal of Banking &amp; Finance</v>
      </c>
      <c r="P16" t="str">
        <f ca="1">IFERROR(__xludf.DUMMYFUNCTION("""COMPUTED_VALUE"""),"Business, Economics &amp; Management")</f>
        <v>Business, Economics &amp; Management</v>
      </c>
      <c r="Q16" t="str">
        <f ca="1">IFERROR(__xludf.DUMMYFUNCTION("""COMPUTED_VALUE"""),"Unsure")</f>
        <v>Unsure</v>
      </c>
      <c r="R16" s="448"/>
      <c r="S16" s="464" t="str">
        <f ca="1">IFERROR(__xludf.DUMMYFUNCTION("""COMPUTED_VALUE"""),"Advanced Functional Materials")</f>
        <v>Advanced Functional Materials</v>
      </c>
      <c r="T16" t="str">
        <f ca="1">IFERROR(__xludf.DUMMYFUNCTION("""COMPUTED_VALUE"""),"Chemical &amp; Materials Sciences, Engineering &amp; Computer Science")</f>
        <v>Chemical &amp; Materials Sciences, Engineering &amp; Computer Science</v>
      </c>
      <c r="U16" t="str">
        <f ca="1">IFERROR(__xludf.DUMMYFUNCTION("""COMPUTED_VALUE"""),"Unsure")</f>
        <v>Unsure</v>
      </c>
      <c r="V16" s="448"/>
      <c r="W16" s="464" t="str">
        <f ca="1">IFERROR(__xludf.DUMMYFUNCTION("""COMPUTED_VALUE"""),"Advanced Materials")</f>
        <v>Advanced Materials</v>
      </c>
      <c r="X16" t="str">
        <f ca="1">IFERROR(__xludf.DUMMYFUNCTION("""COMPUTED_VALUE"""),"Chemical &amp; Materials Sciences, Engineering &amp; Computer Science")</f>
        <v>Chemical &amp; Materials Sciences, Engineering &amp; Computer Science</v>
      </c>
      <c r="Y16" t="str">
        <f ca="1">IFERROR(__xludf.DUMMYFUNCTION("""COMPUTED_VALUE"""),"unsure")</f>
        <v>unsure</v>
      </c>
      <c r="Z16" s="448"/>
      <c r="AA16" s="464" t="str">
        <f ca="1">IFERROR(__xludf.DUMMYFUNCTION("""COMPUTED_VALUE"""),"European Heart Journal")</f>
        <v>European Heart Journal</v>
      </c>
      <c r="AB16" t="str">
        <f ca="1">IFERROR(__xludf.DUMMYFUNCTION("""COMPUTED_VALUE"""),"Health &amp; Medical Sciences")</f>
        <v>Health &amp; Medical Sciences</v>
      </c>
      <c r="AC16" t="str">
        <f ca="1">IFERROR(__xludf.DUMMYFUNCTION("""COMPUTED_VALUE"""),"Unsure")</f>
        <v>Unsure</v>
      </c>
      <c r="AD16" s="448"/>
      <c r="AE16" s="464" t="str">
        <f ca="1">IFERROR(__xludf.DUMMYFUNCTION("""COMPUTED_VALUE"""),"Journal of Communication")</f>
        <v>Journal of Communication</v>
      </c>
      <c r="AF16" t="str">
        <f ca="1">IFERROR(__xludf.DUMMYFUNCTION("""COMPUTED_VALUE"""),"Humanities, Literature &amp; Arts")</f>
        <v>Humanities, Literature &amp; Arts</v>
      </c>
      <c r="AG16" t="str">
        <f ca="1">IFERROR(__xludf.DUMMYFUNCTION("""COMPUTED_VALUE"""),"Unsure")</f>
        <v>Unsure</v>
      </c>
      <c r="AH16" s="448"/>
      <c r="AI16" s="464" t="str">
        <f ca="1">IFERROR(__xludf.DUMMYFUNCTION("""COMPUTED_VALUE"""),"Molecular Cell")</f>
        <v>Molecular Cell</v>
      </c>
      <c r="AJ16" t="str">
        <f ca="1">IFERROR(__xludf.DUMMYFUNCTION("""COMPUTED_VALUE"""),"Life Sciences &amp; Earth Sciences")</f>
        <v>Life Sciences &amp; Earth Sciences</v>
      </c>
      <c r="AK16" t="str">
        <f ca="1">IFERROR(__xludf.DUMMYFUNCTION("""COMPUTED_VALUE"""),"Unsure")</f>
        <v>Unsure</v>
      </c>
      <c r="AL16" s="448"/>
      <c r="AM16" t="str">
        <f ca="1">IFERROR(__xludf.DUMMYFUNCTION("""COMPUTED_VALUE"""),"Journal of Cosmology and Astroparticle Physics")</f>
        <v>Journal of Cosmology and Astroparticle Physics</v>
      </c>
      <c r="AN16" t="str">
        <f ca="1">IFERROR(__xludf.DUMMYFUNCTION("""COMPUTED_VALUE"""),"Physics &amp; Mathematics")</f>
        <v>Physics &amp; Mathematics</v>
      </c>
      <c r="AO16" t="str">
        <f ca="1">IFERROR(__xludf.DUMMYFUNCTION("""COMPUTED_VALUE"""),"No")</f>
        <v>No</v>
      </c>
      <c r="AP16" s="448"/>
      <c r="AQ16" t="str">
        <f ca="1">IFERROR(__xludf.DUMMYFUNCTION("""COMPUTED_VALUE"""),"American Sociological Review")</f>
        <v>American Sociological Review</v>
      </c>
      <c r="AR16" t="str">
        <f ca="1">IFERROR(__xludf.DUMMYFUNCTION("""COMPUTED_VALUE"""),"Social Sciences")</f>
        <v>Social Sciences</v>
      </c>
      <c r="AS16" t="str">
        <f ca="1">IFERROR(__xludf.DUMMYFUNCTION("""COMPUTED_VALUE"""),"Yes")</f>
        <v>Yes</v>
      </c>
    </row>
    <row r="17" spans="1:45" ht="15.75" customHeight="1">
      <c r="A17" s="462"/>
      <c r="B17" s="462"/>
      <c r="C17" t="str">
        <f ca="1">Filtered!I7</f>
        <v>ACS Nano</v>
      </c>
      <c r="D17" t="str">
        <f ca="1">Filtered!J7</f>
        <v>Chemical &amp; Materials Sciences, Engineering &amp; Computer Science</v>
      </c>
      <c r="E17" t="str">
        <f ca="1">Filtered!AD7</f>
        <v>Unsure</v>
      </c>
      <c r="F17" t="b">
        <f t="shared" ca="1" si="9"/>
        <v>0</v>
      </c>
      <c r="G17" t="b">
        <f t="shared" ca="1" si="10"/>
        <v>1</v>
      </c>
      <c r="H17" t="b">
        <f t="shared" ca="1" si="11"/>
        <v>1</v>
      </c>
      <c r="I17" t="b">
        <f t="shared" ca="1" si="12"/>
        <v>0</v>
      </c>
      <c r="J17" t="b">
        <f t="shared" ca="1" si="13"/>
        <v>0</v>
      </c>
      <c r="K17" t="b">
        <f t="shared" ca="1" si="14"/>
        <v>0</v>
      </c>
      <c r="L17" t="b">
        <f t="shared" ca="1" si="15"/>
        <v>0</v>
      </c>
      <c r="M17" t="b">
        <f t="shared" ca="1" si="16"/>
        <v>0</v>
      </c>
      <c r="N17" s="448"/>
      <c r="O17" s="464" t="str">
        <f ca="1">IFERROR(__xludf.DUMMYFUNCTION("""COMPUTED_VALUE"""),"Journal of Business Ethics")</f>
        <v>Journal of Business Ethics</v>
      </c>
      <c r="P17" t="str">
        <f ca="1">IFERROR(__xludf.DUMMYFUNCTION("""COMPUTED_VALUE"""),"Business, Economics &amp; Management,
Social Sciences")</f>
        <v>Business, Economics &amp; Management,
Social Sciences</v>
      </c>
      <c r="Q17" t="str">
        <f ca="1">IFERROR(__xludf.DUMMYFUNCTION("""COMPUTED_VALUE"""),"Unsure")</f>
        <v>Unsure</v>
      </c>
      <c r="R17" s="448"/>
      <c r="S17" s="464" t="str">
        <f ca="1">IFERROR(__xludf.DUMMYFUNCTION("""COMPUTED_VALUE"""),"Advanced Materials")</f>
        <v>Advanced Materials</v>
      </c>
      <c r="T17" t="str">
        <f ca="1">IFERROR(__xludf.DUMMYFUNCTION("""COMPUTED_VALUE"""),"Chemical &amp; Materials Sciences, Engineering &amp; Computer Science")</f>
        <v>Chemical &amp; Materials Sciences, Engineering &amp; Computer Science</v>
      </c>
      <c r="U17" t="str">
        <f ca="1">IFERROR(__xludf.DUMMYFUNCTION("""COMPUTED_VALUE"""),"unsure")</f>
        <v>unsure</v>
      </c>
      <c r="V17" s="448"/>
      <c r="W17" s="464" t="str">
        <f ca="1">IFERROR(__xludf.DUMMYFUNCTION("""COMPUTED_VALUE"""),"Chemistry of Materials")</f>
        <v>Chemistry of Materials</v>
      </c>
      <c r="X17" t="str">
        <f ca="1">IFERROR(__xludf.DUMMYFUNCTION("""COMPUTED_VALUE"""),"Chemical &amp; Materials Sciences,
Engineering &amp; Computer Science")</f>
        <v>Chemical &amp; Materials Sciences,
Engineering &amp; Computer Science</v>
      </c>
      <c r="Y17" t="str">
        <f ca="1">IFERROR(__xludf.DUMMYFUNCTION("""COMPUTED_VALUE"""),"Unsure")</f>
        <v>Unsure</v>
      </c>
      <c r="Z17" s="448"/>
      <c r="AA17" s="464" t="str">
        <f ca="1">IFERROR(__xludf.DUMMYFUNCTION("""COMPUTED_VALUE"""),"Gastroenterology")</f>
        <v>Gastroenterology</v>
      </c>
      <c r="AB17" t="str">
        <f ca="1">IFERROR(__xludf.DUMMYFUNCTION("""COMPUTED_VALUE"""),"Health &amp; Medical Sciences")</f>
        <v>Health &amp; Medical Sciences</v>
      </c>
      <c r="AC17" t="str">
        <f ca="1">IFERROR(__xludf.DUMMYFUNCTION("""COMPUTED_VALUE"""),"Unsure")</f>
        <v>Unsure</v>
      </c>
      <c r="AD17" s="448"/>
      <c r="AE17" s="464" t="str">
        <f ca="1">IFERROR(__xludf.DUMMYFUNCTION("""COMPUTED_VALUE"""),"Journal of Pragmatics")</f>
        <v>Journal of Pragmatics</v>
      </c>
      <c r="AF17" t="str">
        <f ca="1">IFERROR(__xludf.DUMMYFUNCTION("""COMPUTED_VALUE"""),"Humanities, Literature &amp; Arts")</f>
        <v>Humanities, Literature &amp; Arts</v>
      </c>
      <c r="AG17" t="str">
        <f ca="1">IFERROR(__xludf.DUMMYFUNCTION("""COMPUTED_VALUE"""),"Unsure")</f>
        <v>Unsure</v>
      </c>
      <c r="AH17" s="448"/>
      <c r="AI17" s="464" t="str">
        <f ca="1">IFERROR(__xludf.DUMMYFUNCTION("""COMPUTED_VALUE"""),"Nature")</f>
        <v>Nature</v>
      </c>
      <c r="AJ17" t="str">
        <f ca="1">IFERROR(__xludf.DUMMYFUNCTION("""COMPUTED_VALUE"""),"Life Sciences &amp; Earth Sciences")</f>
        <v>Life Sciences &amp; Earth Sciences</v>
      </c>
      <c r="AK17" t="str">
        <f ca="1">IFERROR(__xludf.DUMMYFUNCTION("""COMPUTED_VALUE"""),"Unsure")</f>
        <v>Unsure</v>
      </c>
      <c r="AL17" s="448"/>
      <c r="AM17" t="str">
        <f ca="1">IFERROR(__xludf.DUMMYFUNCTION("""COMPUTED_VALUE"""),"Journal of Geophysical Research")</f>
        <v>Journal of Geophysical Research</v>
      </c>
      <c r="AN17" t="str">
        <f ca="1">IFERROR(__xludf.DUMMYFUNCTION("""COMPUTED_VALUE"""),"Physics &amp; Mathematics")</f>
        <v>Physics &amp; Mathematics</v>
      </c>
      <c r="AO17" t="str">
        <f ca="1">IFERROR(__xludf.DUMMYFUNCTION("""COMPUTED_VALUE"""),"Unsure")</f>
        <v>Unsure</v>
      </c>
      <c r="AP17" s="448"/>
      <c r="AQ17" t="str">
        <f ca="1">IFERROR(__xludf.DUMMYFUNCTION("""COMPUTED_VALUE"""),"Annals of Tourism Research")</f>
        <v>Annals of Tourism Research</v>
      </c>
      <c r="AR17" t="str">
        <f ca="1">IFERROR(__xludf.DUMMYFUNCTION("""COMPUTED_VALUE"""),"Social Sciences")</f>
        <v>Social Sciences</v>
      </c>
      <c r="AS17" t="str">
        <f ca="1">IFERROR(__xludf.DUMMYFUNCTION("""COMPUTED_VALUE"""),"Unsure")</f>
        <v>Unsure</v>
      </c>
    </row>
    <row r="18" spans="1:45" ht="15.75" customHeight="1">
      <c r="A18" s="462"/>
      <c r="B18" s="462"/>
      <c r="C18" t="str">
        <f ca="1">Filtered!I8</f>
        <v>Advanced Energy Materials</v>
      </c>
      <c r="D18" t="str">
        <f ca="1">Filtered!J8</f>
        <v>Chemical &amp; Materials Sciences, Engineering &amp; Computer Science</v>
      </c>
      <c r="E18" t="str">
        <f ca="1">Filtered!AD8</f>
        <v>Unsure</v>
      </c>
      <c r="F18" t="b">
        <f t="shared" ca="1" si="9"/>
        <v>0</v>
      </c>
      <c r="G18" t="b">
        <f t="shared" ca="1" si="10"/>
        <v>1</v>
      </c>
      <c r="H18" t="b">
        <f t="shared" ca="1" si="11"/>
        <v>1</v>
      </c>
      <c r="I18" t="b">
        <f t="shared" ca="1" si="12"/>
        <v>0</v>
      </c>
      <c r="J18" t="b">
        <f t="shared" ca="1" si="13"/>
        <v>0</v>
      </c>
      <c r="K18" t="b">
        <f t="shared" ca="1" si="14"/>
        <v>0</v>
      </c>
      <c r="L18" t="b">
        <f t="shared" ca="1" si="15"/>
        <v>0</v>
      </c>
      <c r="M18" t="b">
        <f t="shared" ca="1" si="16"/>
        <v>0</v>
      </c>
      <c r="N18" s="448"/>
      <c r="O18" s="464" t="str">
        <f ca="1">IFERROR(__xludf.DUMMYFUNCTION("""COMPUTED_VALUE"""),"Journal of Business Research")</f>
        <v>Journal of Business Research</v>
      </c>
      <c r="P18" t="str">
        <f ca="1">IFERROR(__xludf.DUMMYFUNCTION("""COMPUTED_VALUE"""),"Business, Economics &amp; Management")</f>
        <v>Business, Economics &amp; Management</v>
      </c>
      <c r="Q18" t="str">
        <f ca="1">IFERROR(__xludf.DUMMYFUNCTION("""COMPUTED_VALUE"""),"Unsure")</f>
        <v>Unsure</v>
      </c>
      <c r="R18" s="448"/>
      <c r="S18" s="464" t="str">
        <f ca="1">IFERROR(__xludf.DUMMYFUNCTION("""COMPUTED_VALUE"""),"Angewandte Chemie International Edition")</f>
        <v>Angewandte Chemie International Edition</v>
      </c>
      <c r="T18" t="str">
        <f ca="1">IFERROR(__xludf.DUMMYFUNCTION("""COMPUTED_VALUE"""),"Chemical &amp; Materials Sciences")</f>
        <v>Chemical &amp; Materials Sciences</v>
      </c>
      <c r="U18" t="str">
        <f ca="1">IFERROR(__xludf.DUMMYFUNCTION("""COMPUTED_VALUE"""),"Unsure")</f>
        <v>Unsure</v>
      </c>
      <c r="V18" s="448"/>
      <c r="W18" s="464" t="str">
        <f ca="1">IFERROR(__xludf.DUMMYFUNCTION("""COMPUTED_VALUE"""),"Energy and Environmental Science")</f>
        <v>Energy and Environmental Science</v>
      </c>
      <c r="X18" t="str">
        <f ca="1">IFERROR(__xludf.DUMMYFUNCTION("""COMPUTED_VALUE"""),"Chemical &amp; Materials Sciences, Engineering &amp; Computer Science")</f>
        <v>Chemical &amp; Materials Sciences, Engineering &amp; Computer Science</v>
      </c>
      <c r="Y18" t="str">
        <f ca="1">IFERROR(__xludf.DUMMYFUNCTION("""COMPUTED_VALUE"""),"Unsure")</f>
        <v>Unsure</v>
      </c>
      <c r="Z18" s="448"/>
      <c r="AA18" s="464" t="str">
        <f ca="1">IFERROR(__xludf.DUMMYFUNCTION("""COMPUTED_VALUE"""),"Immunity")</f>
        <v>Immunity</v>
      </c>
      <c r="AB18" t="str">
        <f ca="1">IFERROR(__xludf.DUMMYFUNCTION("""COMPUTED_VALUE"""),"Health &amp; Medical Sciences")</f>
        <v>Health &amp; Medical Sciences</v>
      </c>
      <c r="AC18" t="str">
        <f ca="1">IFERROR(__xludf.DUMMYFUNCTION("""COMPUTED_VALUE"""),"Unsure")</f>
        <v>Unsure</v>
      </c>
      <c r="AD18" s="448"/>
      <c r="AE18" s="464" t="str">
        <f ca="1">IFERROR(__xludf.DUMMYFUNCTION("""COMPUTED_VALUE"""),"Journalism")</f>
        <v>Journalism</v>
      </c>
      <c r="AF18" t="str">
        <f ca="1">IFERROR(__xludf.DUMMYFUNCTION("""COMPUTED_VALUE"""),"Humanities, Literature &amp; Arts")</f>
        <v>Humanities, Literature &amp; Arts</v>
      </c>
      <c r="AG18" t="str">
        <f ca="1">IFERROR(__xludf.DUMMYFUNCTION("""COMPUTED_VALUE"""),"Unsure")</f>
        <v>Unsure</v>
      </c>
      <c r="AH18" s="448"/>
      <c r="AI18" s="464" t="str">
        <f ca="1">IFERROR(__xludf.DUMMYFUNCTION("""COMPUTED_VALUE"""),"Nature Biotechnology")</f>
        <v>Nature Biotechnology</v>
      </c>
      <c r="AJ18" t="str">
        <f ca="1">IFERROR(__xludf.DUMMYFUNCTION("""COMPUTED_VALUE"""),"Life Sciences &amp; Earth Sciences")</f>
        <v>Life Sciences &amp; Earth Sciences</v>
      </c>
      <c r="AK18" t="str">
        <f ca="1">IFERROR(__xludf.DUMMYFUNCTION("""COMPUTED_VALUE"""),"Unsure")</f>
        <v>Unsure</v>
      </c>
      <c r="AL18" s="448"/>
      <c r="AM18" t="str">
        <f ca="1">IFERROR(__xludf.DUMMYFUNCTION("""COMPUTED_VALUE"""),"Journal of High Energy Physics")</f>
        <v>Journal of High Energy Physics</v>
      </c>
      <c r="AN18" t="str">
        <f ca="1">IFERROR(__xludf.DUMMYFUNCTION("""COMPUTED_VALUE"""),"Physics &amp; Mathematics")</f>
        <v>Physics &amp; Mathematics</v>
      </c>
      <c r="AO18" t="str">
        <f ca="1">IFERROR(__xludf.DUMMYFUNCTION("""COMPUTED_VALUE"""),"Unsure")</f>
        <v>Unsure</v>
      </c>
      <c r="AP18" s="448"/>
      <c r="AQ18" t="str">
        <f ca="1">IFERROR(__xludf.DUMMYFUNCTION("""COMPUTED_VALUE"""),"Global Environmental Change")</f>
        <v>Global Environmental Change</v>
      </c>
      <c r="AR18" t="str">
        <f ca="1">IFERROR(__xludf.DUMMYFUNCTION("""COMPUTED_VALUE"""),"Social Sciences")</f>
        <v>Social Sciences</v>
      </c>
      <c r="AS18" t="str">
        <f ca="1">IFERROR(__xludf.DUMMYFUNCTION("""COMPUTED_VALUE"""),"Unsure")</f>
        <v>Unsure</v>
      </c>
    </row>
    <row r="19" spans="1:45" ht="15.75" customHeight="1">
      <c r="A19" s="462"/>
      <c r="B19" s="462"/>
      <c r="C19" t="str">
        <f ca="1">Filtered!I9</f>
        <v>Advanced Functional Materials</v>
      </c>
      <c r="D19" t="str">
        <f ca="1">Filtered!J9</f>
        <v>Chemical &amp; Materials Sciences, Engineering &amp; Computer Science</v>
      </c>
      <c r="E19" t="str">
        <f ca="1">Filtered!AD9</f>
        <v>Unsure</v>
      </c>
      <c r="F19" t="b">
        <f t="shared" ca="1" si="9"/>
        <v>0</v>
      </c>
      <c r="G19" t="b">
        <f t="shared" ca="1" si="10"/>
        <v>1</v>
      </c>
      <c r="H19" t="b">
        <f t="shared" ca="1" si="11"/>
        <v>1</v>
      </c>
      <c r="I19" t="b">
        <f t="shared" ca="1" si="12"/>
        <v>0</v>
      </c>
      <c r="J19" t="b">
        <f t="shared" ca="1" si="13"/>
        <v>0</v>
      </c>
      <c r="K19" t="b">
        <f t="shared" ca="1" si="14"/>
        <v>0</v>
      </c>
      <c r="L19" t="b">
        <f t="shared" ca="1" si="15"/>
        <v>0</v>
      </c>
      <c r="M19" t="b">
        <f t="shared" ca="1" si="16"/>
        <v>0</v>
      </c>
      <c r="N19" s="448"/>
      <c r="O19" s="464" t="str">
        <f ca="1">IFERROR(__xludf.DUMMYFUNCTION("""COMPUTED_VALUE"""),"Journal of Economic Perspectives")</f>
        <v>Journal of Economic Perspectives</v>
      </c>
      <c r="P19" t="str">
        <f ca="1">IFERROR(__xludf.DUMMYFUNCTION("""COMPUTED_VALUE"""),"Business, Economics &amp; Management")</f>
        <v>Business, Economics &amp; Management</v>
      </c>
      <c r="Q19" t="str">
        <f ca="1">IFERROR(__xludf.DUMMYFUNCTION("""COMPUTED_VALUE"""),"Unsure")</f>
        <v>Unsure</v>
      </c>
      <c r="R19" s="448"/>
      <c r="S19" s="464" t="str">
        <f ca="1">IFERROR(__xludf.DUMMYFUNCTION("""COMPUTED_VALUE"""),"Chemical communications (Cambridge, England)")</f>
        <v>Chemical communications (Cambridge, England)</v>
      </c>
      <c r="T19" t="str">
        <f ca="1">IFERROR(__xludf.DUMMYFUNCTION("""COMPUTED_VALUE"""),"Chemical &amp; Materials Sciences")</f>
        <v>Chemical &amp; Materials Sciences</v>
      </c>
      <c r="U19" t="str">
        <f ca="1">IFERROR(__xludf.DUMMYFUNCTION("""COMPUTED_VALUE"""),"Unsure")</f>
        <v>Unsure</v>
      </c>
      <c r="V19" s="448"/>
      <c r="W19" s="464" t="str">
        <f ca="1">IFERROR(__xludf.DUMMYFUNCTION("""COMPUTED_VALUE"""),"IEEE Communications Surveys &amp; Tutorials")</f>
        <v>IEEE Communications Surveys &amp; Tutorials</v>
      </c>
      <c r="X19" t="str">
        <f ca="1">IFERROR(__xludf.DUMMYFUNCTION("""COMPUTED_VALUE"""),"Engineering &amp; Computer Science")</f>
        <v>Engineering &amp; Computer Science</v>
      </c>
      <c r="Y19" t="str">
        <f ca="1">IFERROR(__xludf.DUMMYFUNCTION("""COMPUTED_VALUE"""),"Unsure")</f>
        <v>Unsure</v>
      </c>
      <c r="Z19" s="448"/>
      <c r="AA19" s="464" t="str">
        <f ca="1">IFERROR(__xludf.DUMMYFUNCTION("""COMPUTED_VALUE"""),"Journal of the American Medical Association")</f>
        <v>Journal of the American Medical Association</v>
      </c>
      <c r="AB19" t="str">
        <f ca="1">IFERROR(__xludf.DUMMYFUNCTION("""COMPUTED_VALUE"""),"Health &amp; Medical Sciences")</f>
        <v>Health &amp; Medical Sciences</v>
      </c>
      <c r="AC19" t="str">
        <f ca="1">IFERROR(__xludf.DUMMYFUNCTION("""COMPUTED_VALUE"""),"Unsure")</f>
        <v>Unsure</v>
      </c>
      <c r="AD19" s="448"/>
      <c r="AE19" s="464" t="str">
        <f ca="1">IFERROR(__xludf.DUMMYFUNCTION("""COMPUTED_VALUE"""),"Journalism Practice")</f>
        <v>Journalism Practice</v>
      </c>
      <c r="AF19" t="str">
        <f ca="1">IFERROR(__xludf.DUMMYFUNCTION("""COMPUTED_VALUE"""),"Humanities, Literature &amp; Arts")</f>
        <v>Humanities, Literature &amp; Arts</v>
      </c>
      <c r="AG19" t="str">
        <f ca="1">IFERROR(__xludf.DUMMYFUNCTION("""COMPUTED_VALUE"""),"Unsure")</f>
        <v>Unsure</v>
      </c>
      <c r="AH19" s="448"/>
      <c r="AI19" s="464" t="str">
        <f ca="1">IFERROR(__xludf.DUMMYFUNCTION("""COMPUTED_VALUE"""),"Nature Cell Biology")</f>
        <v>Nature Cell Biology</v>
      </c>
      <c r="AJ19" t="str">
        <f ca="1">IFERROR(__xludf.DUMMYFUNCTION("""COMPUTED_VALUE"""),"Life Sciences &amp; Earth Sciences")</f>
        <v>Life Sciences &amp; Earth Sciences</v>
      </c>
      <c r="AK19" t="str">
        <f ca="1">IFERROR(__xludf.DUMMYFUNCTION("""COMPUTED_VALUE"""),"Unsure")</f>
        <v>Unsure</v>
      </c>
      <c r="AL19" s="448"/>
      <c r="AM19" t="str">
        <f ca="1">IFERROR(__xludf.DUMMYFUNCTION("""COMPUTED_VALUE"""),"Monthly Notices of the Royal Astronomical Society")</f>
        <v>Monthly Notices of the Royal Astronomical Society</v>
      </c>
      <c r="AN19" t="str">
        <f ca="1">IFERROR(__xludf.DUMMYFUNCTION("""COMPUTED_VALUE"""),"Physics &amp; Mathematics")</f>
        <v>Physics &amp; Mathematics</v>
      </c>
      <c r="AO19" t="str">
        <f ca="1">IFERROR(__xludf.DUMMYFUNCTION("""COMPUTED_VALUE"""),"Unsure")</f>
        <v>Unsure</v>
      </c>
      <c r="AP19" s="448"/>
      <c r="AQ19" t="str">
        <f ca="1">IFERROR(__xludf.DUMMYFUNCTION("""COMPUTED_VALUE"""),"Government Information Quarterly")</f>
        <v>Government Information Quarterly</v>
      </c>
      <c r="AR19" t="str">
        <f ca="1">IFERROR(__xludf.DUMMYFUNCTION("""COMPUTED_VALUE"""),"Social Sciences")</f>
        <v>Social Sciences</v>
      </c>
      <c r="AS19" t="str">
        <f ca="1">IFERROR(__xludf.DUMMYFUNCTION("""COMPUTED_VALUE"""),"Unsure")</f>
        <v>Unsure</v>
      </c>
    </row>
    <row r="20" spans="1:45" ht="15.75" customHeight="1">
      <c r="A20" s="462"/>
      <c r="B20" s="462"/>
      <c r="C20" t="str">
        <f ca="1">Filtered!I10</f>
        <v>Advanced Materials</v>
      </c>
      <c r="D20" t="str">
        <f ca="1">Filtered!J10</f>
        <v>Chemical &amp; Materials Sciences, Engineering &amp; Computer Science</v>
      </c>
      <c r="E20" t="str">
        <f ca="1">Filtered!AD10</f>
        <v>unsure</v>
      </c>
      <c r="F20" t="b">
        <f t="shared" ca="1" si="9"/>
        <v>0</v>
      </c>
      <c r="G20" t="b">
        <f t="shared" ca="1" si="10"/>
        <v>1</v>
      </c>
      <c r="H20" t="b">
        <f t="shared" ca="1" si="11"/>
        <v>1</v>
      </c>
      <c r="I20" t="b">
        <f t="shared" ca="1" si="12"/>
        <v>0</v>
      </c>
      <c r="J20" t="b">
        <f t="shared" ca="1" si="13"/>
        <v>0</v>
      </c>
      <c r="K20" t="b">
        <f t="shared" ca="1" si="14"/>
        <v>0</v>
      </c>
      <c r="L20" t="b">
        <f t="shared" ca="1" si="15"/>
        <v>0</v>
      </c>
      <c r="M20" t="b">
        <f t="shared" ca="1" si="16"/>
        <v>0</v>
      </c>
      <c r="N20" s="448"/>
      <c r="O20" s="464" t="str">
        <f ca="1">IFERROR(__xludf.DUMMYFUNCTION("""COMPUTED_VALUE"""),"Journal of Financial Economics")</f>
        <v>Journal of Financial Economics</v>
      </c>
      <c r="P20" t="str">
        <f ca="1">IFERROR(__xludf.DUMMYFUNCTION("""COMPUTED_VALUE"""),"Business, Economics &amp; Management")</f>
        <v>Business, Economics &amp; Management</v>
      </c>
      <c r="Q20" t="str">
        <f ca="1">IFERROR(__xludf.DUMMYFUNCTION("""COMPUTED_VALUE"""),"Unsure")</f>
        <v>Unsure</v>
      </c>
      <c r="R20" s="448"/>
      <c r="S20" s="464" t="str">
        <f ca="1">IFERROR(__xludf.DUMMYFUNCTION("""COMPUTED_VALUE"""),"Chemical Reviews")</f>
        <v>Chemical Reviews</v>
      </c>
      <c r="T20" t="str">
        <f ca="1">IFERROR(__xludf.DUMMYFUNCTION("""COMPUTED_VALUE"""),"Chemical &amp; Materials Sciences")</f>
        <v>Chemical &amp; Materials Sciences</v>
      </c>
      <c r="U20" t="str">
        <f ca="1">IFERROR(__xludf.DUMMYFUNCTION("""COMPUTED_VALUE"""),"Unsure")</f>
        <v>Unsure</v>
      </c>
      <c r="V20" s="448"/>
      <c r="W20" s="464" t="str">
        <f ca="1">IFERROR(__xludf.DUMMYFUNCTION("""COMPUTED_VALUE"""),"IEEE Conference on Computer Vision and Pattern Recognition, CVPR")</f>
        <v>IEEE Conference on Computer Vision and Pattern Recognition, CVPR</v>
      </c>
      <c r="X20" t="str">
        <f ca="1">IFERROR(__xludf.DUMMYFUNCTION("""COMPUTED_VALUE"""),"Engineering &amp; Computer Science")</f>
        <v>Engineering &amp; Computer Science</v>
      </c>
      <c r="Y20" t="str">
        <f ca="1">IFERROR(__xludf.DUMMYFUNCTION("""COMPUTED_VALUE"""),"Yes")</f>
        <v>Yes</v>
      </c>
      <c r="Z20" s="448"/>
      <c r="AA20" s="464" t="str">
        <f ca="1">IFERROR(__xludf.DUMMYFUNCTION("""COMPUTED_VALUE"""),"Journal of Clinical Oncology")</f>
        <v>Journal of Clinical Oncology</v>
      </c>
      <c r="AB20" t="str">
        <f ca="1">IFERROR(__xludf.DUMMYFUNCTION("""COMPUTED_VALUE"""),"Health &amp; Medical Sciences")</f>
        <v>Health &amp; Medical Sciences</v>
      </c>
      <c r="AC20" t="str">
        <f ca="1">IFERROR(__xludf.DUMMYFUNCTION("""COMPUTED_VALUE"""),"Unsure")</f>
        <v>Unsure</v>
      </c>
      <c r="AD20" s="448"/>
      <c r="AE20" s="464" t="str">
        <f ca="1">IFERROR(__xludf.DUMMYFUNCTION("""COMPUTED_VALUE"""),"Journalism Studies")</f>
        <v>Journalism Studies</v>
      </c>
      <c r="AF20" t="str">
        <f ca="1">IFERROR(__xludf.DUMMYFUNCTION("""COMPUTED_VALUE"""),"Humanities, Literature &amp; Arts")</f>
        <v>Humanities, Literature &amp; Arts</v>
      </c>
      <c r="AG20" t="str">
        <f ca="1">IFERROR(__xludf.DUMMYFUNCTION("""COMPUTED_VALUE"""),"Unsure")</f>
        <v>Unsure</v>
      </c>
      <c r="AH20" s="448"/>
      <c r="AI20" s="464" t="str">
        <f ca="1">IFERROR(__xludf.DUMMYFUNCTION("""COMPUTED_VALUE"""),"Nature Climate Change")</f>
        <v>Nature Climate Change</v>
      </c>
      <c r="AJ20" t="str">
        <f ca="1">IFERROR(__xludf.DUMMYFUNCTION("""COMPUTED_VALUE"""),"Life Sciences &amp; Earth Sciences")</f>
        <v>Life Sciences &amp; Earth Sciences</v>
      </c>
      <c r="AK20" t="str">
        <f ca="1">IFERROR(__xludf.DUMMYFUNCTION("""COMPUTED_VALUE"""),"Unsure")</f>
        <v>Unsure</v>
      </c>
      <c r="AL20" s="448"/>
      <c r="AM20" t="str">
        <f ca="1">IFERROR(__xludf.DUMMYFUNCTION("""COMPUTED_VALUE"""),"Nature Photonics")</f>
        <v>Nature Photonics</v>
      </c>
      <c r="AN20" t="str">
        <f ca="1">IFERROR(__xludf.DUMMYFUNCTION("""COMPUTED_VALUE"""),"Engineering &amp; Computer Science,
Physics &amp; Mathematics")</f>
        <v>Engineering &amp; Computer Science,
Physics &amp; Mathematics</v>
      </c>
      <c r="AO20" t="str">
        <f ca="1">IFERROR(__xludf.DUMMYFUNCTION("""COMPUTED_VALUE"""),"Unsure")</f>
        <v>Unsure</v>
      </c>
      <c r="AP20" s="448"/>
      <c r="AQ20" t="str">
        <f ca="1">IFERROR(__xludf.DUMMYFUNCTION("""COMPUTED_VALUE"""),"Health Affairs")</f>
        <v>Health Affairs</v>
      </c>
      <c r="AR20" t="str">
        <f ca="1">IFERROR(__xludf.DUMMYFUNCTION("""COMPUTED_VALUE"""),"Social Sciences")</f>
        <v>Social Sciences</v>
      </c>
      <c r="AS20" t="str">
        <f ca="1">IFERROR(__xludf.DUMMYFUNCTION("""COMPUTED_VALUE"""),"Yes")</f>
        <v>Yes</v>
      </c>
    </row>
    <row r="21" spans="1:45" ht="15.75" customHeight="1">
      <c r="A21" s="462"/>
      <c r="B21" s="462"/>
      <c r="C21" t="str">
        <f ca="1">Filtered!I11</f>
        <v>American Economic Review</v>
      </c>
      <c r="D21" t="str">
        <f ca="1">Filtered!J11</f>
        <v>Business, Economics &amp; Management</v>
      </c>
      <c r="E21" t="str">
        <f ca="1">Filtered!AD11</f>
        <v>Unsure</v>
      </c>
      <c r="F21" t="b">
        <f t="shared" ca="1" si="9"/>
        <v>1</v>
      </c>
      <c r="G21" t="b">
        <f t="shared" ca="1" si="10"/>
        <v>0</v>
      </c>
      <c r="H21" t="b">
        <f t="shared" ca="1" si="11"/>
        <v>0</v>
      </c>
      <c r="I21" t="b">
        <f t="shared" ca="1" si="12"/>
        <v>0</v>
      </c>
      <c r="J21" t="b">
        <f t="shared" ca="1" si="13"/>
        <v>0</v>
      </c>
      <c r="K21" t="b">
        <f t="shared" ca="1" si="14"/>
        <v>0</v>
      </c>
      <c r="L21" t="b">
        <f t="shared" ca="1" si="15"/>
        <v>0</v>
      </c>
      <c r="M21" t="b">
        <f t="shared" ca="1" si="16"/>
        <v>0</v>
      </c>
      <c r="N21" s="448"/>
      <c r="O21" s="464" t="str">
        <f ca="1">IFERROR(__xludf.DUMMYFUNCTION("""COMPUTED_VALUE"""),"Journal of Management")</f>
        <v>Journal of Management</v>
      </c>
      <c r="P21" t="str">
        <f ca="1">IFERROR(__xludf.DUMMYFUNCTION("""COMPUTED_VALUE"""),"Business, Economics &amp; Management")</f>
        <v>Business, Economics &amp; Management</v>
      </c>
      <c r="Q21" t="str">
        <f ca="1">IFERROR(__xludf.DUMMYFUNCTION("""COMPUTED_VALUE"""),"Yes")</f>
        <v>Yes</v>
      </c>
      <c r="R21" s="448"/>
      <c r="S21" s="464" t="str">
        <f ca="1">IFERROR(__xludf.DUMMYFUNCTION("""COMPUTED_VALUE"""),"Chemical Society reviews")</f>
        <v>Chemical Society reviews</v>
      </c>
      <c r="T21" t="str">
        <f ca="1">IFERROR(__xludf.DUMMYFUNCTION("""COMPUTED_VALUE"""),"Chemical &amp; Materials Sciences")</f>
        <v>Chemical &amp; Materials Sciences</v>
      </c>
      <c r="U21" t="str">
        <f ca="1">IFERROR(__xludf.DUMMYFUNCTION("""COMPUTED_VALUE"""),"Unsure")</f>
        <v>Unsure</v>
      </c>
      <c r="V21" s="448"/>
      <c r="W21" s="464" t="str">
        <f ca="1">IFERROR(__xludf.DUMMYFUNCTION("""COMPUTED_VALUE"""),"IEEE International Conference on Computer Vision")</f>
        <v>IEEE International Conference on Computer Vision</v>
      </c>
      <c r="X21" t="str">
        <f ca="1">IFERROR(__xludf.DUMMYFUNCTION("""COMPUTED_VALUE"""),"Engineering &amp; Computer Science")</f>
        <v>Engineering &amp; Computer Science</v>
      </c>
      <c r="Y21" t="str">
        <f ca="1">IFERROR(__xludf.DUMMYFUNCTION("""COMPUTED_VALUE"""),"Yes")</f>
        <v>Yes</v>
      </c>
      <c r="Z21" s="448"/>
      <c r="AA21" s="464" t="str">
        <f ca="1">IFERROR(__xludf.DUMMYFUNCTION("""COMPUTED_VALUE"""),"Journal of the American College of Cardiology")</f>
        <v>Journal of the American College of Cardiology</v>
      </c>
      <c r="AB21" t="str">
        <f ca="1">IFERROR(__xludf.DUMMYFUNCTION("""COMPUTED_VALUE"""),"Health &amp; Medical Sciences")</f>
        <v>Health &amp; Medical Sciences</v>
      </c>
      <c r="AC21" t="str">
        <f ca="1">IFERROR(__xludf.DUMMYFUNCTION("""COMPUTED_VALUE"""),"Unsure")</f>
        <v>Unsure</v>
      </c>
      <c r="AD21" s="448"/>
      <c r="AE21" s="464" t="str">
        <f ca="1">IFERROR(__xludf.DUMMYFUNCTION("""COMPUTED_VALUE"""),"Language Learning")</f>
        <v>Language Learning</v>
      </c>
      <c r="AF21" t="str">
        <f ca="1">IFERROR(__xludf.DUMMYFUNCTION("""COMPUTED_VALUE"""),"Humanities, Literature &amp; Arts")</f>
        <v>Humanities, Literature &amp; Arts</v>
      </c>
      <c r="AG21" t="str">
        <f ca="1">IFERROR(__xludf.DUMMYFUNCTION("""COMPUTED_VALUE"""),"Unsure")</f>
        <v>Unsure</v>
      </c>
      <c r="AH21" s="448"/>
      <c r="AI21" s="464" t="str">
        <f ca="1">IFERROR(__xludf.DUMMYFUNCTION("""COMPUTED_VALUE"""),"Nature Communications")</f>
        <v>Nature Communications</v>
      </c>
      <c r="AJ21" t="str">
        <f ca="1">IFERROR(__xludf.DUMMYFUNCTION("""COMPUTED_VALUE"""),"Life Sciences &amp; Earth Sciences")</f>
        <v>Life Sciences &amp; Earth Sciences</v>
      </c>
      <c r="AK21" t="str">
        <f ca="1">IFERROR(__xludf.DUMMYFUNCTION("""COMPUTED_VALUE"""),"Unsure")</f>
        <v>Unsure</v>
      </c>
      <c r="AL21" s="448"/>
      <c r="AM21" t="str">
        <f ca="1">IFERROR(__xludf.DUMMYFUNCTION("""COMPUTED_VALUE"""),"Nature Physics")</f>
        <v>Nature Physics</v>
      </c>
      <c r="AN21" t="str">
        <f ca="1">IFERROR(__xludf.DUMMYFUNCTION("""COMPUTED_VALUE"""),"Physics &amp; Mathematics")</f>
        <v>Physics &amp; Mathematics</v>
      </c>
      <c r="AO21" t="str">
        <f ca="1">IFERROR(__xludf.DUMMYFUNCTION("""COMPUTED_VALUE"""),"Unsure")</f>
        <v>Unsure</v>
      </c>
      <c r="AP21" s="448"/>
      <c r="AQ21" t="str">
        <f ca="1">IFERROR(__xludf.DUMMYFUNCTION("""COMPUTED_VALUE"""),"Journal of Business Ethics")</f>
        <v>Journal of Business Ethics</v>
      </c>
      <c r="AR21" t="str">
        <f ca="1">IFERROR(__xludf.DUMMYFUNCTION("""COMPUTED_VALUE"""),"Business, Economics &amp; Management,
Social Sciences")</f>
        <v>Business, Economics &amp; Management,
Social Sciences</v>
      </c>
      <c r="AS21" t="str">
        <f ca="1">IFERROR(__xludf.DUMMYFUNCTION("""COMPUTED_VALUE"""),"Unsure")</f>
        <v>Unsure</v>
      </c>
    </row>
    <row r="22" spans="1:45" ht="15.75" customHeight="1">
      <c r="A22" s="462"/>
      <c r="B22" s="462"/>
      <c r="C22" t="str">
        <f ca="1">Filtered!I12</f>
        <v>American Journal of Political Science</v>
      </c>
      <c r="D22" t="str">
        <f ca="1">Filtered!J12</f>
        <v>Social Sciences</v>
      </c>
      <c r="E22" t="str">
        <f ca="1">Filtered!AD12</f>
        <v>Unsure</v>
      </c>
      <c r="F22" t="b">
        <f t="shared" ca="1" si="9"/>
        <v>0</v>
      </c>
      <c r="G22" t="b">
        <f t="shared" ca="1" si="10"/>
        <v>0</v>
      </c>
      <c r="H22" t="b">
        <f t="shared" ca="1" si="11"/>
        <v>0</v>
      </c>
      <c r="I22" t="b">
        <f t="shared" ca="1" si="12"/>
        <v>0</v>
      </c>
      <c r="J22" t="b">
        <f t="shared" ca="1" si="13"/>
        <v>0</v>
      </c>
      <c r="K22" t="b">
        <f t="shared" ca="1" si="14"/>
        <v>0</v>
      </c>
      <c r="L22" t="b">
        <f t="shared" ca="1" si="15"/>
        <v>0</v>
      </c>
      <c r="M22" t="b">
        <f t="shared" ca="1" si="16"/>
        <v>1</v>
      </c>
      <c r="N22" s="448"/>
      <c r="O22" s="464" t="str">
        <f ca="1">IFERROR(__xludf.DUMMYFUNCTION("""COMPUTED_VALUE"""),"Management Information Systems Quarterly")</f>
        <v>Management Information Systems Quarterly</v>
      </c>
      <c r="P22" t="str">
        <f ca="1">IFERROR(__xludf.DUMMYFUNCTION("""COMPUTED_VALUE"""),"Business, Economics &amp; Management")</f>
        <v>Business, Economics &amp; Management</v>
      </c>
      <c r="Q22" t="str">
        <f ca="1">IFERROR(__xludf.DUMMYFUNCTION("""COMPUTED_VALUE"""),"Unsure")</f>
        <v>Unsure</v>
      </c>
      <c r="R22" s="448"/>
      <c r="S22" s="464" t="str">
        <f ca="1">IFERROR(__xludf.DUMMYFUNCTION("""COMPUTED_VALUE"""),"Chemistry of Materials")</f>
        <v>Chemistry of Materials</v>
      </c>
      <c r="T22" t="str">
        <f ca="1">IFERROR(__xludf.DUMMYFUNCTION("""COMPUTED_VALUE"""),"Chemical &amp; Materials Sciences,
Engineering &amp; Computer Science")</f>
        <v>Chemical &amp; Materials Sciences,
Engineering &amp; Computer Science</v>
      </c>
      <c r="U22" t="str">
        <f ca="1">IFERROR(__xludf.DUMMYFUNCTION("""COMPUTED_VALUE"""),"Unsure")</f>
        <v>Unsure</v>
      </c>
      <c r="V22" s="448"/>
      <c r="W22" s="464" t="str">
        <f ca="1">IFERROR(__xludf.DUMMYFUNCTION("""COMPUTED_VALUE"""),"IEEE Transactions on Industrial Electronics")</f>
        <v>IEEE Transactions on Industrial Electronics</v>
      </c>
      <c r="X22" t="str">
        <f ca="1">IFERROR(__xludf.DUMMYFUNCTION("""COMPUTED_VALUE"""),"Engineering &amp; Computer Science")</f>
        <v>Engineering &amp; Computer Science</v>
      </c>
      <c r="Y22" t="str">
        <f ca="1">IFERROR(__xludf.DUMMYFUNCTION("""COMPUTED_VALUE"""),"Unsure")</f>
        <v>Unsure</v>
      </c>
      <c r="Z22" s="448"/>
      <c r="AA22" s="464" t="str">
        <f ca="1">IFERROR(__xludf.DUMMYFUNCTION("""COMPUTED_VALUE"""),"Nature Genetics")</f>
        <v>Nature Genetics</v>
      </c>
      <c r="AB22" t="str">
        <f ca="1">IFERROR(__xludf.DUMMYFUNCTION("""COMPUTED_VALUE"""),"Health &amp; Medical Sciences,
Life Sciences &amp; Earth Sciences")</f>
        <v>Health &amp; Medical Sciences,
Life Sciences &amp; Earth Sciences</v>
      </c>
      <c r="AC22" t="str">
        <f ca="1">IFERROR(__xludf.DUMMYFUNCTION("""COMPUTED_VALUE"""),"Unsure")</f>
        <v>Unsure</v>
      </c>
      <c r="AD22" s="448"/>
      <c r="AE22" s="464" t="str">
        <f ca="1">IFERROR(__xludf.DUMMYFUNCTION("""COMPUTED_VALUE"""),"Lingua")</f>
        <v>Lingua</v>
      </c>
      <c r="AF22" t="str">
        <f ca="1">IFERROR(__xludf.DUMMYFUNCTION("""COMPUTED_VALUE"""),"Humanities, Literature &amp; Arts")</f>
        <v>Humanities, Literature &amp; Arts</v>
      </c>
      <c r="AG22" t="str">
        <f ca="1">IFERROR(__xludf.DUMMYFUNCTION("""COMPUTED_VALUE"""),"Unsure")</f>
        <v>Unsure</v>
      </c>
      <c r="AH22" s="448"/>
      <c r="AI22" s="464" t="str">
        <f ca="1">IFERROR(__xludf.DUMMYFUNCTION("""COMPUTED_VALUE"""),"Nature Genetics")</f>
        <v>Nature Genetics</v>
      </c>
      <c r="AJ22" t="str">
        <f ca="1">IFERROR(__xludf.DUMMYFUNCTION("""COMPUTED_VALUE"""),"Health &amp; Medical Sciences,
Life Sciences &amp; Earth Sciences")</f>
        <v>Health &amp; Medical Sciences,
Life Sciences &amp; Earth Sciences</v>
      </c>
      <c r="AK22" t="str">
        <f ca="1">IFERROR(__xludf.DUMMYFUNCTION("""COMPUTED_VALUE"""),"Unsure")</f>
        <v>Unsure</v>
      </c>
      <c r="AL22" s="448"/>
      <c r="AM22" t="str">
        <f ca="1">IFERROR(__xludf.DUMMYFUNCTION("""COMPUTED_VALUE"""),"Optics Express")</f>
        <v>Optics Express</v>
      </c>
      <c r="AN22" t="str">
        <f ca="1">IFERROR(__xludf.DUMMYFUNCTION("""COMPUTED_VALUE"""),"Physics &amp; Mathematics")</f>
        <v>Physics &amp; Mathematics</v>
      </c>
      <c r="AO22" t="str">
        <f ca="1">IFERROR(__xludf.DUMMYFUNCTION("""COMPUTED_VALUE"""),"Yes")</f>
        <v>Yes</v>
      </c>
      <c r="AP22" s="448"/>
      <c r="AQ22" t="str">
        <f ca="1">IFERROR(__xludf.DUMMYFUNCTION("""COMPUTED_VALUE"""),"Journal of Educational Psychology")</f>
        <v>Journal of Educational Psychology</v>
      </c>
      <c r="AR22" t="str">
        <f ca="1">IFERROR(__xludf.DUMMYFUNCTION("""COMPUTED_VALUE"""),"Social Sciences")</f>
        <v>Social Sciences</v>
      </c>
      <c r="AS22" t="str">
        <f ca="1">IFERROR(__xludf.DUMMYFUNCTION("""COMPUTED_VALUE"""),"Yes")</f>
        <v>Yes</v>
      </c>
    </row>
    <row r="23" spans="1:45" ht="15.75" customHeight="1">
      <c r="A23" s="462"/>
      <c r="B23" s="462"/>
      <c r="C23" t="str">
        <f ca="1">Filtered!I13</f>
        <v>American Journal of Public Health</v>
      </c>
      <c r="D23" t="str">
        <f ca="1">Filtered!J13</f>
        <v>Social Sciences</v>
      </c>
      <c r="E23" t="str">
        <f ca="1">Filtered!AD13</f>
        <v>Unsure</v>
      </c>
      <c r="F23" t="b">
        <f t="shared" ca="1" si="9"/>
        <v>0</v>
      </c>
      <c r="G23" t="b">
        <f t="shared" ca="1" si="10"/>
        <v>0</v>
      </c>
      <c r="H23" t="b">
        <f t="shared" ca="1" si="11"/>
        <v>0</v>
      </c>
      <c r="I23" t="b">
        <f t="shared" ca="1" si="12"/>
        <v>0</v>
      </c>
      <c r="J23" t="b">
        <f t="shared" ca="1" si="13"/>
        <v>0</v>
      </c>
      <c r="K23" t="b">
        <f t="shared" ca="1" si="14"/>
        <v>0</v>
      </c>
      <c r="L23" t="b">
        <f t="shared" ca="1" si="15"/>
        <v>0</v>
      </c>
      <c r="M23" t="b">
        <f t="shared" ca="1" si="16"/>
        <v>1</v>
      </c>
      <c r="N23" s="448"/>
      <c r="O23" s="464" t="str">
        <f ca="1">IFERROR(__xludf.DUMMYFUNCTION("""COMPUTED_VALUE"""),"Management Science")</f>
        <v>Management Science</v>
      </c>
      <c r="P23" t="str">
        <f ca="1">IFERROR(__xludf.DUMMYFUNCTION("""COMPUTED_VALUE"""),"Business, Economics &amp; Management")</f>
        <v>Business, Economics &amp; Management</v>
      </c>
      <c r="Q23" t="str">
        <f ca="1">IFERROR(__xludf.DUMMYFUNCTION("""COMPUTED_VALUE"""),"Unsure")</f>
        <v>Unsure</v>
      </c>
      <c r="R23" s="448"/>
      <c r="S23" s="464" t="str">
        <f ca="1">IFERROR(__xludf.DUMMYFUNCTION("""COMPUTED_VALUE"""),"Energy and Environmental Science")</f>
        <v>Energy and Environmental Science</v>
      </c>
      <c r="T23" t="str">
        <f ca="1">IFERROR(__xludf.DUMMYFUNCTION("""COMPUTED_VALUE"""),"Chemical &amp; Materials Sciences, Engineering &amp; Computer Science")</f>
        <v>Chemical &amp; Materials Sciences, Engineering &amp; Computer Science</v>
      </c>
      <c r="U23" t="str">
        <f ca="1">IFERROR(__xludf.DUMMYFUNCTION("""COMPUTED_VALUE"""),"Unsure")</f>
        <v>Unsure</v>
      </c>
      <c r="V23" s="448"/>
      <c r="W23" s="464" t="str">
        <f ca="1">IFERROR(__xludf.DUMMYFUNCTION("""COMPUTED_VALUE"""),"IEEE Transactions on Power Electronics")</f>
        <v>IEEE Transactions on Power Electronics</v>
      </c>
      <c r="X23" t="str">
        <f ca="1">IFERROR(__xludf.DUMMYFUNCTION("""COMPUTED_VALUE"""),"Engineering &amp; Computer Science")</f>
        <v>Engineering &amp; Computer Science</v>
      </c>
      <c r="Y23" t="str">
        <f ca="1">IFERROR(__xludf.DUMMYFUNCTION("""COMPUTED_VALUE"""),"Unsure")</f>
        <v>Unsure</v>
      </c>
      <c r="Z23" s="448"/>
      <c r="AA23" s="464" t="str">
        <f ca="1">IFERROR(__xludf.DUMMYFUNCTION("""COMPUTED_VALUE"""),"Nature Medicine")</f>
        <v>Nature Medicine</v>
      </c>
      <c r="AB23" t="str">
        <f ca="1">IFERROR(__xludf.DUMMYFUNCTION("""COMPUTED_VALUE"""),"Health &amp; Medical Sciences")</f>
        <v>Health &amp; Medical Sciences</v>
      </c>
      <c r="AC23" t="str">
        <f ca="1">IFERROR(__xludf.DUMMYFUNCTION("""COMPUTED_VALUE"""),"Unsure")</f>
        <v>Unsure</v>
      </c>
      <c r="AD23" s="448"/>
      <c r="AE23" s="464" t="str">
        <f ca="1">IFERROR(__xludf.DUMMYFUNCTION("""COMPUTED_VALUE"""),"Media, Culture &amp; Society")</f>
        <v>Media, Culture &amp; Society</v>
      </c>
      <c r="AF23" t="str">
        <f ca="1">IFERROR(__xludf.DUMMYFUNCTION("""COMPUTED_VALUE"""),"Humanities, Literature &amp; Arts")</f>
        <v>Humanities, Literature &amp; Arts</v>
      </c>
      <c r="AG23" t="str">
        <f ca="1">IFERROR(__xludf.DUMMYFUNCTION("""COMPUTED_VALUE"""),"Unsure")</f>
        <v>Unsure</v>
      </c>
      <c r="AH23" s="448"/>
      <c r="AI23" s="464" t="str">
        <f ca="1">IFERROR(__xludf.DUMMYFUNCTION("""COMPUTED_VALUE"""),"Nature Methods")</f>
        <v>Nature Methods</v>
      </c>
      <c r="AJ23" t="str">
        <f ca="1">IFERROR(__xludf.DUMMYFUNCTION("""COMPUTED_VALUE"""),"Life Sciences &amp; Earth Sciences")</f>
        <v>Life Sciences &amp; Earth Sciences</v>
      </c>
      <c r="AK23" t="str">
        <f ca="1">IFERROR(__xludf.DUMMYFUNCTION("""COMPUTED_VALUE"""),"Unsure")</f>
        <v>Unsure</v>
      </c>
      <c r="AL23" s="448"/>
      <c r="AM23" t="str">
        <f ca="1">IFERROR(__xludf.DUMMYFUNCTION("""COMPUTED_VALUE"""),"Physical Review B")</f>
        <v>Physical Review B</v>
      </c>
      <c r="AN23" t="str">
        <f ca="1">IFERROR(__xludf.DUMMYFUNCTION("""COMPUTED_VALUE"""),"Physics &amp; Mathematics")</f>
        <v>Physics &amp; Mathematics</v>
      </c>
      <c r="AO23" t="str">
        <f ca="1">IFERROR(__xludf.DUMMYFUNCTION("""COMPUTED_VALUE"""),"Yes")</f>
        <v>Yes</v>
      </c>
      <c r="AP23" s="448"/>
      <c r="AQ23" t="str">
        <f ca="1">IFERROR(__xludf.DUMMYFUNCTION("""COMPUTED_VALUE"""),"Journal of Youth and Adolescence")</f>
        <v>Journal of Youth and Adolescence</v>
      </c>
      <c r="AR23" t="str">
        <f ca="1">IFERROR(__xludf.DUMMYFUNCTION("""COMPUTED_VALUE"""),"Social Sciences")</f>
        <v>Social Sciences</v>
      </c>
      <c r="AS23" t="str">
        <f ca="1">IFERROR(__xludf.DUMMYFUNCTION("""COMPUTED_VALUE"""),"Unsure")</f>
        <v>Unsure</v>
      </c>
    </row>
    <row r="24" spans="1:45" ht="15.75" customHeight="1">
      <c r="A24" s="462"/>
      <c r="B24" s="462"/>
      <c r="C24" t="str">
        <f ca="1">Filtered!I14</f>
        <v>American Political Science Review</v>
      </c>
      <c r="D24" t="str">
        <f ca="1">Filtered!J14</f>
        <v>Social Sciences</v>
      </c>
      <c r="E24" t="str">
        <f ca="1">Filtered!AD14</f>
        <v>Unsure</v>
      </c>
      <c r="F24" t="b">
        <f t="shared" ca="1" si="9"/>
        <v>0</v>
      </c>
      <c r="G24" t="b">
        <f t="shared" ca="1" si="10"/>
        <v>0</v>
      </c>
      <c r="H24" t="b">
        <f t="shared" ca="1" si="11"/>
        <v>0</v>
      </c>
      <c r="I24" t="b">
        <f t="shared" ca="1" si="12"/>
        <v>0</v>
      </c>
      <c r="J24" t="b">
        <f t="shared" ca="1" si="13"/>
        <v>0</v>
      </c>
      <c r="K24" t="b">
        <f t="shared" ca="1" si="14"/>
        <v>0</v>
      </c>
      <c r="L24" t="b">
        <f t="shared" ca="1" si="15"/>
        <v>0</v>
      </c>
      <c r="M24" t="b">
        <f t="shared" ca="1" si="16"/>
        <v>1</v>
      </c>
      <c r="N24" s="448"/>
      <c r="O24" s="464" t="str">
        <f ca="1">IFERROR(__xludf.DUMMYFUNCTION("""COMPUTED_VALUE"""),"Review of Economics and Statistics")</f>
        <v>Review of Economics and Statistics</v>
      </c>
      <c r="P24" t="str">
        <f ca="1">IFERROR(__xludf.DUMMYFUNCTION("""COMPUTED_VALUE"""),"Business, Economics &amp; Management")</f>
        <v>Business, Economics &amp; Management</v>
      </c>
      <c r="Q24" t="str">
        <f ca="1">IFERROR(__xludf.DUMMYFUNCTION("""COMPUTED_VALUE"""),"Unsure")</f>
        <v>Unsure</v>
      </c>
      <c r="R24" s="448"/>
      <c r="S24" s="464" t="str">
        <f ca="1">IFERROR(__xludf.DUMMYFUNCTION("""COMPUTED_VALUE"""),"Journal of Materials Chemistry. A")</f>
        <v>Journal of Materials Chemistry. A</v>
      </c>
      <c r="T24" t="str">
        <f ca="1">IFERROR(__xludf.DUMMYFUNCTION("""COMPUTED_VALUE"""),"Chemical &amp; Materials Sciences, Engineering &amp; Computer Science")</f>
        <v>Chemical &amp; Materials Sciences, Engineering &amp; Computer Science</v>
      </c>
      <c r="U24" t="str">
        <f ca="1">IFERROR(__xludf.DUMMYFUNCTION("""COMPUTED_VALUE"""),"Unsure")</f>
        <v>Unsure</v>
      </c>
      <c r="V24" s="448"/>
      <c r="W24" s="464" t="str">
        <f ca="1">IFERROR(__xludf.DUMMYFUNCTION("""COMPUTED_VALUE"""),"Journal of Materials Chemistry. A")</f>
        <v>Journal of Materials Chemistry. A</v>
      </c>
      <c r="X24" t="str">
        <f ca="1">IFERROR(__xludf.DUMMYFUNCTION("""COMPUTED_VALUE"""),"Chemical &amp; Materials Sciences, Engineering &amp; Computer Science")</f>
        <v>Chemical &amp; Materials Sciences, Engineering &amp; Computer Science</v>
      </c>
      <c r="Y24" t="str">
        <f ca="1">IFERROR(__xludf.DUMMYFUNCTION("""COMPUTED_VALUE"""),"Unsure")</f>
        <v>Unsure</v>
      </c>
      <c r="Z24" s="448"/>
      <c r="AA24" s="464" t="str">
        <f ca="1">IFERROR(__xludf.DUMMYFUNCTION("""COMPUTED_VALUE"""),"Nature Neuroscience")</f>
        <v>Nature Neuroscience</v>
      </c>
      <c r="AB24" t="str">
        <f ca="1">IFERROR(__xludf.DUMMYFUNCTION("""COMPUTED_VALUE"""),"Health &amp; Medical Sciences")</f>
        <v>Health &amp; Medical Sciences</v>
      </c>
      <c r="AC24" t="str">
        <f ca="1">IFERROR(__xludf.DUMMYFUNCTION("""COMPUTED_VALUE"""),"Unsure")</f>
        <v>Unsure</v>
      </c>
      <c r="AD24" s="448"/>
      <c r="AE24" s="464" t="str">
        <f ca="1">IFERROR(__xludf.DUMMYFUNCTION("""COMPUTED_VALUE"""),"Noûs")</f>
        <v>Noûs</v>
      </c>
      <c r="AF24" t="str">
        <f ca="1">IFERROR(__xludf.DUMMYFUNCTION("""COMPUTED_VALUE"""),"Social Sciences, Humanities, Literature &amp; Arts")</f>
        <v>Social Sciences, Humanities, Literature &amp; Arts</v>
      </c>
      <c r="AG24" t="str">
        <f ca="1">IFERROR(__xludf.DUMMYFUNCTION("""COMPUTED_VALUE"""),"Yes")</f>
        <v>Yes</v>
      </c>
      <c r="AH24" s="448"/>
      <c r="AI24" s="464" t="str">
        <f ca="1">IFERROR(__xludf.DUMMYFUNCTION("""COMPUTED_VALUE"""),"Nature Reviews Genetics")</f>
        <v>Nature Reviews Genetics</v>
      </c>
      <c r="AJ24" t="str">
        <f ca="1">IFERROR(__xludf.DUMMYFUNCTION("""COMPUTED_VALUE"""),"Life Sciences &amp; Earth Sciences")</f>
        <v>Life Sciences &amp; Earth Sciences</v>
      </c>
      <c r="AK24" t="str">
        <f ca="1">IFERROR(__xludf.DUMMYFUNCTION("""COMPUTED_VALUE"""),"Yes")</f>
        <v>Yes</v>
      </c>
      <c r="AL24" s="448"/>
      <c r="AM24" t="str">
        <f ca="1">IFERROR(__xludf.DUMMYFUNCTION("""COMPUTED_VALUE"""),"Physical Review D")</f>
        <v>Physical Review D</v>
      </c>
      <c r="AN24" t="str">
        <f ca="1">IFERROR(__xludf.DUMMYFUNCTION("""COMPUTED_VALUE"""),"Physics &amp; Mathematics")</f>
        <v>Physics &amp; Mathematics</v>
      </c>
      <c r="AO24" t="str">
        <f ca="1">IFERROR(__xludf.DUMMYFUNCTION("""COMPUTED_VALUE"""),"Yes")</f>
        <v>Yes</v>
      </c>
      <c r="AP24" s="448"/>
      <c r="AQ24" t="str">
        <f ca="1">IFERROR(__xludf.DUMMYFUNCTION("""COMPUTED_VALUE"""),"Land Use Policy")</f>
        <v>Land Use Policy</v>
      </c>
      <c r="AR24" t="str">
        <f ca="1">IFERROR(__xludf.DUMMYFUNCTION("""COMPUTED_VALUE"""),"Social Sciences")</f>
        <v>Social Sciences</v>
      </c>
      <c r="AS24" t="str">
        <f ca="1">IFERROR(__xludf.DUMMYFUNCTION("""COMPUTED_VALUE"""),"Unsure")</f>
        <v>Unsure</v>
      </c>
    </row>
    <row r="25" spans="1:45" ht="15.75" customHeight="1">
      <c r="A25" s="462"/>
      <c r="B25" s="462"/>
      <c r="C25" t="str">
        <f ca="1">Filtered!I15</f>
        <v>American Sociological Review</v>
      </c>
      <c r="D25" t="str">
        <f ca="1">Filtered!J15</f>
        <v>Social Sciences</v>
      </c>
      <c r="E25" t="str">
        <f ca="1">Filtered!AD15</f>
        <v>Yes</v>
      </c>
      <c r="F25" t="b">
        <f t="shared" ca="1" si="9"/>
        <v>0</v>
      </c>
      <c r="G25" t="b">
        <f t="shared" ca="1" si="10"/>
        <v>0</v>
      </c>
      <c r="H25" t="b">
        <f t="shared" ca="1" si="11"/>
        <v>0</v>
      </c>
      <c r="I25" t="b">
        <f t="shared" ca="1" si="12"/>
        <v>0</v>
      </c>
      <c r="J25" t="b">
        <f t="shared" ca="1" si="13"/>
        <v>0</v>
      </c>
      <c r="K25" t="b">
        <f t="shared" ca="1" si="14"/>
        <v>0</v>
      </c>
      <c r="L25" t="b">
        <f t="shared" ca="1" si="15"/>
        <v>0</v>
      </c>
      <c r="M25" t="b">
        <f t="shared" ca="1" si="16"/>
        <v>1</v>
      </c>
      <c r="N25" s="448"/>
      <c r="O25" s="464" t="str">
        <f ca="1">IFERROR(__xludf.DUMMYFUNCTION("""COMPUTED_VALUE"""),"Strategic Management Journal")</f>
        <v>Strategic Management Journal</v>
      </c>
      <c r="P25" t="str">
        <f ca="1">IFERROR(__xludf.DUMMYFUNCTION("""COMPUTED_VALUE"""),"Business, Economics &amp; Management")</f>
        <v>Business, Economics &amp; Management</v>
      </c>
      <c r="Q25" t="str">
        <f ca="1">IFERROR(__xludf.DUMMYFUNCTION("""COMPUTED_VALUE"""),"Unsure")</f>
        <v>Unsure</v>
      </c>
      <c r="R25" s="448"/>
      <c r="S25" s="464" t="str">
        <f ca="1">IFERROR(__xludf.DUMMYFUNCTION("""COMPUTED_VALUE"""),"Journal of the American Chemical Society")</f>
        <v>Journal of the American Chemical Society</v>
      </c>
      <c r="T25" t="str">
        <f ca="1">IFERROR(__xludf.DUMMYFUNCTION("""COMPUTED_VALUE"""),"Chemical &amp; Materials Sciences")</f>
        <v>Chemical &amp; Materials Sciences</v>
      </c>
      <c r="U25" t="str">
        <f ca="1">IFERROR(__xludf.DUMMYFUNCTION("""COMPUTED_VALUE"""),"Unsure")</f>
        <v>Unsure</v>
      </c>
      <c r="V25" s="448"/>
      <c r="W25" s="464" t="str">
        <f ca="1">IFERROR(__xludf.DUMMYFUNCTION("""COMPUTED_VALUE"""),"Nano Letters")</f>
        <v>Nano Letters</v>
      </c>
      <c r="X25" t="str">
        <f ca="1">IFERROR(__xludf.DUMMYFUNCTION("""COMPUTED_VALUE"""),"Chemical &amp; Materials Sciences,
Engineering &amp; Computer Science")</f>
        <v>Chemical &amp; Materials Sciences,
Engineering &amp; Computer Science</v>
      </c>
      <c r="Y25" t="str">
        <f ca="1">IFERROR(__xludf.DUMMYFUNCTION("""COMPUTED_VALUE"""),"Yes")</f>
        <v>Yes</v>
      </c>
      <c r="Z25" s="448"/>
      <c r="AA25" s="464" t="str">
        <f ca="1">IFERROR(__xludf.DUMMYFUNCTION("""COMPUTED_VALUE"""),"Neuron")</f>
        <v>Neuron</v>
      </c>
      <c r="AB25" t="str">
        <f ca="1">IFERROR(__xludf.DUMMYFUNCTION("""COMPUTED_VALUE"""),"Health &amp; Medical Sciences,
Life Sciences &amp; Earth Sciences")</f>
        <v>Health &amp; Medical Sciences,
Life Sciences &amp; Earth Sciences</v>
      </c>
      <c r="AC25" t="str">
        <f ca="1">IFERROR(__xludf.DUMMYFUNCTION("""COMPUTED_VALUE"""),"Yes")</f>
        <v>Yes</v>
      </c>
      <c r="AD25" s="448"/>
      <c r="AE25" s="464" t="str">
        <f ca="1">IFERROR(__xludf.DUMMYFUNCTION("""COMPUTED_VALUE"""),"Philosophical Studies")</f>
        <v>Philosophical Studies</v>
      </c>
      <c r="AF25" t="str">
        <f ca="1">IFERROR(__xludf.DUMMYFUNCTION("""COMPUTED_VALUE"""),"Humanities, Literature &amp; Arts")</f>
        <v>Humanities, Literature &amp; Arts</v>
      </c>
      <c r="AG25" t="str">
        <f ca="1">IFERROR(__xludf.DUMMYFUNCTION("""COMPUTED_VALUE"""),"Unsure")</f>
        <v>Unsure</v>
      </c>
      <c r="AH25" s="448"/>
      <c r="AI25" s="464" t="str">
        <f ca="1">IFERROR(__xludf.DUMMYFUNCTION("""COMPUTED_VALUE"""),"Nature Reviews. Molecular Cell Biology")</f>
        <v>Nature Reviews. Molecular Cell Biology</v>
      </c>
      <c r="AJ25" t="str">
        <f ca="1">IFERROR(__xludf.DUMMYFUNCTION("""COMPUTED_VALUE"""),"Life Sciences &amp; Earth Sciences")</f>
        <v>Life Sciences &amp; Earth Sciences</v>
      </c>
      <c r="AK25" t="str">
        <f ca="1">IFERROR(__xludf.DUMMYFUNCTION("""COMPUTED_VALUE"""),"Yes")</f>
        <v>Yes</v>
      </c>
      <c r="AL25" s="448"/>
      <c r="AM25" t="str">
        <f ca="1">IFERROR(__xludf.DUMMYFUNCTION("""COMPUTED_VALUE"""),"Physical Review Letters")</f>
        <v>Physical Review Letters</v>
      </c>
      <c r="AN25" t="str">
        <f ca="1">IFERROR(__xludf.DUMMYFUNCTION("""COMPUTED_VALUE"""),"Physics &amp; Mathematics")</f>
        <v>Physics &amp; Mathematics</v>
      </c>
      <c r="AO25" t="str">
        <f ca="1">IFERROR(__xludf.DUMMYFUNCTION("""COMPUTED_VALUE"""),"Yes")</f>
        <v>Yes</v>
      </c>
      <c r="AP25" s="448"/>
      <c r="AQ25" t="str">
        <f ca="1">IFERROR(__xludf.DUMMYFUNCTION("""COMPUTED_VALUE"""),"New Media and Society")</f>
        <v>New Media and Society</v>
      </c>
      <c r="AR25" t="str">
        <f ca="1">IFERROR(__xludf.DUMMYFUNCTION("""COMPUTED_VALUE"""),"Social Sciences")</f>
        <v>Social Sciences</v>
      </c>
      <c r="AS25" t="str">
        <f ca="1">IFERROR(__xludf.DUMMYFUNCTION("""COMPUTED_VALUE"""),"Unsure")</f>
        <v>Unsure</v>
      </c>
    </row>
    <row r="26" spans="1:45" ht="15.75" customHeight="1">
      <c r="A26" s="462"/>
      <c r="B26" s="462"/>
      <c r="C26" t="str">
        <f ca="1">Filtered!I16</f>
        <v>Angewandte Chemie International Edition</v>
      </c>
      <c r="D26" t="str">
        <f ca="1">Filtered!J16</f>
        <v>Chemical &amp; Materials Sciences</v>
      </c>
      <c r="E26" t="str">
        <f ca="1">Filtered!AD16</f>
        <v>Unsure</v>
      </c>
      <c r="F26" t="b">
        <f t="shared" ca="1" si="9"/>
        <v>0</v>
      </c>
      <c r="G26" t="b">
        <f t="shared" ca="1" si="10"/>
        <v>1</v>
      </c>
      <c r="H26" t="b">
        <f t="shared" ca="1" si="11"/>
        <v>0</v>
      </c>
      <c r="I26" t="b">
        <f t="shared" ca="1" si="12"/>
        <v>0</v>
      </c>
      <c r="J26" t="b">
        <f t="shared" ca="1" si="13"/>
        <v>0</v>
      </c>
      <c r="K26" t="b">
        <f t="shared" ca="1" si="14"/>
        <v>0</v>
      </c>
      <c r="L26" t="b">
        <f t="shared" ca="1" si="15"/>
        <v>0</v>
      </c>
      <c r="M26" t="b">
        <f t="shared" ca="1" si="16"/>
        <v>0</v>
      </c>
      <c r="N26" s="448"/>
      <c r="O26" s="464" t="str">
        <f ca="1">IFERROR(__xludf.DUMMYFUNCTION("""COMPUTED_VALUE"""),"The Journal of Finance")</f>
        <v>The Journal of Finance</v>
      </c>
      <c r="P26" t="str">
        <f ca="1">IFERROR(__xludf.DUMMYFUNCTION("""COMPUTED_VALUE"""),"Business, Economics &amp; Management")</f>
        <v>Business, Economics &amp; Management</v>
      </c>
      <c r="Q26" t="str">
        <f ca="1">IFERROR(__xludf.DUMMYFUNCTION("""COMPUTED_VALUE"""),"Unsure")</f>
        <v>Unsure</v>
      </c>
      <c r="R26" s="448"/>
      <c r="S26" s="464" t="str">
        <f ca="1">IFERROR(__xludf.DUMMYFUNCTION("""COMPUTED_VALUE"""),"Nano Letters")</f>
        <v>Nano Letters</v>
      </c>
      <c r="T26" t="str">
        <f ca="1">IFERROR(__xludf.DUMMYFUNCTION("""COMPUTED_VALUE"""),"Chemical &amp; Materials Sciences,
Engineering &amp; Computer Science")</f>
        <v>Chemical &amp; Materials Sciences,
Engineering &amp; Computer Science</v>
      </c>
      <c r="U26" t="str">
        <f ca="1">IFERROR(__xludf.DUMMYFUNCTION("""COMPUTED_VALUE"""),"Yes")</f>
        <v>Yes</v>
      </c>
      <c r="V26" s="448"/>
      <c r="W26" s="464" t="str">
        <f ca="1">IFERROR(__xludf.DUMMYFUNCTION("""COMPUTED_VALUE"""),"Nanoscale")</f>
        <v>Nanoscale</v>
      </c>
      <c r="X26" t="str">
        <f ca="1">IFERROR(__xludf.DUMMYFUNCTION("""COMPUTED_VALUE"""),"Chemical &amp; Materials Sciences,
Engineering &amp; Computer Science")</f>
        <v>Chemical &amp; Materials Sciences,
Engineering &amp; Computer Science</v>
      </c>
      <c r="Y26" t="str">
        <f ca="1">IFERROR(__xludf.DUMMYFUNCTION("""COMPUTED_VALUE"""),"Yes")</f>
        <v>Yes</v>
      </c>
      <c r="Z26" s="448"/>
      <c r="AA26" s="464" t="str">
        <f ca="1">IFERROR(__xludf.DUMMYFUNCTION("""COMPUTED_VALUE"""),"PLoS One")</f>
        <v>PLoS One</v>
      </c>
      <c r="AB26" t="str">
        <f ca="1">IFERROR(__xludf.DUMMYFUNCTION("""COMPUTED_VALUE"""),"Health &amp; Medical Sciences,
Life Sciences &amp; Earth Sciences")</f>
        <v>Health &amp; Medical Sciences,
Life Sciences &amp; Earth Sciences</v>
      </c>
      <c r="AC26" t="str">
        <f ca="1">IFERROR(__xludf.DUMMYFUNCTION("""COMPUTED_VALUE"""),"Yes")</f>
        <v>Yes</v>
      </c>
      <c r="AD26" s="448"/>
      <c r="AE26" s="464" t="str">
        <f ca="1">IFERROR(__xludf.DUMMYFUNCTION("""COMPUTED_VALUE"""),"Public Opinion Quarterly")</f>
        <v>Public Opinion Quarterly</v>
      </c>
      <c r="AF26" t="str">
        <f ca="1">IFERROR(__xludf.DUMMYFUNCTION("""COMPUTED_VALUE"""),"Humanities, Literature &amp; Arts")</f>
        <v>Humanities, Literature &amp; Arts</v>
      </c>
      <c r="AG26" t="str">
        <f ca="1">IFERROR(__xludf.DUMMYFUNCTION("""COMPUTED_VALUE"""),"Unsure")</f>
        <v>Unsure</v>
      </c>
      <c r="AH26" s="448"/>
      <c r="AI26" s="464" t="str">
        <f ca="1">IFERROR(__xludf.DUMMYFUNCTION("""COMPUTED_VALUE"""),"Neuron")</f>
        <v>Neuron</v>
      </c>
      <c r="AJ26" t="str">
        <f ca="1">IFERROR(__xludf.DUMMYFUNCTION("""COMPUTED_VALUE"""),"Health &amp; Medical Sciences,
Life Sciences &amp; Earth Sciences")</f>
        <v>Health &amp; Medical Sciences,
Life Sciences &amp; Earth Sciences</v>
      </c>
      <c r="AK26" t="str">
        <f ca="1">IFERROR(__xludf.DUMMYFUNCTION("""COMPUTED_VALUE"""),"Yes")</f>
        <v>Yes</v>
      </c>
      <c r="AL26" s="448"/>
      <c r="AM26" t="str">
        <f ca="1">IFERROR(__xludf.DUMMYFUNCTION("""COMPUTED_VALUE"""),"Physical Review X")</f>
        <v>Physical Review X</v>
      </c>
      <c r="AN26" t="str">
        <f ca="1">IFERROR(__xludf.DUMMYFUNCTION("""COMPUTED_VALUE"""),"Physics &amp; Mathematics")</f>
        <v>Physics &amp; Mathematics</v>
      </c>
      <c r="AO26" t="str">
        <f ca="1">IFERROR(__xludf.DUMMYFUNCTION("""COMPUTED_VALUE"""),"Yes")</f>
        <v>Yes</v>
      </c>
      <c r="AP26" s="448"/>
      <c r="AQ26" t="str">
        <f ca="1">IFERROR(__xludf.DUMMYFUNCTION("""COMPUTED_VALUE"""),"Noûs")</f>
        <v>Noûs</v>
      </c>
      <c r="AR26" t="str">
        <f ca="1">IFERROR(__xludf.DUMMYFUNCTION("""COMPUTED_VALUE"""),"Social Sciences, Humanities, Literature &amp; Arts")</f>
        <v>Social Sciences, Humanities, Literature &amp; Arts</v>
      </c>
      <c r="AS26" t="str">
        <f ca="1">IFERROR(__xludf.DUMMYFUNCTION("""COMPUTED_VALUE"""),"Yes")</f>
        <v>Yes</v>
      </c>
    </row>
    <row r="27" spans="1:45" ht="15.75" customHeight="1">
      <c r="A27" s="462"/>
      <c r="B27" s="462"/>
      <c r="C27" t="str">
        <f ca="1">Filtered!I17</f>
        <v>Annals of Internal Medicine</v>
      </c>
      <c r="D27" t="str">
        <f ca="1">Filtered!J17</f>
        <v/>
      </c>
      <c r="E27" t="str">
        <f ca="1">Filtered!AD17</f>
        <v>No</v>
      </c>
      <c r="F27" t="b">
        <f t="shared" ca="1" si="9"/>
        <v>0</v>
      </c>
      <c r="G27" t="b">
        <f t="shared" ca="1" si="10"/>
        <v>0</v>
      </c>
      <c r="H27" t="b">
        <f t="shared" ca="1" si="11"/>
        <v>0</v>
      </c>
      <c r="I27" t="b">
        <f t="shared" ca="1" si="12"/>
        <v>0</v>
      </c>
      <c r="J27" t="b">
        <f t="shared" ca="1" si="13"/>
        <v>0</v>
      </c>
      <c r="K27" t="b">
        <f t="shared" ca="1" si="14"/>
        <v>0</v>
      </c>
      <c r="L27" t="b">
        <f t="shared" ca="1" si="15"/>
        <v>0</v>
      </c>
      <c r="M27" t="b">
        <f t="shared" ca="1" si="16"/>
        <v>0</v>
      </c>
      <c r="N27" s="448"/>
      <c r="O27" s="464" t="str">
        <f ca="1">IFERROR(__xludf.DUMMYFUNCTION("""COMPUTED_VALUE"""),"The Quarterly Journal of Economics")</f>
        <v>The Quarterly Journal of Economics</v>
      </c>
      <c r="P27" t="str">
        <f ca="1">IFERROR(__xludf.DUMMYFUNCTION("""COMPUTED_VALUE"""),"Business, Economics &amp; Management")</f>
        <v>Business, Economics &amp; Management</v>
      </c>
      <c r="Q27" t="str">
        <f ca="1">IFERROR(__xludf.DUMMYFUNCTION("""COMPUTED_VALUE"""),"Unsure")</f>
        <v>Unsure</v>
      </c>
      <c r="R27" s="448"/>
      <c r="S27" s="464" t="str">
        <f ca="1">IFERROR(__xludf.DUMMYFUNCTION("""COMPUTED_VALUE"""),"Nanoscale")</f>
        <v>Nanoscale</v>
      </c>
      <c r="T27" t="str">
        <f ca="1">IFERROR(__xludf.DUMMYFUNCTION("""COMPUTED_VALUE"""),"Chemical &amp; Materials Sciences,
Engineering &amp; Computer Science")</f>
        <v>Chemical &amp; Materials Sciences,
Engineering &amp; Computer Science</v>
      </c>
      <c r="U27" t="str">
        <f ca="1">IFERROR(__xludf.DUMMYFUNCTION("""COMPUTED_VALUE"""),"Yes")</f>
        <v>Yes</v>
      </c>
      <c r="V27" s="448"/>
      <c r="W27" s="464" t="str">
        <f ca="1">IFERROR(__xludf.DUMMYFUNCTION("""COMPUTED_VALUE"""),"Nature Materials")</f>
        <v>Nature Materials</v>
      </c>
      <c r="X27" t="str">
        <f ca="1">IFERROR(__xludf.DUMMYFUNCTION("""COMPUTED_VALUE"""),"Chemical &amp; Materials Sciences,
Engineering &amp; Computer Science")</f>
        <v>Chemical &amp; Materials Sciences,
Engineering &amp; Computer Science</v>
      </c>
      <c r="Y27" t="str">
        <f ca="1">IFERROR(__xludf.DUMMYFUNCTION("""COMPUTED_VALUE"""),"Unsure")</f>
        <v>Unsure</v>
      </c>
      <c r="Z27" s="448"/>
      <c r="AA27" s="464" t="str">
        <f ca="1">IFERROR(__xludf.DUMMYFUNCTION("""COMPUTED_VALUE"""),"Proceedings of the National Academy of Sciences")</f>
        <v>Proceedings of the National Academy of Sciences</v>
      </c>
      <c r="AB27" t="str">
        <f ca="1">IFERROR(__xludf.DUMMYFUNCTION("""COMPUTED_VALUE"""),"Health &amp; Medical Sciences,
Life Sciences &amp; Earth Sciences")</f>
        <v>Health &amp; Medical Sciences,
Life Sciences &amp; Earth Sciences</v>
      </c>
      <c r="AC27" t="str">
        <f ca="1">IFERROR(__xludf.DUMMYFUNCTION("""COMPUTED_VALUE"""),"Yes")</f>
        <v>Yes</v>
      </c>
      <c r="AD27" s="448"/>
      <c r="AE27" s="464" t="str">
        <f ca="1">IFERROR(__xludf.DUMMYFUNCTION("""COMPUTED_VALUE"""),"Synthese")</f>
        <v>Synthese</v>
      </c>
      <c r="AF27" t="str">
        <f ca="1">IFERROR(__xludf.DUMMYFUNCTION("""COMPUTED_VALUE"""),"Humanities, Literature &amp; Arts")</f>
        <v>Humanities, Literature &amp; Arts</v>
      </c>
      <c r="AG27" t="str">
        <f ca="1">IFERROR(__xludf.DUMMYFUNCTION("""COMPUTED_VALUE"""),"Unsure")</f>
        <v>Unsure</v>
      </c>
      <c r="AH27" s="448"/>
      <c r="AI27" s="464" t="str">
        <f ca="1">IFERROR(__xludf.DUMMYFUNCTION("""COMPUTED_VALUE"""),"Nucleic Acids Research")</f>
        <v>Nucleic Acids Research</v>
      </c>
      <c r="AJ27" t="str">
        <f ca="1">IFERROR(__xludf.DUMMYFUNCTION("""COMPUTED_VALUE"""),"Life Sciences &amp; Earth Sciences")</f>
        <v>Life Sciences &amp; Earth Sciences</v>
      </c>
      <c r="AK27" t="str">
        <f ca="1">IFERROR(__xludf.DUMMYFUNCTION("""COMPUTED_VALUE"""),"Unsure")</f>
        <v>Unsure</v>
      </c>
      <c r="AL27" s="448"/>
      <c r="AM27" t="str">
        <f ca="1">IFERROR(__xludf.DUMMYFUNCTION("""COMPUTED_VALUE"""),"Physics Letters B")</f>
        <v>Physics Letters B</v>
      </c>
      <c r="AN27" t="str">
        <f ca="1">IFERROR(__xludf.DUMMYFUNCTION("""COMPUTED_VALUE"""),"Physics &amp; Mathematics")</f>
        <v>Physics &amp; Mathematics</v>
      </c>
      <c r="AO27" t="str">
        <f ca="1">IFERROR(__xludf.DUMMYFUNCTION("""COMPUTED_VALUE"""),"Unsure")</f>
        <v>Unsure</v>
      </c>
      <c r="AP27" s="448"/>
      <c r="AQ27" t="str">
        <f ca="1">IFERROR(__xludf.DUMMYFUNCTION("""COMPUTED_VALUE"""),"Progress in Human Geography")</f>
        <v>Progress in Human Geography</v>
      </c>
      <c r="AR27" t="str">
        <f ca="1">IFERROR(__xludf.DUMMYFUNCTION("""COMPUTED_VALUE"""),"Social Sciences")</f>
        <v>Social Sciences</v>
      </c>
      <c r="AS27" t="str">
        <f ca="1">IFERROR(__xludf.DUMMYFUNCTION("""COMPUTED_VALUE"""),"Yes")</f>
        <v>Yes</v>
      </c>
    </row>
    <row r="28" spans="1:45" ht="15.75" customHeight="1">
      <c r="A28" s="462"/>
      <c r="B28" s="462"/>
      <c r="C28" t="str">
        <f ca="1">Filtered!I18</f>
        <v>Annals of Oncology</v>
      </c>
      <c r="D28" t="str">
        <f ca="1">Filtered!J18</f>
        <v/>
      </c>
      <c r="E28" t="str">
        <f ca="1">Filtered!AD18</f>
        <v>Unsure</v>
      </c>
      <c r="F28" t="b">
        <f t="shared" ca="1" si="9"/>
        <v>0</v>
      </c>
      <c r="G28" t="b">
        <f t="shared" ca="1" si="10"/>
        <v>0</v>
      </c>
      <c r="H28" t="b">
        <f t="shared" ca="1" si="11"/>
        <v>0</v>
      </c>
      <c r="I28" t="b">
        <f t="shared" ca="1" si="12"/>
        <v>0</v>
      </c>
      <c r="J28" t="b">
        <f t="shared" ca="1" si="13"/>
        <v>0</v>
      </c>
      <c r="K28" t="b">
        <f t="shared" ca="1" si="14"/>
        <v>0</v>
      </c>
      <c r="L28" t="b">
        <f t="shared" ca="1" si="15"/>
        <v>0</v>
      </c>
      <c r="M28" t="b">
        <f t="shared" ca="1" si="16"/>
        <v>0</v>
      </c>
      <c r="N28" s="448"/>
      <c r="O28" s="464" t="str">
        <f ca="1">IFERROR(__xludf.DUMMYFUNCTION("""COMPUTED_VALUE"""),"The Review of Economic Studies")</f>
        <v>The Review of Economic Studies</v>
      </c>
      <c r="P28" t="str">
        <f ca="1">IFERROR(__xludf.DUMMYFUNCTION("""COMPUTED_VALUE"""),"Business, Economics &amp; Management")</f>
        <v>Business, Economics &amp; Management</v>
      </c>
      <c r="Q28" t="str">
        <f ca="1">IFERROR(__xludf.DUMMYFUNCTION("""COMPUTED_VALUE"""),"Unsure")</f>
        <v>Unsure</v>
      </c>
      <c r="R28" s="448"/>
      <c r="S28" s="464" t="str">
        <f ca="1">IFERROR(__xludf.DUMMYFUNCTION("""COMPUTED_VALUE"""),"Nature Chemistry")</f>
        <v>Nature Chemistry</v>
      </c>
      <c r="T28" t="str">
        <f ca="1">IFERROR(__xludf.DUMMYFUNCTION("""COMPUTED_VALUE"""),"Chemical &amp; Materials Sciences")</f>
        <v>Chemical &amp; Materials Sciences</v>
      </c>
      <c r="U28" t="str">
        <f ca="1">IFERROR(__xludf.DUMMYFUNCTION("""COMPUTED_VALUE"""),"Unsure")</f>
        <v>Unsure</v>
      </c>
      <c r="V28" s="448"/>
      <c r="W28" s="464" t="str">
        <f ca="1">IFERROR(__xludf.DUMMYFUNCTION("""COMPUTED_VALUE"""),"Nature Nanotechnology")</f>
        <v>Nature Nanotechnology</v>
      </c>
      <c r="X28" t="str">
        <f ca="1">IFERROR(__xludf.DUMMYFUNCTION("""COMPUTED_VALUE"""),"Chemical &amp; Materials Sciences,
Engineering &amp; Computer Science")</f>
        <v>Chemical &amp; Materials Sciences,
Engineering &amp; Computer Science</v>
      </c>
      <c r="Y28" t="str">
        <f ca="1">IFERROR(__xludf.DUMMYFUNCTION("""COMPUTED_VALUE"""),"Unsure")</f>
        <v>Unsure</v>
      </c>
      <c r="Z28" s="448"/>
      <c r="AA28" s="464" t="str">
        <f ca="1">IFERROR(__xludf.DUMMYFUNCTION("""COMPUTED_VALUE"""),"The Cochrane Database of Systematic Reviews")</f>
        <v>The Cochrane Database of Systematic Reviews</v>
      </c>
      <c r="AB28" t="str">
        <f ca="1">IFERROR(__xludf.DUMMYFUNCTION("""COMPUTED_VALUE"""),"Health &amp; Medical Sciences")</f>
        <v>Health &amp; Medical Sciences</v>
      </c>
      <c r="AC28" t="str">
        <f ca="1">IFERROR(__xludf.DUMMYFUNCTION("""COMPUTED_VALUE"""),"Unsure")</f>
        <v>Unsure</v>
      </c>
      <c r="AD28" s="448"/>
      <c r="AE28" s="464" t="str">
        <f ca="1">IFERROR(__xludf.DUMMYFUNCTION("""COMPUTED_VALUE"""),"System")</f>
        <v>System</v>
      </c>
      <c r="AF28" t="str">
        <f ca="1">IFERROR(__xludf.DUMMYFUNCTION("""COMPUTED_VALUE"""),"Humanities, Literature &amp; Arts")</f>
        <v>Humanities, Literature &amp; Arts</v>
      </c>
      <c r="AG28" t="str">
        <f ca="1">IFERROR(__xludf.DUMMYFUNCTION("""COMPUTED_VALUE"""),"Unsure")</f>
        <v>Unsure</v>
      </c>
      <c r="AH28" s="448"/>
      <c r="AI28" s="464" t="str">
        <f ca="1">IFERROR(__xludf.DUMMYFUNCTION("""COMPUTED_VALUE"""),"PLoS One")</f>
        <v>PLoS One</v>
      </c>
      <c r="AJ28" t="str">
        <f ca="1">IFERROR(__xludf.DUMMYFUNCTION("""COMPUTED_VALUE"""),"Health &amp; Medical Sciences,
Life Sciences &amp; Earth Sciences")</f>
        <v>Health &amp; Medical Sciences,
Life Sciences &amp; Earth Sciences</v>
      </c>
      <c r="AK28" t="str">
        <f ca="1">IFERROR(__xludf.DUMMYFUNCTION("""COMPUTED_VALUE"""),"Yes")</f>
        <v>Yes</v>
      </c>
      <c r="AL28" s="448"/>
      <c r="AM28" t="str">
        <f ca="1">IFERROR(__xludf.DUMMYFUNCTION("""COMPUTED_VALUE"""),"Reviews of Modern Physics")</f>
        <v>Reviews of Modern Physics</v>
      </c>
      <c r="AN28" t="str">
        <f ca="1">IFERROR(__xludf.DUMMYFUNCTION("""COMPUTED_VALUE"""),"Physics &amp; Mathematics")</f>
        <v>Physics &amp; Mathematics</v>
      </c>
      <c r="AO28" t="str">
        <f ca="1">IFERROR(__xludf.DUMMYFUNCTION("""COMPUTED_VALUE"""),"Yes")</f>
        <v>Yes</v>
      </c>
      <c r="AP28" s="448"/>
      <c r="AQ28" t="str">
        <f ca="1">IFERROR(__xludf.DUMMYFUNCTION("""COMPUTED_VALUE"""),"Regional Studies")</f>
        <v>Regional Studies</v>
      </c>
      <c r="AR28" t="str">
        <f ca="1">IFERROR(__xludf.DUMMYFUNCTION("""COMPUTED_VALUE"""),"Social Sciences")</f>
        <v>Social Sciences</v>
      </c>
      <c r="AS28" t="str">
        <f ca="1">IFERROR(__xludf.DUMMYFUNCTION("""COMPUTED_VALUE"""),"Unsure")</f>
        <v>Unsure</v>
      </c>
    </row>
    <row r="29" spans="1:45" ht="15.75" customHeight="1">
      <c r="A29" s="462"/>
      <c r="B29" s="462"/>
      <c r="C29" t="str">
        <f ca="1">Filtered!I19</f>
        <v>Annals of the Rheumatic Diseases</v>
      </c>
      <c r="D29" t="str">
        <f ca="1">Filtered!J19</f>
        <v/>
      </c>
      <c r="E29" t="str">
        <f ca="1">Filtered!AD19</f>
        <v>Yes</v>
      </c>
      <c r="F29" t="b">
        <f t="shared" ca="1" si="9"/>
        <v>0</v>
      </c>
      <c r="G29" t="b">
        <f t="shared" ca="1" si="10"/>
        <v>0</v>
      </c>
      <c r="H29" t="b">
        <f t="shared" ca="1" si="11"/>
        <v>0</v>
      </c>
      <c r="I29" t="b">
        <f t="shared" ca="1" si="12"/>
        <v>0</v>
      </c>
      <c r="J29" t="b">
        <f t="shared" ca="1" si="13"/>
        <v>0</v>
      </c>
      <c r="K29" t="b">
        <f t="shared" ca="1" si="14"/>
        <v>0</v>
      </c>
      <c r="L29" t="b">
        <f t="shared" ca="1" si="15"/>
        <v>0</v>
      </c>
      <c r="M29" t="b">
        <f t="shared" ca="1" si="16"/>
        <v>0</v>
      </c>
      <c r="N29" s="448"/>
      <c r="O29" s="464" t="str">
        <f ca="1">IFERROR(__xludf.DUMMYFUNCTION("""COMPUTED_VALUE"""),"The Review of Financial Studies")</f>
        <v>The Review of Financial Studies</v>
      </c>
      <c r="P29" t="str">
        <f ca="1">IFERROR(__xludf.DUMMYFUNCTION("""COMPUTED_VALUE"""),"Business, Economics &amp; Management")</f>
        <v>Business, Economics &amp; Management</v>
      </c>
      <c r="Q29" t="str">
        <f ca="1">IFERROR(__xludf.DUMMYFUNCTION("""COMPUTED_VALUE"""),"Unsure")</f>
        <v>Unsure</v>
      </c>
      <c r="R29" s="448"/>
      <c r="S29" s="464" t="str">
        <f ca="1">IFERROR(__xludf.DUMMYFUNCTION("""COMPUTED_VALUE"""),"Nature Materials")</f>
        <v>Nature Materials</v>
      </c>
      <c r="T29" t="str">
        <f ca="1">IFERROR(__xludf.DUMMYFUNCTION("""COMPUTED_VALUE"""),"Chemical &amp; Materials Sciences,
Engineering &amp; Computer Science")</f>
        <v>Chemical &amp; Materials Sciences,
Engineering &amp; Computer Science</v>
      </c>
      <c r="U29" t="str">
        <f ca="1">IFERROR(__xludf.DUMMYFUNCTION("""COMPUTED_VALUE"""),"Unsure")</f>
        <v>Unsure</v>
      </c>
      <c r="V29" s="448"/>
      <c r="W29" s="464" t="str">
        <f ca="1">IFERROR(__xludf.DUMMYFUNCTION("""COMPUTED_VALUE"""),"Nature Photonics")</f>
        <v>Nature Photonics</v>
      </c>
      <c r="X29" t="str">
        <f ca="1">IFERROR(__xludf.DUMMYFUNCTION("""COMPUTED_VALUE"""),"Engineering &amp; Computer Science,
Physics &amp; Mathematics")</f>
        <v>Engineering &amp; Computer Science,
Physics &amp; Mathematics</v>
      </c>
      <c r="Y29" t="str">
        <f ca="1">IFERROR(__xludf.DUMMYFUNCTION("""COMPUTED_VALUE"""),"Unsure")</f>
        <v>Unsure</v>
      </c>
      <c r="Z29" s="448"/>
      <c r="AA29" s="464" t="str">
        <f ca="1">IFERROR(__xludf.DUMMYFUNCTION("""COMPUTED_VALUE"""),"The Lancet")</f>
        <v>The Lancet</v>
      </c>
      <c r="AB29" t="str">
        <f ca="1">IFERROR(__xludf.DUMMYFUNCTION("""COMPUTED_VALUE"""),"Health &amp; Medical Sciences")</f>
        <v>Health &amp; Medical Sciences</v>
      </c>
      <c r="AC29" t="str">
        <f ca="1">IFERROR(__xludf.DUMMYFUNCTION("""COMPUTED_VALUE"""),"Unsure")</f>
        <v>Unsure</v>
      </c>
      <c r="AD29" s="448"/>
      <c r="AE29" s="464" t="str">
        <f ca="1">IFERROR(__xludf.DUMMYFUNCTION("""COMPUTED_VALUE"""),"TESOL Quarterly")</f>
        <v>TESOL Quarterly</v>
      </c>
      <c r="AF29" t="str">
        <f ca="1">IFERROR(__xludf.DUMMYFUNCTION("""COMPUTED_VALUE"""),"Humanities, Literature &amp; Arts")</f>
        <v>Humanities, Literature &amp; Arts</v>
      </c>
      <c r="AG29" t="str">
        <f ca="1">IFERROR(__xludf.DUMMYFUNCTION("""COMPUTED_VALUE"""),"Unsure")</f>
        <v>Unsure</v>
      </c>
      <c r="AH29" s="448"/>
      <c r="AI29" s="464" t="str">
        <f ca="1">IFERROR(__xludf.DUMMYFUNCTION("""COMPUTED_VALUE"""),"Proceedings of the National Academy of Sciences")</f>
        <v>Proceedings of the National Academy of Sciences</v>
      </c>
      <c r="AJ29" t="str">
        <f ca="1">IFERROR(__xludf.DUMMYFUNCTION("""COMPUTED_VALUE"""),"Health &amp; Medical Sciences,
Life Sciences &amp; Earth Sciences")</f>
        <v>Health &amp; Medical Sciences,
Life Sciences &amp; Earth Sciences</v>
      </c>
      <c r="AK29" t="str">
        <f ca="1">IFERROR(__xludf.DUMMYFUNCTION("""COMPUTED_VALUE"""),"Yes")</f>
        <v>Yes</v>
      </c>
      <c r="AL29" s="448"/>
      <c r="AM29" t="str">
        <f ca="1">IFERROR(__xludf.DUMMYFUNCTION("""COMPUTED_VALUE"""),"The Astrophysical Journal")</f>
        <v>The Astrophysical Journal</v>
      </c>
      <c r="AN29" t="str">
        <f ca="1">IFERROR(__xludf.DUMMYFUNCTION("""COMPUTED_VALUE"""),"Physics &amp; Mathematics")</f>
        <v>Physics &amp; Mathematics</v>
      </c>
      <c r="AO29" t="str">
        <f ca="1">IFERROR(__xludf.DUMMYFUNCTION("""COMPUTED_VALUE"""),"Unsure")</f>
        <v>Unsure</v>
      </c>
      <c r="AP29" s="448"/>
      <c r="AQ29" t="str">
        <f ca="1">IFERROR(__xludf.DUMMYFUNCTION("""COMPUTED_VALUE"""),"Research Policy")</f>
        <v>Research Policy</v>
      </c>
      <c r="AR29" t="str">
        <f ca="1">IFERROR(__xludf.DUMMYFUNCTION("""COMPUTED_VALUE"""),"Social Sciences")</f>
        <v>Social Sciences</v>
      </c>
      <c r="AS29" t="str">
        <f ca="1">IFERROR(__xludf.DUMMYFUNCTION("""COMPUTED_VALUE"""),"Unsure")</f>
        <v>Unsure</v>
      </c>
    </row>
    <row r="30" spans="1:45" ht="15.75" customHeight="1">
      <c r="A30" s="462"/>
      <c r="B30" s="462"/>
      <c r="C30" t="str">
        <f ca="1">Filtered!I20</f>
        <v>Annals of Tourism Research</v>
      </c>
      <c r="D30" t="str">
        <f ca="1">Filtered!J20</f>
        <v>Social Sciences</v>
      </c>
      <c r="E30" t="str">
        <f ca="1">Filtered!AD20</f>
        <v>Unsure</v>
      </c>
      <c r="F30" t="b">
        <f t="shared" ca="1" si="9"/>
        <v>0</v>
      </c>
      <c r="G30" t="b">
        <f t="shared" ca="1" si="10"/>
        <v>0</v>
      </c>
      <c r="H30" t="b">
        <f t="shared" ca="1" si="11"/>
        <v>0</v>
      </c>
      <c r="I30" t="b">
        <f t="shared" ca="1" si="12"/>
        <v>0</v>
      </c>
      <c r="J30" t="b">
        <f t="shared" ca="1" si="13"/>
        <v>0</v>
      </c>
      <c r="K30" t="b">
        <f t="shared" ca="1" si="14"/>
        <v>0</v>
      </c>
      <c r="L30" t="b">
        <f t="shared" ca="1" si="15"/>
        <v>0</v>
      </c>
      <c r="M30" t="b">
        <f t="shared" ca="1" si="16"/>
        <v>1</v>
      </c>
      <c r="N30" s="448"/>
      <c r="O30" s="464" t="str">
        <f ca="1">IFERROR(__xludf.DUMMYFUNCTION("""COMPUTED_VALUE"""),"Tourism Management")</f>
        <v>Tourism Management</v>
      </c>
      <c r="P30" t="str">
        <f ca="1">IFERROR(__xludf.DUMMYFUNCTION("""COMPUTED_VALUE"""),"Business, Economics &amp; Management")</f>
        <v>Business, Economics &amp; Management</v>
      </c>
      <c r="Q30" t="str">
        <f ca="1">IFERROR(__xludf.DUMMYFUNCTION("""COMPUTED_VALUE"""),"Unsure")</f>
        <v>Unsure</v>
      </c>
      <c r="R30" s="448"/>
      <c r="S30" s="464" t="str">
        <f ca="1">IFERROR(__xludf.DUMMYFUNCTION("""COMPUTED_VALUE"""),"Nature Nanotechnology")</f>
        <v>Nature Nanotechnology</v>
      </c>
      <c r="T30" t="str">
        <f ca="1">IFERROR(__xludf.DUMMYFUNCTION("""COMPUTED_VALUE"""),"Chemical &amp; Materials Sciences,
Engineering &amp; Computer Science")</f>
        <v>Chemical &amp; Materials Sciences,
Engineering &amp; Computer Science</v>
      </c>
      <c r="U30" t="str">
        <f ca="1">IFERROR(__xludf.DUMMYFUNCTION("""COMPUTED_VALUE"""),"Unsure")</f>
        <v>Unsure</v>
      </c>
      <c r="V30" s="448"/>
      <c r="W30" s="464" t="str">
        <f ca="1">IFERROR(__xludf.DUMMYFUNCTION("""COMPUTED_VALUE"""),"Neural Information Processing Systems (NIPS)")</f>
        <v>Neural Information Processing Systems (NIPS)</v>
      </c>
      <c r="X30" t="str">
        <f ca="1">IFERROR(__xludf.DUMMYFUNCTION("""COMPUTED_VALUE"""),"Engineering &amp; Computer Science")</f>
        <v>Engineering &amp; Computer Science</v>
      </c>
      <c r="Y30" t="str">
        <f ca="1">IFERROR(__xludf.DUMMYFUNCTION("""COMPUTED_VALUE"""),"Unsure")</f>
        <v>Unsure</v>
      </c>
      <c r="Z30" s="448"/>
      <c r="AA30" s="464" t="str">
        <f ca="1">IFERROR(__xludf.DUMMYFUNCTION("""COMPUTED_VALUE"""),"The Lancet Oncology")</f>
        <v>The Lancet Oncology</v>
      </c>
      <c r="AB30" t="str">
        <f ca="1">IFERROR(__xludf.DUMMYFUNCTION("""COMPUTED_VALUE"""),"Health &amp; Medical Sciences")</f>
        <v>Health &amp; Medical Sciences</v>
      </c>
      <c r="AC30" t="str">
        <f ca="1">IFERROR(__xludf.DUMMYFUNCTION("""COMPUTED_VALUE"""),"Unsure")</f>
        <v>Unsure</v>
      </c>
      <c r="AD30" s="448"/>
      <c r="AE30" s="464" t="str">
        <f ca="1">IFERROR(__xludf.DUMMYFUNCTION("""COMPUTED_VALUE"""),"The China Quarterly")</f>
        <v>The China Quarterly</v>
      </c>
      <c r="AF30" t="str">
        <f ca="1">IFERROR(__xludf.DUMMYFUNCTION("""COMPUTED_VALUE"""),"Humanities, Literature &amp; Arts")</f>
        <v>Humanities, Literature &amp; Arts</v>
      </c>
      <c r="AG30" t="str">
        <f ca="1">IFERROR(__xludf.DUMMYFUNCTION("""COMPUTED_VALUE"""),"Unsure")</f>
        <v>Unsure</v>
      </c>
      <c r="AH30" s="448"/>
      <c r="AI30" s="464" t="str">
        <f ca="1">IFERROR(__xludf.DUMMYFUNCTION("""COMPUTED_VALUE"""),"Science")</f>
        <v>Science</v>
      </c>
      <c r="AJ30" t="str">
        <f ca="1">IFERROR(__xludf.DUMMYFUNCTION("""COMPUTED_VALUE"""),"Life Sciences &amp; Earth Sciences")</f>
        <v>Life Sciences &amp; Earth Sciences</v>
      </c>
      <c r="AK30" t="str">
        <f ca="1">IFERROR(__xludf.DUMMYFUNCTION("""COMPUTED_VALUE"""),"Unsure")</f>
        <v>Unsure</v>
      </c>
      <c r="AL30" s="448"/>
      <c r="AM30" t="str">
        <f ca="1">IFERROR(__xludf.DUMMYFUNCTION("""COMPUTED_VALUE"""),"The European Physical Journal C")</f>
        <v>The European Physical Journal C</v>
      </c>
      <c r="AN30" t="str">
        <f ca="1">IFERROR(__xludf.DUMMYFUNCTION("""COMPUTED_VALUE"""),"Physics &amp; Mathematics")</f>
        <v>Physics &amp; Mathematics</v>
      </c>
      <c r="AO30" t="str">
        <f ca="1">IFERROR(__xludf.DUMMYFUNCTION("""COMPUTED_VALUE"""),"Unsure")</f>
        <v>Unsure</v>
      </c>
      <c r="AP30" s="448"/>
      <c r="AQ30" t="str">
        <f ca="1">IFERROR(__xludf.DUMMYFUNCTION("""COMPUTED_VALUE"""),"Social Science &amp; Medicine")</f>
        <v>Social Science &amp; Medicine</v>
      </c>
      <c r="AR30" t="str">
        <f ca="1">IFERROR(__xludf.DUMMYFUNCTION("""COMPUTED_VALUE"""),"Social Sciences")</f>
        <v>Social Sciences</v>
      </c>
      <c r="AS30" t="str">
        <f ca="1">IFERROR(__xludf.DUMMYFUNCTION("""COMPUTED_VALUE"""),"Unsure")</f>
        <v>Unsure</v>
      </c>
    </row>
    <row r="31" spans="1:45" ht="15.75" customHeight="1">
      <c r="A31" s="462"/>
      <c r="B31" s="462"/>
      <c r="C31" t="str">
        <f ca="1">Filtered!I21</f>
        <v>Applied Energy</v>
      </c>
      <c r="D31" t="str">
        <f ca="1">Filtered!J21</f>
        <v/>
      </c>
      <c r="E31" t="str">
        <f ca="1">Filtered!AD21</f>
        <v>Unsure</v>
      </c>
      <c r="F31" t="b">
        <f t="shared" ca="1" si="9"/>
        <v>0</v>
      </c>
      <c r="G31" t="b">
        <f t="shared" ca="1" si="10"/>
        <v>0</v>
      </c>
      <c r="H31" t="b">
        <f t="shared" ca="1" si="11"/>
        <v>0</v>
      </c>
      <c r="I31" t="b">
        <f t="shared" ca="1" si="12"/>
        <v>0</v>
      </c>
      <c r="J31" t="b">
        <f t="shared" ca="1" si="13"/>
        <v>0</v>
      </c>
      <c r="K31" t="b">
        <f t="shared" ca="1" si="14"/>
        <v>0</v>
      </c>
      <c r="L31" t="b">
        <f t="shared" ca="1" si="15"/>
        <v>0</v>
      </c>
      <c r="M31" t="b">
        <f t="shared" ca="1" si="16"/>
        <v>0</v>
      </c>
      <c r="N31" s="448"/>
      <c r="O31" s="464" t="str">
        <f ca="1">IFERROR(__xludf.DUMMYFUNCTION("""COMPUTED_VALUE"""),"World Development")</f>
        <v>World Development</v>
      </c>
      <c r="P31" t="str">
        <f ca="1">IFERROR(__xludf.DUMMYFUNCTION("""COMPUTED_VALUE"""),"Business, Economics &amp; Management")</f>
        <v>Business, Economics &amp; Management</v>
      </c>
      <c r="Q31" t="str">
        <f ca="1">IFERROR(__xludf.DUMMYFUNCTION("""COMPUTED_VALUE"""),"Unsure")</f>
        <v>Unsure</v>
      </c>
      <c r="R31" s="448"/>
      <c r="S31" s="464" t="str">
        <f ca="1">IFERROR(__xludf.DUMMYFUNCTION("""COMPUTED_VALUE"""),"The Journal of Physical Chemistry Letters")</f>
        <v>The Journal of Physical Chemistry Letters</v>
      </c>
      <c r="T31" t="str">
        <f ca="1">IFERROR(__xludf.DUMMYFUNCTION("""COMPUTED_VALUE"""),"Physics &amp; Mathematics, Chemical &amp; Materials Sciences")</f>
        <v>Physics &amp; Mathematics, Chemical &amp; Materials Sciences</v>
      </c>
      <c r="U31" t="str">
        <f ca="1">IFERROR(__xludf.DUMMYFUNCTION("""COMPUTED_VALUE"""),"Unsure")</f>
        <v>Unsure</v>
      </c>
      <c r="V31" s="448"/>
      <c r="W31" s="464" t="str">
        <f ca="1">IFERROR(__xludf.DUMMYFUNCTION("""COMPUTED_VALUE"""),"Renewable and Sustainable Energy Reviews")</f>
        <v>Renewable and Sustainable Energy Reviews</v>
      </c>
      <c r="X31" t="str">
        <f ca="1">IFERROR(__xludf.DUMMYFUNCTION("""COMPUTED_VALUE"""),"Engineering &amp; Computer Science")</f>
        <v>Engineering &amp; Computer Science</v>
      </c>
      <c r="Y31" t="str">
        <f ca="1">IFERROR(__xludf.DUMMYFUNCTION("""COMPUTED_VALUE"""),"Unsure")</f>
        <v>Unsure</v>
      </c>
      <c r="Z31" s="448"/>
      <c r="AA31" s="464" t="str">
        <f ca="1">IFERROR(__xludf.DUMMYFUNCTION("""COMPUTED_VALUE"""),"The New England Journal of Medicine")</f>
        <v>The New England Journal of Medicine</v>
      </c>
      <c r="AB31" t="str">
        <f ca="1">IFERROR(__xludf.DUMMYFUNCTION("""COMPUTED_VALUE"""),"Health &amp; Medical Sciences")</f>
        <v>Health &amp; Medical Sciences</v>
      </c>
      <c r="AC31" t="str">
        <f ca="1">IFERROR(__xludf.DUMMYFUNCTION("""COMPUTED_VALUE"""),"Unsure")</f>
        <v>Unsure</v>
      </c>
      <c r="AD31" s="448"/>
      <c r="AE31" s="464" t="str">
        <f ca="1">IFERROR(__xludf.DUMMYFUNCTION("""COMPUTED_VALUE"""),"The Modern Language Journal")</f>
        <v>The Modern Language Journal</v>
      </c>
      <c r="AF31" t="str">
        <f ca="1">IFERROR(__xludf.DUMMYFUNCTION("""COMPUTED_VALUE"""),"Humanities, Literature &amp; Arts")</f>
        <v>Humanities, Literature &amp; Arts</v>
      </c>
      <c r="AG31" t="str">
        <f ca="1">IFERROR(__xludf.DUMMYFUNCTION("""COMPUTED_VALUE"""),"Unsure")</f>
        <v>Unsure</v>
      </c>
      <c r="AH31" s="448"/>
      <c r="AI31" s="464" t="str">
        <f ca="1">IFERROR(__xludf.DUMMYFUNCTION("""COMPUTED_VALUE"""),"Scientific Reports")</f>
        <v>Scientific Reports</v>
      </c>
      <c r="AJ31" t="str">
        <f ca="1">IFERROR(__xludf.DUMMYFUNCTION("""COMPUTED_VALUE"""),"Life Sciences &amp; Earth Sciences")</f>
        <v>Life Sciences &amp; Earth Sciences</v>
      </c>
      <c r="AK31" t="str">
        <f ca="1">IFERROR(__xludf.DUMMYFUNCTION("""COMPUTED_VALUE"""),"Yes")</f>
        <v>Yes</v>
      </c>
      <c r="AL31" s="448"/>
      <c r="AM31" t="str">
        <f ca="1">IFERROR(__xludf.DUMMYFUNCTION("""COMPUTED_VALUE"""),"The Journal of Physical Chemistry Letters")</f>
        <v>The Journal of Physical Chemistry Letters</v>
      </c>
      <c r="AN31" t="str">
        <f ca="1">IFERROR(__xludf.DUMMYFUNCTION("""COMPUTED_VALUE"""),"Physics &amp; Mathematics, Chemical &amp; Materials Sciences")</f>
        <v>Physics &amp; Mathematics, Chemical &amp; Materials Sciences</v>
      </c>
      <c r="AO31" t="str">
        <f ca="1">IFERROR(__xludf.DUMMYFUNCTION("""COMPUTED_VALUE"""),"Unsure")</f>
        <v>Unsure</v>
      </c>
      <c r="AP31" s="448"/>
      <c r="AQ31" t="str">
        <f ca="1">IFERROR(__xludf.DUMMYFUNCTION("""COMPUTED_VALUE"""),"Teaching and Teacher Education")</f>
        <v>Teaching and Teacher Education</v>
      </c>
      <c r="AR31" t="str">
        <f ca="1">IFERROR(__xludf.DUMMYFUNCTION("""COMPUTED_VALUE"""),"Social Sciences")</f>
        <v>Social Sciences</v>
      </c>
      <c r="AS31" t="str">
        <f ca="1">IFERROR(__xludf.DUMMYFUNCTION("""COMPUTED_VALUE"""),"Unsure")</f>
        <v>Unsure</v>
      </c>
    </row>
    <row r="32" spans="1:45" ht="13">
      <c r="A32" s="462"/>
      <c r="B32" s="462"/>
      <c r="C32" t="str">
        <f ca="1">Filtered!I22</f>
        <v>Applied Linguistics</v>
      </c>
      <c r="D32" t="str">
        <f ca="1">Filtered!J22</f>
        <v>Humanities, Literature &amp; Arts</v>
      </c>
      <c r="E32" t="str">
        <f ca="1">Filtered!AD22</f>
        <v>Yes</v>
      </c>
      <c r="F32" t="b">
        <f t="shared" ca="1" si="9"/>
        <v>0</v>
      </c>
      <c r="G32" t="b">
        <f t="shared" ca="1" si="10"/>
        <v>0</v>
      </c>
      <c r="H32" t="b">
        <f t="shared" ca="1" si="11"/>
        <v>0</v>
      </c>
      <c r="I32" t="b">
        <f t="shared" ca="1" si="12"/>
        <v>0</v>
      </c>
      <c r="J32" t="b">
        <f t="shared" ca="1" si="13"/>
        <v>1</v>
      </c>
      <c r="K32" t="b">
        <f t="shared" ca="1" si="14"/>
        <v>0</v>
      </c>
      <c r="L32" t="b">
        <f t="shared" ca="1" si="15"/>
        <v>0</v>
      </c>
      <c r="M32" t="b">
        <f t="shared" ca="1" si="16"/>
        <v>0</v>
      </c>
      <c r="N32" s="448"/>
      <c r="O32" s="464"/>
      <c r="R32" s="448"/>
      <c r="S32" s="464"/>
      <c r="V32" s="448"/>
      <c r="W32" s="464"/>
      <c r="Z32" s="448"/>
      <c r="AA32" s="464"/>
      <c r="AD32" s="448"/>
      <c r="AE32" s="464"/>
      <c r="AH32" s="448"/>
      <c r="AI32" s="464"/>
      <c r="AL32" s="448"/>
      <c r="AP32" s="448"/>
    </row>
    <row r="33" spans="1:42" ht="13">
      <c r="A33" s="462"/>
      <c r="B33" s="462"/>
      <c r="C33" t="str">
        <f ca="1">Filtered!I23</f>
        <v>Applied Physics Letters</v>
      </c>
      <c r="D33" t="str">
        <f ca="1">Filtered!J23</f>
        <v/>
      </c>
      <c r="E33" t="str">
        <f ca="1">Filtered!AD23</f>
        <v>Not specified</v>
      </c>
      <c r="F33" t="b">
        <f t="shared" ca="1" si="9"/>
        <v>0</v>
      </c>
      <c r="G33" t="b">
        <f t="shared" ca="1" si="10"/>
        <v>0</v>
      </c>
      <c r="H33" t="b">
        <f t="shared" ca="1" si="11"/>
        <v>0</v>
      </c>
      <c r="I33" t="b">
        <f t="shared" ca="1" si="12"/>
        <v>0</v>
      </c>
      <c r="J33" t="b">
        <f t="shared" ca="1" si="13"/>
        <v>0</v>
      </c>
      <c r="K33" t="b">
        <f t="shared" ca="1" si="14"/>
        <v>0</v>
      </c>
      <c r="L33" t="b">
        <f t="shared" ca="1" si="15"/>
        <v>0</v>
      </c>
      <c r="M33" t="b">
        <f t="shared" ca="1" si="16"/>
        <v>0</v>
      </c>
      <c r="N33" s="448"/>
      <c r="O33" s="464"/>
      <c r="R33" s="448"/>
      <c r="S33" s="464"/>
      <c r="V33" s="448"/>
      <c r="W33" s="464"/>
      <c r="Z33" s="448"/>
      <c r="AA33" s="464"/>
      <c r="AD33" s="448"/>
      <c r="AE33" s="464"/>
      <c r="AH33" s="448"/>
      <c r="AI33" s="464"/>
      <c r="AL33" s="448"/>
      <c r="AP33" s="448"/>
    </row>
    <row r="34" spans="1:42" ht="13">
      <c r="A34" s="462"/>
      <c r="B34" s="462"/>
      <c r="C34" t="str">
        <f ca="1">Filtered!I24</f>
        <v>Astronomy &amp; Astrophysics</v>
      </c>
      <c r="D34" t="str">
        <f ca="1">Filtered!J24</f>
        <v>Physics &amp; Mathematics</v>
      </c>
      <c r="E34" t="str">
        <f ca="1">Filtered!AD24</f>
        <v>Not specified</v>
      </c>
      <c r="F34" t="b">
        <f t="shared" ca="1" si="9"/>
        <v>0</v>
      </c>
      <c r="G34" t="b">
        <f t="shared" ca="1" si="10"/>
        <v>0</v>
      </c>
      <c r="H34" t="b">
        <f t="shared" ca="1" si="11"/>
        <v>0</v>
      </c>
      <c r="I34" t="b">
        <f t="shared" ca="1" si="12"/>
        <v>0</v>
      </c>
      <c r="J34" t="b">
        <f t="shared" ca="1" si="13"/>
        <v>0</v>
      </c>
      <c r="K34" t="b">
        <f t="shared" ca="1" si="14"/>
        <v>0</v>
      </c>
      <c r="L34" t="b">
        <f t="shared" ca="1" si="15"/>
        <v>1</v>
      </c>
      <c r="M34" t="b">
        <f t="shared" ca="1" si="16"/>
        <v>0</v>
      </c>
      <c r="N34" s="448"/>
      <c r="O34" s="464"/>
      <c r="R34" s="448"/>
      <c r="S34" s="464"/>
      <c r="V34" s="448"/>
      <c r="W34" s="464"/>
      <c r="Z34" s="448"/>
      <c r="AA34" s="464"/>
      <c r="AD34" s="448"/>
      <c r="AE34" s="464"/>
      <c r="AH34" s="448"/>
      <c r="AI34" s="464"/>
      <c r="AL34" s="448"/>
      <c r="AP34" s="448"/>
    </row>
    <row r="35" spans="1:42" ht="13">
      <c r="A35" s="462"/>
      <c r="B35" s="462"/>
      <c r="C35" t="str">
        <f ca="1">Filtered!I25</f>
        <v>Biomaterials</v>
      </c>
      <c r="D35" t="str">
        <f ca="1">Filtered!J25</f>
        <v/>
      </c>
      <c r="E35" t="str">
        <f ca="1">Filtered!AD25</f>
        <v>Unsure</v>
      </c>
      <c r="F35" t="b">
        <f t="shared" ca="1" si="9"/>
        <v>0</v>
      </c>
      <c r="G35" t="b">
        <f t="shared" ca="1" si="10"/>
        <v>0</v>
      </c>
      <c r="H35" t="b">
        <f t="shared" ca="1" si="11"/>
        <v>0</v>
      </c>
      <c r="I35" t="b">
        <f t="shared" ca="1" si="12"/>
        <v>0</v>
      </c>
      <c r="J35" t="b">
        <f t="shared" ca="1" si="13"/>
        <v>0</v>
      </c>
      <c r="K35" t="b">
        <f t="shared" ca="1" si="14"/>
        <v>0</v>
      </c>
      <c r="L35" t="b">
        <f t="shared" ca="1" si="15"/>
        <v>0</v>
      </c>
      <c r="M35" t="b">
        <f t="shared" ca="1" si="16"/>
        <v>0</v>
      </c>
      <c r="N35" s="448"/>
      <c r="O35" s="464"/>
      <c r="R35" s="448"/>
      <c r="S35" s="464"/>
      <c r="V35" s="448"/>
      <c r="W35" s="464"/>
      <c r="Z35" s="448"/>
      <c r="AA35" s="464"/>
      <c r="AD35" s="448"/>
      <c r="AE35" s="464"/>
      <c r="AH35" s="448"/>
      <c r="AI35" s="464"/>
      <c r="AL35" s="448"/>
      <c r="AP35" s="448"/>
    </row>
    <row r="36" spans="1:42" ht="13">
      <c r="A36" s="462"/>
      <c r="B36" s="462"/>
      <c r="C36" t="str">
        <f ca="1">Filtered!I26</f>
        <v>Blood</v>
      </c>
      <c r="D36" t="str">
        <f ca="1">Filtered!J26</f>
        <v>Health &amp; Medical Sciences</v>
      </c>
      <c r="E36" t="str">
        <f ca="1">Filtered!AD26</f>
        <v>No</v>
      </c>
      <c r="F36" t="b">
        <f t="shared" ca="1" si="9"/>
        <v>0</v>
      </c>
      <c r="G36" t="b">
        <f t="shared" ca="1" si="10"/>
        <v>0</v>
      </c>
      <c r="H36" t="b">
        <f t="shared" ca="1" si="11"/>
        <v>0</v>
      </c>
      <c r="I36" t="b">
        <f t="shared" ca="1" si="12"/>
        <v>1</v>
      </c>
      <c r="J36" t="b">
        <f t="shared" ca="1" si="13"/>
        <v>0</v>
      </c>
      <c r="K36" t="b">
        <f t="shared" ca="1" si="14"/>
        <v>0</v>
      </c>
      <c r="L36" t="b">
        <f t="shared" ca="1" si="15"/>
        <v>0</v>
      </c>
      <c r="M36" t="b">
        <f t="shared" ca="1" si="16"/>
        <v>0</v>
      </c>
      <c r="N36" s="448"/>
      <c r="O36" s="464"/>
      <c r="R36" s="448"/>
      <c r="S36" s="464"/>
      <c r="V36" s="448"/>
      <c r="W36" s="464"/>
      <c r="Z36" s="448"/>
      <c r="AA36" s="464"/>
      <c r="AD36" s="448"/>
      <c r="AE36" s="464"/>
      <c r="AH36" s="448"/>
      <c r="AI36" s="464"/>
      <c r="AL36" s="448"/>
      <c r="AP36" s="448"/>
    </row>
    <row r="37" spans="1:42" ht="13">
      <c r="A37" s="462"/>
      <c r="B37" s="462"/>
      <c r="C37" t="str">
        <f ca="1">Filtered!I27</f>
        <v>BMJ</v>
      </c>
      <c r="D37" t="str">
        <f ca="1">Filtered!J27</f>
        <v>Health &amp; Medical Sciences</v>
      </c>
      <c r="E37" t="str">
        <f ca="1">Filtered!AD27</f>
        <v>Yes</v>
      </c>
      <c r="F37" t="b">
        <f t="shared" ca="1" si="9"/>
        <v>0</v>
      </c>
      <c r="G37" t="b">
        <f t="shared" ca="1" si="10"/>
        <v>0</v>
      </c>
      <c r="H37" t="b">
        <f t="shared" ca="1" si="11"/>
        <v>0</v>
      </c>
      <c r="I37" t="b">
        <f t="shared" ca="1" si="12"/>
        <v>1</v>
      </c>
      <c r="J37" t="b">
        <f t="shared" ca="1" si="13"/>
        <v>0</v>
      </c>
      <c r="K37" t="b">
        <f t="shared" ca="1" si="14"/>
        <v>0</v>
      </c>
      <c r="L37" t="b">
        <f t="shared" ca="1" si="15"/>
        <v>0</v>
      </c>
      <c r="M37" t="b">
        <f t="shared" ca="1" si="16"/>
        <v>0</v>
      </c>
      <c r="N37" s="448"/>
      <c r="O37" s="464"/>
      <c r="R37" s="448"/>
      <c r="S37" s="464"/>
      <c r="V37" s="448"/>
      <c r="W37" s="464"/>
      <c r="Z37" s="448"/>
      <c r="AA37" s="464"/>
      <c r="AD37" s="448"/>
      <c r="AE37" s="464"/>
      <c r="AH37" s="448"/>
      <c r="AI37" s="464"/>
      <c r="AL37" s="448"/>
      <c r="AP37" s="448"/>
    </row>
    <row r="38" spans="1:42" ht="13">
      <c r="A38" s="462"/>
      <c r="B38" s="462"/>
      <c r="C38" t="str">
        <f ca="1">Filtered!I28</f>
        <v>Cancer Cell</v>
      </c>
      <c r="D38" t="str">
        <f ca="1">Filtered!J28</f>
        <v/>
      </c>
      <c r="E38" t="str">
        <f ca="1">Filtered!AD28</f>
        <v>Yes</v>
      </c>
      <c r="F38" t="b">
        <f t="shared" ca="1" si="9"/>
        <v>0</v>
      </c>
      <c r="G38" t="b">
        <f t="shared" ca="1" si="10"/>
        <v>0</v>
      </c>
      <c r="H38" t="b">
        <f t="shared" ca="1" si="11"/>
        <v>0</v>
      </c>
      <c r="I38" t="b">
        <f t="shared" ca="1" si="12"/>
        <v>0</v>
      </c>
      <c r="J38" t="b">
        <f t="shared" ca="1" si="13"/>
        <v>0</v>
      </c>
      <c r="K38" t="b">
        <f t="shared" ca="1" si="14"/>
        <v>0</v>
      </c>
      <c r="L38" t="b">
        <f t="shared" ca="1" si="15"/>
        <v>0</v>
      </c>
      <c r="M38" t="b">
        <f t="shared" ca="1" si="16"/>
        <v>0</v>
      </c>
      <c r="N38" s="448"/>
      <c r="O38" s="464"/>
      <c r="R38" s="448"/>
      <c r="S38" s="464"/>
      <c r="V38" s="448"/>
      <c r="W38" s="464"/>
      <c r="Z38" s="448"/>
      <c r="AA38" s="464"/>
      <c r="AD38" s="448"/>
      <c r="AE38" s="464"/>
      <c r="AH38" s="448"/>
      <c r="AI38" s="464"/>
      <c r="AL38" s="448"/>
      <c r="AP38" s="448"/>
    </row>
    <row r="39" spans="1:42" ht="13">
      <c r="A39" s="462"/>
      <c r="B39" s="462"/>
      <c r="C39" t="str">
        <f ca="1">Filtered!I29</f>
        <v>Cancer Research</v>
      </c>
      <c r="D39" t="str">
        <f ca="1">Filtered!J29</f>
        <v/>
      </c>
      <c r="E39" t="str">
        <f ca="1">Filtered!AD29</f>
        <v>Unsure</v>
      </c>
      <c r="F39" t="b">
        <f t="shared" ca="1" si="9"/>
        <v>0</v>
      </c>
      <c r="G39" t="b">
        <f t="shared" ca="1" si="10"/>
        <v>0</v>
      </c>
      <c r="H39" t="b">
        <f t="shared" ca="1" si="11"/>
        <v>0</v>
      </c>
      <c r="I39" t="b">
        <f t="shared" ca="1" si="12"/>
        <v>0</v>
      </c>
      <c r="J39" t="b">
        <f t="shared" ca="1" si="13"/>
        <v>0</v>
      </c>
      <c r="K39" t="b">
        <f t="shared" ca="1" si="14"/>
        <v>0</v>
      </c>
      <c r="L39" t="b">
        <f t="shared" ca="1" si="15"/>
        <v>0</v>
      </c>
      <c r="M39" t="b">
        <f t="shared" ca="1" si="16"/>
        <v>0</v>
      </c>
      <c r="N39" s="448"/>
      <c r="O39" s="464"/>
      <c r="R39" s="448"/>
      <c r="S39" s="464"/>
      <c r="V39" s="448"/>
      <c r="W39" s="464"/>
      <c r="Z39" s="448"/>
      <c r="AA39" s="464"/>
      <c r="AD39" s="448"/>
      <c r="AE39" s="464"/>
      <c r="AH39" s="448"/>
      <c r="AI39" s="464"/>
      <c r="AL39" s="448"/>
      <c r="AP39" s="448"/>
    </row>
    <row r="40" spans="1:42" ht="13">
      <c r="A40" s="462"/>
      <c r="B40" s="462"/>
      <c r="C40" t="str">
        <f ca="1">Filtered!I30</f>
        <v>Cell</v>
      </c>
      <c r="D40" t="str">
        <f ca="1">Filtered!J30</f>
        <v>Health &amp; Medical Sciences, Life Sciences &amp; Earth Sciences</v>
      </c>
      <c r="E40" t="str">
        <f ca="1">Filtered!AD30</f>
        <v>Yes</v>
      </c>
      <c r="F40" t="b">
        <f t="shared" ca="1" si="9"/>
        <v>0</v>
      </c>
      <c r="G40" t="b">
        <f t="shared" ca="1" si="10"/>
        <v>0</v>
      </c>
      <c r="H40" t="b">
        <f t="shared" ca="1" si="11"/>
        <v>0</v>
      </c>
      <c r="I40" t="b">
        <f t="shared" ca="1" si="12"/>
        <v>1</v>
      </c>
      <c r="J40" t="b">
        <f t="shared" ca="1" si="13"/>
        <v>0</v>
      </c>
      <c r="K40" t="b">
        <f t="shared" ca="1" si="14"/>
        <v>1</v>
      </c>
      <c r="L40" t="b">
        <f t="shared" ca="1" si="15"/>
        <v>0</v>
      </c>
      <c r="M40" t="b">
        <f t="shared" ca="1" si="16"/>
        <v>0</v>
      </c>
      <c r="N40" s="448"/>
      <c r="O40" s="464"/>
      <c r="R40" s="448"/>
      <c r="S40" s="464"/>
      <c r="V40" s="448"/>
      <c r="W40" s="464"/>
      <c r="Z40" s="448"/>
      <c r="AA40" s="464"/>
      <c r="AD40" s="448"/>
      <c r="AE40" s="464"/>
      <c r="AH40" s="448"/>
      <c r="AI40" s="464"/>
      <c r="AL40" s="448"/>
      <c r="AP40" s="448"/>
    </row>
    <row r="41" spans="1:42" ht="13">
      <c r="A41" s="462"/>
      <c r="B41" s="462"/>
      <c r="C41" t="str">
        <f ca="1">Filtered!I31</f>
        <v>Cell Metabolism</v>
      </c>
      <c r="D41" t="str">
        <f ca="1">Filtered!J31</f>
        <v>Life Sciences &amp; Earth Sciences</v>
      </c>
      <c r="E41" t="str">
        <f ca="1">Filtered!AD31</f>
        <v>Yes</v>
      </c>
      <c r="F41" t="b">
        <f t="shared" ca="1" si="9"/>
        <v>0</v>
      </c>
      <c r="G41" t="b">
        <f t="shared" ca="1" si="10"/>
        <v>0</v>
      </c>
      <c r="H41" t="b">
        <f t="shared" ca="1" si="11"/>
        <v>0</v>
      </c>
      <c r="I41" t="b">
        <f t="shared" ca="1" si="12"/>
        <v>0</v>
      </c>
      <c r="J41" t="b">
        <f t="shared" ca="1" si="13"/>
        <v>0</v>
      </c>
      <c r="K41" t="b">
        <f t="shared" ca="1" si="14"/>
        <v>1</v>
      </c>
      <c r="L41" t="b">
        <f t="shared" ca="1" si="15"/>
        <v>0</v>
      </c>
      <c r="M41" t="b">
        <f t="shared" ca="1" si="16"/>
        <v>0</v>
      </c>
      <c r="N41" s="448"/>
      <c r="O41" s="464"/>
      <c r="R41" s="448"/>
      <c r="S41" s="464"/>
      <c r="V41" s="448"/>
      <c r="W41" s="464"/>
      <c r="Z41" s="448"/>
      <c r="AA41" s="464"/>
      <c r="AD41" s="448"/>
      <c r="AE41" s="464"/>
      <c r="AH41" s="448"/>
      <c r="AI41" s="464"/>
      <c r="AL41" s="448"/>
      <c r="AP41" s="448"/>
    </row>
    <row r="42" spans="1:42" ht="13">
      <c r="A42" s="462"/>
      <c r="B42" s="462"/>
      <c r="C42" t="str">
        <f ca="1">Filtered!I32</f>
        <v>Cell Stem Cell</v>
      </c>
      <c r="D42" t="str">
        <f ca="1">Filtered!J32</f>
        <v>Life Sciences &amp; Earth Sciences</v>
      </c>
      <c r="E42" t="str">
        <f ca="1">Filtered!AD32</f>
        <v>Yes</v>
      </c>
      <c r="F42" t="b">
        <f t="shared" ca="1" si="9"/>
        <v>0</v>
      </c>
      <c r="G42" t="b">
        <f t="shared" ca="1" si="10"/>
        <v>0</v>
      </c>
      <c r="H42" t="b">
        <f t="shared" ca="1" si="11"/>
        <v>0</v>
      </c>
      <c r="I42" t="b">
        <f t="shared" ca="1" si="12"/>
        <v>0</v>
      </c>
      <c r="J42" t="b">
        <f t="shared" ca="1" si="13"/>
        <v>0</v>
      </c>
      <c r="K42" t="b">
        <f t="shared" ca="1" si="14"/>
        <v>1</v>
      </c>
      <c r="L42" t="b">
        <f t="shared" ca="1" si="15"/>
        <v>0</v>
      </c>
      <c r="M42" t="b">
        <f t="shared" ca="1" si="16"/>
        <v>0</v>
      </c>
      <c r="N42" s="448"/>
      <c r="O42" s="464"/>
      <c r="R42" s="448"/>
      <c r="S42" s="464"/>
      <c r="V42" s="448"/>
      <c r="W42" s="464"/>
      <c r="Z42" s="448"/>
      <c r="AA42" s="464"/>
      <c r="AD42" s="448"/>
      <c r="AE42" s="464"/>
      <c r="AH42" s="448"/>
      <c r="AI42" s="464"/>
      <c r="AL42" s="448"/>
      <c r="AP42" s="448"/>
    </row>
    <row r="43" spans="1:42" ht="13">
      <c r="A43" s="462"/>
      <c r="B43" s="462"/>
      <c r="C43" t="str">
        <f ca="1">Filtered!I33</f>
        <v>Chemical communications (Cambridge, England)</v>
      </c>
      <c r="D43" t="str">
        <f ca="1">Filtered!J33</f>
        <v>Chemical &amp; Materials Sciences</v>
      </c>
      <c r="E43" t="str">
        <f ca="1">Filtered!AD33</f>
        <v>Unsure</v>
      </c>
      <c r="F43" t="b">
        <f t="shared" ca="1" si="9"/>
        <v>0</v>
      </c>
      <c r="G43" t="b">
        <f t="shared" ca="1" si="10"/>
        <v>1</v>
      </c>
      <c r="H43" t="b">
        <f t="shared" ca="1" si="11"/>
        <v>0</v>
      </c>
      <c r="I43" t="b">
        <f t="shared" ca="1" si="12"/>
        <v>0</v>
      </c>
      <c r="J43" t="b">
        <f t="shared" ca="1" si="13"/>
        <v>0</v>
      </c>
      <c r="K43" t="b">
        <f t="shared" ca="1" si="14"/>
        <v>0</v>
      </c>
      <c r="L43" t="b">
        <f t="shared" ca="1" si="15"/>
        <v>0</v>
      </c>
      <c r="M43" t="b">
        <f t="shared" ca="1" si="16"/>
        <v>0</v>
      </c>
      <c r="N43" s="448"/>
      <c r="O43" s="464"/>
      <c r="R43" s="448"/>
      <c r="S43" s="464"/>
      <c r="V43" s="448"/>
      <c r="W43" s="464"/>
      <c r="Z43" s="448"/>
      <c r="AA43" s="464"/>
      <c r="AD43" s="448"/>
      <c r="AE43" s="464"/>
      <c r="AH43" s="448"/>
      <c r="AI43" s="464"/>
      <c r="AL43" s="448"/>
      <c r="AP43" s="448"/>
    </row>
    <row r="44" spans="1:42" ht="13">
      <c r="A44" s="462"/>
      <c r="B44" s="462"/>
      <c r="C44" t="str">
        <f ca="1">Filtered!I34</f>
        <v>Chemical Reviews</v>
      </c>
      <c r="D44" t="str">
        <f ca="1">Filtered!J34</f>
        <v>Chemical &amp; Materials Sciences</v>
      </c>
      <c r="E44" t="str">
        <f ca="1">Filtered!AD34</f>
        <v>Unsure</v>
      </c>
      <c r="F44" t="b">
        <f t="shared" ca="1" si="9"/>
        <v>0</v>
      </c>
      <c r="G44" t="b">
        <f t="shared" ca="1" si="10"/>
        <v>1</v>
      </c>
      <c r="H44" t="b">
        <f t="shared" ca="1" si="11"/>
        <v>0</v>
      </c>
      <c r="I44" t="b">
        <f t="shared" ca="1" si="12"/>
        <v>0</v>
      </c>
      <c r="J44" t="b">
        <f t="shared" ca="1" si="13"/>
        <v>0</v>
      </c>
      <c r="K44" t="b">
        <f t="shared" ca="1" si="14"/>
        <v>0</v>
      </c>
      <c r="L44" t="b">
        <f t="shared" ca="1" si="15"/>
        <v>0</v>
      </c>
      <c r="M44" t="b">
        <f t="shared" ca="1" si="16"/>
        <v>0</v>
      </c>
      <c r="N44" s="448"/>
      <c r="O44" s="464"/>
      <c r="R44" s="448"/>
      <c r="S44" s="464"/>
      <c r="V44" s="448"/>
      <c r="W44" s="464"/>
      <c r="Z44" s="448"/>
      <c r="AA44" s="464"/>
      <c r="AD44" s="448"/>
      <c r="AE44" s="464"/>
      <c r="AH44" s="448"/>
      <c r="AI44" s="464"/>
      <c r="AL44" s="448"/>
      <c r="AP44" s="448"/>
    </row>
    <row r="45" spans="1:42" ht="13">
      <c r="A45" s="462"/>
      <c r="B45" s="462"/>
      <c r="C45" t="str">
        <f ca="1">Filtered!I35</f>
        <v>Chemical Society reviews</v>
      </c>
      <c r="D45" t="str">
        <f ca="1">Filtered!J35</f>
        <v>Chemical &amp; Materials Sciences</v>
      </c>
      <c r="E45" t="str">
        <f ca="1">Filtered!AD35</f>
        <v>Unsure</v>
      </c>
      <c r="F45" t="b">
        <f t="shared" ca="1" si="9"/>
        <v>0</v>
      </c>
      <c r="G45" t="b">
        <f t="shared" ca="1" si="10"/>
        <v>1</v>
      </c>
      <c r="H45" t="b">
        <f t="shared" ca="1" si="11"/>
        <v>0</v>
      </c>
      <c r="I45" t="b">
        <f t="shared" ca="1" si="12"/>
        <v>0</v>
      </c>
      <c r="J45" t="b">
        <f t="shared" ca="1" si="13"/>
        <v>0</v>
      </c>
      <c r="K45" t="b">
        <f t="shared" ca="1" si="14"/>
        <v>0</v>
      </c>
      <c r="L45" t="b">
        <f t="shared" ca="1" si="15"/>
        <v>0</v>
      </c>
      <c r="M45" t="b">
        <f t="shared" ca="1" si="16"/>
        <v>0</v>
      </c>
      <c r="N45" s="448"/>
      <c r="O45" s="464"/>
      <c r="R45" s="448"/>
      <c r="S45" s="464"/>
      <c r="V45" s="448"/>
      <c r="W45" s="464"/>
      <c r="Z45" s="448"/>
      <c r="AA45" s="464"/>
      <c r="AD45" s="448"/>
      <c r="AE45" s="464"/>
      <c r="AH45" s="448"/>
      <c r="AI45" s="464"/>
      <c r="AL45" s="448"/>
      <c r="AP45" s="448"/>
    </row>
    <row r="46" spans="1:42" ht="13">
      <c r="A46" s="462"/>
      <c r="B46" s="462"/>
      <c r="C46" t="str">
        <f ca="1">Filtered!I36</f>
        <v>Chemistry of Materials</v>
      </c>
      <c r="D46" t="str">
        <f ca="1">Filtered!J36</f>
        <v>Chemical &amp; Materials Sciences,
Engineering &amp; Computer Science</v>
      </c>
      <c r="E46" t="str">
        <f ca="1">Filtered!AD36</f>
        <v>Unsure</v>
      </c>
      <c r="F46" t="b">
        <f t="shared" ca="1" si="9"/>
        <v>0</v>
      </c>
      <c r="G46" t="b">
        <f t="shared" ca="1" si="10"/>
        <v>1</v>
      </c>
      <c r="H46" t="b">
        <f t="shared" ca="1" si="11"/>
        <v>1</v>
      </c>
      <c r="I46" t="b">
        <f t="shared" ca="1" si="12"/>
        <v>0</v>
      </c>
      <c r="J46" t="b">
        <f t="shared" ca="1" si="13"/>
        <v>0</v>
      </c>
      <c r="K46" t="b">
        <f t="shared" ca="1" si="14"/>
        <v>0</v>
      </c>
      <c r="L46" t="b">
        <f t="shared" ca="1" si="15"/>
        <v>0</v>
      </c>
      <c r="M46" t="b">
        <f t="shared" ca="1" si="16"/>
        <v>0</v>
      </c>
      <c r="N46" s="448"/>
      <c r="O46" s="464"/>
      <c r="R46" s="448"/>
      <c r="S46" s="464"/>
      <c r="V46" s="448"/>
      <c r="W46" s="464"/>
      <c r="Z46" s="448"/>
      <c r="AA46" s="464"/>
      <c r="AD46" s="448"/>
      <c r="AE46" s="464"/>
      <c r="AH46" s="448"/>
      <c r="AI46" s="464"/>
      <c r="AL46" s="448"/>
      <c r="AP46" s="448"/>
    </row>
    <row r="47" spans="1:42" ht="13">
      <c r="A47" s="462"/>
      <c r="B47" s="462"/>
      <c r="C47" t="str">
        <f ca="1">Filtered!I37</f>
        <v>Circulation</v>
      </c>
      <c r="D47" t="str">
        <f ca="1">Filtered!J37</f>
        <v>Health &amp; Medical Sciences</v>
      </c>
      <c r="E47" t="str">
        <f ca="1">Filtered!AD37</f>
        <v>Unsure</v>
      </c>
      <c r="F47" t="b">
        <f t="shared" ca="1" si="9"/>
        <v>0</v>
      </c>
      <c r="G47" t="b">
        <f t="shared" ca="1" si="10"/>
        <v>0</v>
      </c>
      <c r="H47" t="b">
        <f t="shared" ca="1" si="11"/>
        <v>0</v>
      </c>
      <c r="I47" t="b">
        <f t="shared" ca="1" si="12"/>
        <v>1</v>
      </c>
      <c r="J47" t="b">
        <f t="shared" ca="1" si="13"/>
        <v>0</v>
      </c>
      <c r="K47" t="b">
        <f t="shared" ca="1" si="14"/>
        <v>0</v>
      </c>
      <c r="L47" t="b">
        <f t="shared" ca="1" si="15"/>
        <v>0</v>
      </c>
      <c r="M47" t="b">
        <f t="shared" ca="1" si="16"/>
        <v>0</v>
      </c>
      <c r="N47" s="448"/>
      <c r="O47" s="464"/>
      <c r="R47" s="448"/>
      <c r="S47" s="464"/>
      <c r="V47" s="448"/>
      <c r="W47" s="464"/>
      <c r="Z47" s="448"/>
      <c r="AA47" s="464"/>
      <c r="AD47" s="448"/>
      <c r="AE47" s="464"/>
      <c r="AH47" s="448"/>
      <c r="AI47" s="464"/>
      <c r="AL47" s="448"/>
      <c r="AP47" s="448"/>
    </row>
    <row r="48" spans="1:42" ht="13">
      <c r="A48" s="462"/>
      <c r="B48" s="462"/>
      <c r="C48" t="str">
        <f ca="1">Filtered!I38</f>
        <v>Circulation Research</v>
      </c>
      <c r="D48" t="str">
        <f ca="1">Filtered!J38</f>
        <v/>
      </c>
      <c r="E48" t="str">
        <f ca="1">Filtered!AD38</f>
        <v>Unsure</v>
      </c>
      <c r="F48" t="b">
        <f t="shared" ca="1" si="9"/>
        <v>0</v>
      </c>
      <c r="G48" t="b">
        <f t="shared" ca="1" si="10"/>
        <v>0</v>
      </c>
      <c r="H48" t="b">
        <f t="shared" ca="1" si="11"/>
        <v>0</v>
      </c>
      <c r="I48" t="b">
        <f t="shared" ca="1" si="12"/>
        <v>0</v>
      </c>
      <c r="J48" t="b">
        <f t="shared" ca="1" si="13"/>
        <v>0</v>
      </c>
      <c r="K48" t="b">
        <f t="shared" ca="1" si="14"/>
        <v>0</v>
      </c>
      <c r="L48" t="b">
        <f t="shared" ca="1" si="15"/>
        <v>0</v>
      </c>
      <c r="M48" t="b">
        <f t="shared" ca="1" si="16"/>
        <v>0</v>
      </c>
      <c r="N48" s="448"/>
      <c r="O48" s="464"/>
      <c r="R48" s="448"/>
      <c r="S48" s="464"/>
      <c r="V48" s="448"/>
      <c r="W48" s="464"/>
      <c r="Z48" s="448"/>
      <c r="AA48" s="464"/>
      <c r="AD48" s="448"/>
      <c r="AE48" s="464"/>
      <c r="AH48" s="448"/>
      <c r="AI48" s="464"/>
      <c r="AL48" s="448"/>
      <c r="AP48" s="448"/>
    </row>
    <row r="49" spans="1:42" ht="13">
      <c r="A49" s="462"/>
      <c r="B49" s="462"/>
      <c r="C49" t="str">
        <f ca="1">Filtered!I39</f>
        <v>Clinical Cancer Research</v>
      </c>
      <c r="D49" t="str">
        <f ca="1">Filtered!J39</f>
        <v/>
      </c>
      <c r="E49" t="str">
        <f ca="1">Filtered!AD39</f>
        <v>Yes</v>
      </c>
      <c r="F49" t="b">
        <f t="shared" ca="1" si="9"/>
        <v>0</v>
      </c>
      <c r="G49" t="b">
        <f t="shared" ca="1" si="10"/>
        <v>0</v>
      </c>
      <c r="H49" t="b">
        <f t="shared" ca="1" si="11"/>
        <v>0</v>
      </c>
      <c r="I49" t="b">
        <f t="shared" ca="1" si="12"/>
        <v>0</v>
      </c>
      <c r="J49" t="b">
        <f t="shared" ca="1" si="13"/>
        <v>0</v>
      </c>
      <c r="K49" t="b">
        <f t="shared" ca="1" si="14"/>
        <v>0</v>
      </c>
      <c r="L49" t="b">
        <f t="shared" ca="1" si="15"/>
        <v>0</v>
      </c>
      <c r="M49" t="b">
        <f t="shared" ca="1" si="16"/>
        <v>0</v>
      </c>
      <c r="N49" s="448"/>
      <c r="O49" s="464"/>
      <c r="R49" s="448"/>
      <c r="S49" s="464"/>
      <c r="V49" s="448"/>
      <c r="W49" s="464"/>
      <c r="Z49" s="448"/>
      <c r="AA49" s="464"/>
      <c r="AD49" s="448"/>
      <c r="AE49" s="464"/>
      <c r="AH49" s="448"/>
      <c r="AI49" s="464"/>
      <c r="AL49" s="448"/>
      <c r="AP49" s="448"/>
    </row>
    <row r="50" spans="1:42" ht="13">
      <c r="A50" s="462"/>
      <c r="B50" s="462"/>
      <c r="C50" t="str">
        <f ca="1">Filtered!I40</f>
        <v>Computers &amp; Education</v>
      </c>
      <c r="D50" t="str">
        <f ca="1">Filtered!J40</f>
        <v/>
      </c>
      <c r="E50" t="str">
        <f ca="1">Filtered!AD40</f>
        <v>Unsure</v>
      </c>
      <c r="F50" t="b">
        <f t="shared" ca="1" si="9"/>
        <v>0</v>
      </c>
      <c r="G50" t="b">
        <f t="shared" ca="1" si="10"/>
        <v>0</v>
      </c>
      <c r="H50" t="b">
        <f t="shared" ca="1" si="11"/>
        <v>0</v>
      </c>
      <c r="I50" t="b">
        <f t="shared" ca="1" si="12"/>
        <v>0</v>
      </c>
      <c r="J50" t="b">
        <f t="shared" ca="1" si="13"/>
        <v>0</v>
      </c>
      <c r="K50" t="b">
        <f t="shared" ca="1" si="14"/>
        <v>0</v>
      </c>
      <c r="L50" t="b">
        <f t="shared" ca="1" si="15"/>
        <v>0</v>
      </c>
      <c r="M50" t="b">
        <f t="shared" ca="1" si="16"/>
        <v>0</v>
      </c>
      <c r="N50" s="448"/>
      <c r="O50" s="464"/>
      <c r="R50" s="448"/>
      <c r="S50" s="464"/>
      <c r="V50" s="448"/>
      <c r="W50" s="464"/>
      <c r="Z50" s="448"/>
      <c r="AA50" s="464"/>
      <c r="AD50" s="448"/>
      <c r="AE50" s="464"/>
      <c r="AH50" s="448"/>
      <c r="AI50" s="464"/>
      <c r="AL50" s="448"/>
      <c r="AP50" s="448"/>
    </row>
    <row r="51" spans="1:42" ht="13">
      <c r="A51" s="462"/>
      <c r="B51" s="462"/>
      <c r="C51" t="str">
        <f ca="1">Filtered!I41</f>
        <v>Diabetes Care</v>
      </c>
      <c r="D51" t="str">
        <f ca="1">Filtered!J41</f>
        <v/>
      </c>
      <c r="E51" t="str">
        <f ca="1">Filtered!AD41</f>
        <v>Unsure</v>
      </c>
      <c r="F51" t="b">
        <f t="shared" ca="1" si="9"/>
        <v>0</v>
      </c>
      <c r="G51" t="b">
        <f t="shared" ca="1" si="10"/>
        <v>0</v>
      </c>
      <c r="H51" t="b">
        <f t="shared" ca="1" si="11"/>
        <v>0</v>
      </c>
      <c r="I51" t="b">
        <f t="shared" ca="1" si="12"/>
        <v>0</v>
      </c>
      <c r="J51" t="b">
        <f t="shared" ca="1" si="13"/>
        <v>0</v>
      </c>
      <c r="K51" t="b">
        <f t="shared" ca="1" si="14"/>
        <v>0</v>
      </c>
      <c r="L51" t="b">
        <f t="shared" ca="1" si="15"/>
        <v>0</v>
      </c>
      <c r="M51" t="b">
        <f t="shared" ca="1" si="16"/>
        <v>0</v>
      </c>
      <c r="N51" s="448"/>
      <c r="O51" s="464"/>
      <c r="R51" s="448"/>
      <c r="S51" s="464"/>
      <c r="V51" s="448"/>
      <c r="W51" s="464"/>
      <c r="Z51" s="448"/>
      <c r="AA51" s="464"/>
      <c r="AD51" s="448"/>
      <c r="AE51" s="464"/>
      <c r="AH51" s="448"/>
      <c r="AI51" s="464"/>
      <c r="AL51" s="448"/>
      <c r="AP51" s="448"/>
    </row>
    <row r="52" spans="1:42" ht="13">
      <c r="A52" s="462"/>
      <c r="B52" s="462"/>
      <c r="C52" t="str">
        <f ca="1">Filtered!I42</f>
        <v>Digital Journalism</v>
      </c>
      <c r="D52" t="str">
        <f ca="1">Filtered!J42</f>
        <v>Humanities, Literature &amp; Arts</v>
      </c>
      <c r="E52" t="str">
        <f ca="1">Filtered!AD42</f>
        <v>Unsure</v>
      </c>
      <c r="F52" t="b">
        <f t="shared" ca="1" si="9"/>
        <v>0</v>
      </c>
      <c r="G52" t="b">
        <f t="shared" ca="1" si="10"/>
        <v>0</v>
      </c>
      <c r="H52" t="b">
        <f t="shared" ca="1" si="11"/>
        <v>0</v>
      </c>
      <c r="I52" t="b">
        <f t="shared" ca="1" si="12"/>
        <v>0</v>
      </c>
      <c r="J52" t="b">
        <f t="shared" ca="1" si="13"/>
        <v>1</v>
      </c>
      <c r="K52" t="b">
        <f t="shared" ca="1" si="14"/>
        <v>0</v>
      </c>
      <c r="L52" t="b">
        <f t="shared" ca="1" si="15"/>
        <v>0</v>
      </c>
      <c r="M52" t="b">
        <f t="shared" ca="1" si="16"/>
        <v>0</v>
      </c>
      <c r="N52" s="448"/>
      <c r="O52" s="464"/>
      <c r="R52" s="448"/>
      <c r="S52" s="464"/>
      <c r="V52" s="448"/>
      <c r="W52" s="464"/>
      <c r="Z52" s="448"/>
      <c r="AA52" s="464"/>
      <c r="AD52" s="448"/>
      <c r="AE52" s="464"/>
      <c r="AH52" s="448"/>
      <c r="AI52" s="464"/>
      <c r="AL52" s="448"/>
      <c r="AP52" s="448"/>
    </row>
    <row r="53" spans="1:42" ht="13">
      <c r="A53" s="462"/>
      <c r="B53" s="462"/>
      <c r="C53" t="str">
        <f ca="1">Filtered!I43</f>
        <v>Econometrica</v>
      </c>
      <c r="D53" t="str">
        <f ca="1">Filtered!J43</f>
        <v>Business, Economics &amp; Management</v>
      </c>
      <c r="E53" t="str">
        <f ca="1">Filtered!AD43</f>
        <v>Unsure</v>
      </c>
      <c r="F53" t="b">
        <f t="shared" ca="1" si="9"/>
        <v>1</v>
      </c>
      <c r="G53" t="b">
        <f t="shared" ca="1" si="10"/>
        <v>0</v>
      </c>
      <c r="H53" t="b">
        <f t="shared" ca="1" si="11"/>
        <v>0</v>
      </c>
      <c r="I53" t="b">
        <f t="shared" ca="1" si="12"/>
        <v>0</v>
      </c>
      <c r="J53" t="b">
        <f t="shared" ca="1" si="13"/>
        <v>0</v>
      </c>
      <c r="K53" t="b">
        <f t="shared" ca="1" si="14"/>
        <v>0</v>
      </c>
      <c r="L53" t="b">
        <f t="shared" ca="1" si="15"/>
        <v>0</v>
      </c>
      <c r="M53" t="b">
        <f t="shared" ca="1" si="16"/>
        <v>0</v>
      </c>
      <c r="N53" s="448"/>
      <c r="O53" s="464"/>
      <c r="R53" s="448"/>
      <c r="S53" s="464"/>
      <c r="V53" s="448"/>
      <c r="W53" s="464"/>
      <c r="Z53" s="448"/>
      <c r="AA53" s="464"/>
      <c r="AD53" s="448"/>
      <c r="AE53" s="464"/>
      <c r="AH53" s="448"/>
      <c r="AI53" s="464"/>
      <c r="AL53" s="448"/>
      <c r="AP53" s="448"/>
    </row>
    <row r="54" spans="1:42" ht="13">
      <c r="A54" s="462"/>
      <c r="B54" s="462"/>
      <c r="C54" t="str">
        <f ca="1">Filtered!I44</f>
        <v>Energy and Environmental Science</v>
      </c>
      <c r="D54" t="str">
        <f ca="1">Filtered!J44</f>
        <v>Chemical &amp; Materials Sciences, Engineering &amp; Computer Science</v>
      </c>
      <c r="E54" t="str">
        <f ca="1">Filtered!AD44</f>
        <v>Unsure</v>
      </c>
      <c r="F54" t="b">
        <f t="shared" ca="1" si="9"/>
        <v>0</v>
      </c>
      <c r="G54" t="b">
        <f t="shared" ca="1" si="10"/>
        <v>1</v>
      </c>
      <c r="H54" t="b">
        <f t="shared" ca="1" si="11"/>
        <v>1</v>
      </c>
      <c r="I54" t="b">
        <f t="shared" ca="1" si="12"/>
        <v>0</v>
      </c>
      <c r="J54" t="b">
        <f t="shared" ca="1" si="13"/>
        <v>0</v>
      </c>
      <c r="K54" t="b">
        <f t="shared" ca="1" si="14"/>
        <v>0</v>
      </c>
      <c r="L54" t="b">
        <f t="shared" ca="1" si="15"/>
        <v>0</v>
      </c>
      <c r="M54" t="b">
        <f t="shared" ca="1" si="16"/>
        <v>0</v>
      </c>
      <c r="N54" s="448"/>
      <c r="O54" s="464"/>
      <c r="R54" s="448"/>
      <c r="S54" s="464"/>
      <c r="V54" s="448"/>
      <c r="W54" s="464"/>
      <c r="Z54" s="448"/>
      <c r="AA54" s="464"/>
      <c r="AD54" s="448"/>
      <c r="AE54" s="464"/>
      <c r="AH54" s="448"/>
      <c r="AI54" s="464"/>
      <c r="AL54" s="448"/>
      <c r="AP54" s="448"/>
    </row>
    <row r="55" spans="1:42" ht="13">
      <c r="A55" s="462"/>
      <c r="B55" s="462"/>
      <c r="C55" t="str">
        <f ca="1">Filtered!I45</f>
        <v>Environmental Science &amp; Technology</v>
      </c>
      <c r="D55" t="str">
        <f ca="1">Filtered!J45</f>
        <v>Life Sciences &amp; Earth Sciences</v>
      </c>
      <c r="E55" t="str">
        <f ca="1">Filtered!AD45</f>
        <v>Unsure</v>
      </c>
      <c r="F55" t="b">
        <f t="shared" ca="1" si="9"/>
        <v>0</v>
      </c>
      <c r="G55" t="b">
        <f t="shared" ca="1" si="10"/>
        <v>0</v>
      </c>
      <c r="H55" t="b">
        <f t="shared" ca="1" si="11"/>
        <v>0</v>
      </c>
      <c r="I55" t="b">
        <f t="shared" ca="1" si="12"/>
        <v>0</v>
      </c>
      <c r="J55" t="b">
        <f t="shared" ca="1" si="13"/>
        <v>0</v>
      </c>
      <c r="K55" t="b">
        <f t="shared" ca="1" si="14"/>
        <v>1</v>
      </c>
      <c r="L55" t="b">
        <f t="shared" ca="1" si="15"/>
        <v>0</v>
      </c>
      <c r="M55" t="b">
        <f t="shared" ca="1" si="16"/>
        <v>0</v>
      </c>
      <c r="N55" s="448"/>
      <c r="O55" s="464"/>
      <c r="R55" s="448"/>
      <c r="S55" s="464"/>
      <c r="V55" s="448"/>
      <c r="W55" s="464"/>
      <c r="Z55" s="448"/>
      <c r="AA55" s="464"/>
      <c r="AD55" s="448"/>
      <c r="AE55" s="464"/>
      <c r="AH55" s="448"/>
      <c r="AI55" s="464"/>
      <c r="AL55" s="448"/>
      <c r="AP55" s="448"/>
    </row>
    <row r="56" spans="1:42" ht="13">
      <c r="A56" s="462"/>
      <c r="B56" s="462"/>
      <c r="C56" t="str">
        <f ca="1">Filtered!I46</f>
        <v>European Heart Journal</v>
      </c>
      <c r="D56" t="str">
        <f ca="1">Filtered!J46</f>
        <v>Health &amp; Medical Sciences</v>
      </c>
      <c r="E56" t="str">
        <f ca="1">Filtered!AD46</f>
        <v>Unsure</v>
      </c>
      <c r="F56" t="b">
        <f t="shared" ca="1" si="9"/>
        <v>0</v>
      </c>
      <c r="G56" t="b">
        <f t="shared" ca="1" si="10"/>
        <v>0</v>
      </c>
      <c r="H56" t="b">
        <f t="shared" ca="1" si="11"/>
        <v>0</v>
      </c>
      <c r="I56" t="b">
        <f t="shared" ca="1" si="12"/>
        <v>1</v>
      </c>
      <c r="J56" t="b">
        <f t="shared" ca="1" si="13"/>
        <v>0</v>
      </c>
      <c r="K56" t="b">
        <f t="shared" ca="1" si="14"/>
        <v>0</v>
      </c>
      <c r="L56" t="b">
        <f t="shared" ca="1" si="15"/>
        <v>0</v>
      </c>
      <c r="M56" t="b">
        <f t="shared" ca="1" si="16"/>
        <v>0</v>
      </c>
      <c r="N56" s="448"/>
      <c r="O56" s="464"/>
      <c r="R56" s="448"/>
      <c r="S56" s="464"/>
      <c r="V56" s="448"/>
      <c r="W56" s="464"/>
      <c r="Z56" s="448"/>
      <c r="AA56" s="464"/>
      <c r="AD56" s="448"/>
      <c r="AE56" s="464"/>
      <c r="AH56" s="448"/>
      <c r="AI56" s="464"/>
      <c r="AL56" s="448"/>
      <c r="AP56" s="448"/>
    </row>
    <row r="57" spans="1:42" ht="13">
      <c r="A57" s="462"/>
      <c r="B57" s="462"/>
      <c r="C57" t="str">
        <f ca="1">Filtered!I47</f>
        <v>European Urology</v>
      </c>
      <c r="D57" t="str">
        <f ca="1">Filtered!J47</f>
        <v/>
      </c>
      <c r="E57" t="str">
        <f ca="1">Filtered!AD47</f>
        <v>Unsure</v>
      </c>
      <c r="F57" t="b">
        <f t="shared" ca="1" si="9"/>
        <v>0</v>
      </c>
      <c r="G57" t="b">
        <f t="shared" ca="1" si="10"/>
        <v>0</v>
      </c>
      <c r="H57" t="b">
        <f t="shared" ca="1" si="11"/>
        <v>0</v>
      </c>
      <c r="I57" t="b">
        <f t="shared" ca="1" si="12"/>
        <v>0</v>
      </c>
      <c r="J57" t="b">
        <f t="shared" ca="1" si="13"/>
        <v>0</v>
      </c>
      <c r="K57" t="b">
        <f t="shared" ca="1" si="14"/>
        <v>0</v>
      </c>
      <c r="L57" t="b">
        <f t="shared" ca="1" si="15"/>
        <v>0</v>
      </c>
      <c r="M57" t="b">
        <f t="shared" ca="1" si="16"/>
        <v>0</v>
      </c>
      <c r="N57" s="448"/>
      <c r="O57" s="464"/>
      <c r="R57" s="448"/>
      <c r="S57" s="464"/>
      <c r="V57" s="448"/>
      <c r="W57" s="464"/>
      <c r="Z57" s="448"/>
      <c r="AA57" s="464"/>
      <c r="AD57" s="448"/>
      <c r="AE57" s="464"/>
      <c r="AH57" s="448"/>
      <c r="AI57" s="464"/>
      <c r="AL57" s="448"/>
      <c r="AP57" s="448"/>
    </row>
    <row r="58" spans="1:42" ht="13">
      <c r="A58" s="462"/>
      <c r="B58" s="462"/>
      <c r="C58" t="str">
        <f ca="1">Filtered!I48</f>
        <v>Gastroenterology</v>
      </c>
      <c r="D58" t="str">
        <f ca="1">Filtered!J48</f>
        <v>Health &amp; Medical Sciences</v>
      </c>
      <c r="E58" t="str">
        <f ca="1">Filtered!AD48</f>
        <v>Unsure</v>
      </c>
      <c r="F58" t="b">
        <f t="shared" ca="1" si="9"/>
        <v>0</v>
      </c>
      <c r="G58" t="b">
        <f t="shared" ca="1" si="10"/>
        <v>0</v>
      </c>
      <c r="H58" t="b">
        <f t="shared" ca="1" si="11"/>
        <v>0</v>
      </c>
      <c r="I58" t="b">
        <f t="shared" ca="1" si="12"/>
        <v>1</v>
      </c>
      <c r="J58" t="b">
        <f t="shared" ca="1" si="13"/>
        <v>0</v>
      </c>
      <c r="K58" t="b">
        <f t="shared" ca="1" si="14"/>
        <v>0</v>
      </c>
      <c r="L58" t="b">
        <f t="shared" ca="1" si="15"/>
        <v>0</v>
      </c>
      <c r="M58" t="b">
        <f t="shared" ca="1" si="16"/>
        <v>0</v>
      </c>
      <c r="N58" s="448"/>
      <c r="O58" s="464"/>
      <c r="R58" s="448"/>
      <c r="S58" s="464"/>
      <c r="V58" s="448"/>
      <c r="W58" s="464"/>
      <c r="Z58" s="448"/>
      <c r="AA58" s="464"/>
      <c r="AD58" s="448"/>
      <c r="AE58" s="464"/>
      <c r="AH58" s="448"/>
      <c r="AI58" s="464"/>
      <c r="AL58" s="448"/>
      <c r="AP58" s="448"/>
    </row>
    <row r="59" spans="1:42" ht="13">
      <c r="A59" s="462"/>
      <c r="B59" s="462"/>
      <c r="C59" t="str">
        <f ca="1">Filtered!I49</f>
        <v>Gender &amp; Society</v>
      </c>
      <c r="D59" t="str">
        <f ca="1">Filtered!J49</f>
        <v>Humanities, Literature &amp; Arts</v>
      </c>
      <c r="E59" t="str">
        <f ca="1">Filtered!AD49</f>
        <v>Unsure</v>
      </c>
      <c r="F59" t="b">
        <f t="shared" ca="1" si="9"/>
        <v>0</v>
      </c>
      <c r="G59" t="b">
        <f t="shared" ca="1" si="10"/>
        <v>0</v>
      </c>
      <c r="H59" t="b">
        <f t="shared" ca="1" si="11"/>
        <v>0</v>
      </c>
      <c r="I59" t="b">
        <f t="shared" ca="1" si="12"/>
        <v>0</v>
      </c>
      <c r="J59" t="b">
        <f t="shared" ca="1" si="13"/>
        <v>1</v>
      </c>
      <c r="K59" t="b">
        <f t="shared" ca="1" si="14"/>
        <v>0</v>
      </c>
      <c r="L59" t="b">
        <f t="shared" ca="1" si="15"/>
        <v>0</v>
      </c>
      <c r="M59" t="b">
        <f t="shared" ca="1" si="16"/>
        <v>0</v>
      </c>
      <c r="N59" s="448"/>
      <c r="O59" s="464"/>
      <c r="R59" s="448"/>
      <c r="S59" s="464"/>
      <c r="V59" s="448"/>
      <c r="W59" s="464"/>
      <c r="Z59" s="448"/>
      <c r="AA59" s="464"/>
      <c r="AD59" s="448"/>
      <c r="AE59" s="464"/>
      <c r="AH59" s="448"/>
      <c r="AI59" s="464"/>
      <c r="AL59" s="448"/>
      <c r="AP59" s="448"/>
    </row>
    <row r="60" spans="1:42" ht="13">
      <c r="A60" s="462"/>
      <c r="B60" s="462"/>
      <c r="C60" t="str">
        <f ca="1">Filtered!I50</f>
        <v>Geophysical Research Letters</v>
      </c>
      <c r="D60" t="str">
        <f ca="1">Filtered!J50</f>
        <v>Physics &amp; Mathematics</v>
      </c>
      <c r="E60" t="str">
        <f ca="1">Filtered!AD50</f>
        <v>Unsure</v>
      </c>
      <c r="F60" t="b">
        <f t="shared" ca="1" si="9"/>
        <v>0</v>
      </c>
      <c r="G60" t="b">
        <f t="shared" ca="1" si="10"/>
        <v>0</v>
      </c>
      <c r="H60" t="b">
        <f t="shared" ca="1" si="11"/>
        <v>0</v>
      </c>
      <c r="I60" t="b">
        <f t="shared" ca="1" si="12"/>
        <v>0</v>
      </c>
      <c r="J60" t="b">
        <f t="shared" ca="1" si="13"/>
        <v>0</v>
      </c>
      <c r="K60" t="b">
        <f t="shared" ca="1" si="14"/>
        <v>0</v>
      </c>
      <c r="L60" t="b">
        <f t="shared" ca="1" si="15"/>
        <v>1</v>
      </c>
      <c r="M60" t="b">
        <f t="shared" ca="1" si="16"/>
        <v>0</v>
      </c>
      <c r="N60" s="448"/>
      <c r="O60" s="464"/>
      <c r="R60" s="448"/>
      <c r="S60" s="464"/>
      <c r="V60" s="448"/>
      <c r="W60" s="464"/>
      <c r="Z60" s="448"/>
      <c r="AA60" s="464"/>
      <c r="AD60" s="448"/>
      <c r="AE60" s="464"/>
      <c r="AH60" s="448"/>
      <c r="AI60" s="464"/>
      <c r="AL60" s="448"/>
      <c r="AP60" s="448"/>
    </row>
    <row r="61" spans="1:42" ht="13">
      <c r="A61" s="462"/>
      <c r="B61" s="462"/>
      <c r="C61" t="str">
        <f ca="1">Filtered!I51</f>
        <v>Global Environmental Change</v>
      </c>
      <c r="D61" t="str">
        <f ca="1">Filtered!J51</f>
        <v>Social Sciences</v>
      </c>
      <c r="E61" t="str">
        <f ca="1">Filtered!AD51</f>
        <v>Unsure</v>
      </c>
      <c r="F61" t="b">
        <f t="shared" ca="1" si="9"/>
        <v>0</v>
      </c>
      <c r="G61" t="b">
        <f t="shared" ca="1" si="10"/>
        <v>0</v>
      </c>
      <c r="H61" t="b">
        <f t="shared" ca="1" si="11"/>
        <v>0</v>
      </c>
      <c r="I61" t="b">
        <f t="shared" ca="1" si="12"/>
        <v>0</v>
      </c>
      <c r="J61" t="b">
        <f t="shared" ca="1" si="13"/>
        <v>0</v>
      </c>
      <c r="K61" t="b">
        <f t="shared" ca="1" si="14"/>
        <v>0</v>
      </c>
      <c r="L61" t="b">
        <f t="shared" ca="1" si="15"/>
        <v>0</v>
      </c>
      <c r="M61" t="b">
        <f t="shared" ca="1" si="16"/>
        <v>1</v>
      </c>
      <c r="N61" s="448"/>
      <c r="O61" s="464"/>
      <c r="R61" s="448"/>
      <c r="S61" s="464"/>
      <c r="V61" s="448"/>
      <c r="W61" s="464"/>
      <c r="Z61" s="448"/>
      <c r="AA61" s="464"/>
      <c r="AD61" s="448"/>
      <c r="AE61" s="464"/>
      <c r="AH61" s="448"/>
      <c r="AI61" s="464"/>
      <c r="AL61" s="448"/>
      <c r="AP61" s="448"/>
    </row>
    <row r="62" spans="1:42" ht="13">
      <c r="A62" s="462"/>
      <c r="B62" s="462"/>
      <c r="C62" t="str">
        <f ca="1">Filtered!I52</f>
        <v>Government Information Quarterly</v>
      </c>
      <c r="D62" t="str">
        <f ca="1">Filtered!J52</f>
        <v>Social Sciences</v>
      </c>
      <c r="E62" t="str">
        <f ca="1">Filtered!AD52</f>
        <v>Unsure</v>
      </c>
      <c r="F62" t="b">
        <f t="shared" ca="1" si="9"/>
        <v>0</v>
      </c>
      <c r="G62" t="b">
        <f t="shared" ca="1" si="10"/>
        <v>0</v>
      </c>
      <c r="H62" t="b">
        <f t="shared" ca="1" si="11"/>
        <v>0</v>
      </c>
      <c r="I62" t="b">
        <f t="shared" ca="1" si="12"/>
        <v>0</v>
      </c>
      <c r="J62" t="b">
        <f t="shared" ca="1" si="13"/>
        <v>0</v>
      </c>
      <c r="K62" t="b">
        <f t="shared" ca="1" si="14"/>
        <v>0</v>
      </c>
      <c r="L62" t="b">
        <f t="shared" ca="1" si="15"/>
        <v>0</v>
      </c>
      <c r="M62" t="b">
        <f t="shared" ca="1" si="16"/>
        <v>1</v>
      </c>
      <c r="N62" s="448"/>
      <c r="O62" s="464"/>
      <c r="R62" s="448"/>
      <c r="S62" s="464"/>
      <c r="V62" s="448"/>
      <c r="W62" s="464"/>
      <c r="Z62" s="448"/>
      <c r="AA62" s="464"/>
      <c r="AD62" s="448"/>
      <c r="AE62" s="464"/>
      <c r="AH62" s="448"/>
      <c r="AI62" s="464"/>
      <c r="AL62" s="448"/>
      <c r="AP62" s="448"/>
    </row>
    <row r="63" spans="1:42" ht="13">
      <c r="A63" s="462"/>
      <c r="B63" s="462"/>
      <c r="C63" t="str">
        <f ca="1">Filtered!I53</f>
        <v>Gut</v>
      </c>
      <c r="D63" t="str">
        <f ca="1">Filtered!J53</f>
        <v/>
      </c>
      <c r="E63" t="str">
        <f ca="1">Filtered!AD53</f>
        <v>Yes</v>
      </c>
      <c r="F63" t="b">
        <f t="shared" ca="1" si="9"/>
        <v>0</v>
      </c>
      <c r="G63" t="b">
        <f t="shared" ca="1" si="10"/>
        <v>0</v>
      </c>
      <c r="H63" t="b">
        <f t="shared" ca="1" si="11"/>
        <v>0</v>
      </c>
      <c r="I63" t="b">
        <f t="shared" ca="1" si="12"/>
        <v>0</v>
      </c>
      <c r="J63" t="b">
        <f t="shared" ca="1" si="13"/>
        <v>0</v>
      </c>
      <c r="K63" t="b">
        <f t="shared" ca="1" si="14"/>
        <v>0</v>
      </c>
      <c r="L63" t="b">
        <f t="shared" ca="1" si="15"/>
        <v>0</v>
      </c>
      <c r="M63" t="b">
        <f t="shared" ca="1" si="16"/>
        <v>0</v>
      </c>
      <c r="N63" s="448"/>
      <c r="O63" s="464"/>
      <c r="R63" s="448"/>
      <c r="S63" s="464"/>
      <c r="V63" s="448"/>
      <c r="W63" s="464"/>
      <c r="Z63" s="448"/>
      <c r="AA63" s="464"/>
      <c r="AD63" s="448"/>
      <c r="AE63" s="464"/>
      <c r="AH63" s="448"/>
      <c r="AI63" s="464"/>
      <c r="AL63" s="448"/>
      <c r="AP63" s="448"/>
    </row>
    <row r="64" spans="1:42" ht="13">
      <c r="A64" s="462"/>
      <c r="B64" s="462"/>
      <c r="C64" t="str">
        <f ca="1">Filtered!I54</f>
        <v>Health Affairs</v>
      </c>
      <c r="D64" t="str">
        <f ca="1">Filtered!J54</f>
        <v>Social Sciences</v>
      </c>
      <c r="E64" t="str">
        <f ca="1">Filtered!AD54</f>
        <v>Yes</v>
      </c>
      <c r="F64" t="b">
        <f t="shared" ca="1" si="9"/>
        <v>0</v>
      </c>
      <c r="G64" t="b">
        <f t="shared" ca="1" si="10"/>
        <v>0</v>
      </c>
      <c r="H64" t="b">
        <f t="shared" ca="1" si="11"/>
        <v>0</v>
      </c>
      <c r="I64" t="b">
        <f t="shared" ca="1" si="12"/>
        <v>0</v>
      </c>
      <c r="J64" t="b">
        <f t="shared" ca="1" si="13"/>
        <v>0</v>
      </c>
      <c r="K64" t="b">
        <f t="shared" ca="1" si="14"/>
        <v>0</v>
      </c>
      <c r="L64" t="b">
        <f t="shared" ca="1" si="15"/>
        <v>0</v>
      </c>
      <c r="M64" t="b">
        <f t="shared" ca="1" si="16"/>
        <v>1</v>
      </c>
      <c r="N64" s="448"/>
      <c r="O64" s="464"/>
      <c r="R64" s="448"/>
      <c r="S64" s="464"/>
      <c r="V64" s="448"/>
      <c r="W64" s="464"/>
      <c r="Z64" s="448"/>
      <c r="AA64" s="464"/>
      <c r="AD64" s="448"/>
      <c r="AE64" s="464"/>
      <c r="AH64" s="448"/>
      <c r="AI64" s="464"/>
      <c r="AL64" s="448"/>
      <c r="AP64" s="448"/>
    </row>
    <row r="65" spans="1:42" ht="13">
      <c r="A65" s="462"/>
      <c r="B65" s="462"/>
      <c r="C65" t="str">
        <f ca="1">Filtered!I55</f>
        <v>Hepatology</v>
      </c>
      <c r="D65" t="str">
        <f ca="1">Filtered!J55</f>
        <v/>
      </c>
      <c r="E65" t="str">
        <f ca="1">Filtered!AD55</f>
        <v>Unsure</v>
      </c>
      <c r="F65" t="b">
        <f t="shared" ca="1" si="9"/>
        <v>0</v>
      </c>
      <c r="G65" t="b">
        <f t="shared" ca="1" si="10"/>
        <v>0</v>
      </c>
      <c r="H65" t="b">
        <f t="shared" ca="1" si="11"/>
        <v>0</v>
      </c>
      <c r="I65" t="b">
        <f t="shared" ca="1" si="12"/>
        <v>0</v>
      </c>
      <c r="J65" t="b">
        <f t="shared" ca="1" si="13"/>
        <v>0</v>
      </c>
      <c r="K65" t="b">
        <f t="shared" ca="1" si="14"/>
        <v>0</v>
      </c>
      <c r="L65" t="b">
        <f t="shared" ca="1" si="15"/>
        <v>0</v>
      </c>
      <c r="M65" t="b">
        <f t="shared" ca="1" si="16"/>
        <v>0</v>
      </c>
      <c r="N65" s="448"/>
      <c r="O65" s="464"/>
      <c r="R65" s="448"/>
      <c r="S65" s="464"/>
      <c r="V65" s="448"/>
      <c r="W65" s="464"/>
      <c r="Z65" s="448"/>
      <c r="AA65" s="464"/>
      <c r="AD65" s="448"/>
      <c r="AE65" s="464"/>
      <c r="AH65" s="448"/>
      <c r="AI65" s="464"/>
      <c r="AL65" s="448"/>
      <c r="AP65" s="448"/>
    </row>
    <row r="66" spans="1:42" ht="13">
      <c r="A66" s="462"/>
      <c r="B66" s="462"/>
      <c r="C66" t="str">
        <f ca="1">Filtered!I56</f>
        <v>IEEE Communications Magazine</v>
      </c>
      <c r="D66" t="str">
        <f ca="1">Filtered!J56</f>
        <v/>
      </c>
      <c r="E66" t="str">
        <f ca="1">Filtered!AD56</f>
        <v>Unsure</v>
      </c>
      <c r="F66" t="b">
        <f t="shared" ca="1" si="9"/>
        <v>0</v>
      </c>
      <c r="G66" t="b">
        <f t="shared" ca="1" si="10"/>
        <v>0</v>
      </c>
      <c r="H66" t="b">
        <f t="shared" ca="1" si="11"/>
        <v>0</v>
      </c>
      <c r="I66" t="b">
        <f t="shared" ca="1" si="12"/>
        <v>0</v>
      </c>
      <c r="J66" t="b">
        <f t="shared" ca="1" si="13"/>
        <v>0</v>
      </c>
      <c r="K66" t="b">
        <f t="shared" ca="1" si="14"/>
        <v>0</v>
      </c>
      <c r="L66" t="b">
        <f t="shared" ca="1" si="15"/>
        <v>0</v>
      </c>
      <c r="M66" t="b">
        <f t="shared" ca="1" si="16"/>
        <v>0</v>
      </c>
      <c r="N66" s="448"/>
      <c r="O66" s="464"/>
      <c r="R66" s="448"/>
      <c r="S66" s="464"/>
      <c r="V66" s="448"/>
      <c r="W66" s="464"/>
      <c r="Z66" s="448"/>
      <c r="AA66" s="464"/>
      <c r="AD66" s="448"/>
      <c r="AE66" s="464"/>
      <c r="AH66" s="448"/>
      <c r="AI66" s="464"/>
      <c r="AL66" s="448"/>
      <c r="AP66" s="448"/>
    </row>
    <row r="67" spans="1:42" ht="13">
      <c r="A67" s="462"/>
      <c r="B67" s="462"/>
      <c r="C67" t="str">
        <f ca="1">Filtered!I57</f>
        <v>IEEE Communications Surveys &amp; Tutorials</v>
      </c>
      <c r="D67" t="str">
        <f ca="1">Filtered!J57</f>
        <v>Engineering &amp; Computer Science</v>
      </c>
      <c r="E67" t="str">
        <f ca="1">Filtered!AD57</f>
        <v>Unsure</v>
      </c>
      <c r="F67" t="b">
        <f t="shared" ca="1" si="9"/>
        <v>0</v>
      </c>
      <c r="G67" t="b">
        <f t="shared" ca="1" si="10"/>
        <v>0</v>
      </c>
      <c r="H67" t="b">
        <f t="shared" ca="1" si="11"/>
        <v>1</v>
      </c>
      <c r="I67" t="b">
        <f t="shared" ca="1" si="12"/>
        <v>0</v>
      </c>
      <c r="J67" t="b">
        <f t="shared" ca="1" si="13"/>
        <v>0</v>
      </c>
      <c r="K67" t="b">
        <f t="shared" ca="1" si="14"/>
        <v>0</v>
      </c>
      <c r="L67" t="b">
        <f t="shared" ca="1" si="15"/>
        <v>0</v>
      </c>
      <c r="M67" t="b">
        <f t="shared" ca="1" si="16"/>
        <v>0</v>
      </c>
      <c r="N67" s="448"/>
      <c r="O67" s="464"/>
      <c r="R67" s="448"/>
      <c r="S67" s="464"/>
      <c r="V67" s="448"/>
      <c r="W67" s="464"/>
      <c r="Z67" s="448"/>
      <c r="AA67" s="464"/>
      <c r="AD67" s="448"/>
      <c r="AE67" s="464"/>
      <c r="AH67" s="448"/>
      <c r="AI67" s="464"/>
      <c r="AL67" s="448"/>
      <c r="AP67" s="448"/>
    </row>
    <row r="68" spans="1:42" ht="13">
      <c r="A68" s="462"/>
      <c r="B68" s="462"/>
      <c r="C68" t="str">
        <f ca="1">Filtered!I58</f>
        <v>IEEE Conference on Computer Vision and Pattern Recognition, CVPR</v>
      </c>
      <c r="D68" t="str">
        <f ca="1">Filtered!J58</f>
        <v>Engineering &amp; Computer Science</v>
      </c>
      <c r="E68" t="str">
        <f ca="1">Filtered!AD58</f>
        <v>Yes</v>
      </c>
      <c r="F68" t="b">
        <f t="shared" ca="1" si="9"/>
        <v>0</v>
      </c>
      <c r="G68" t="b">
        <f t="shared" ca="1" si="10"/>
        <v>0</v>
      </c>
      <c r="H68" t="b">
        <f t="shared" ca="1" si="11"/>
        <v>1</v>
      </c>
      <c r="I68" t="b">
        <f t="shared" ca="1" si="12"/>
        <v>0</v>
      </c>
      <c r="J68" t="b">
        <f t="shared" ca="1" si="13"/>
        <v>0</v>
      </c>
      <c r="K68" t="b">
        <f t="shared" ca="1" si="14"/>
        <v>0</v>
      </c>
      <c r="L68" t="b">
        <f t="shared" ca="1" si="15"/>
        <v>0</v>
      </c>
      <c r="M68" t="b">
        <f t="shared" ca="1" si="16"/>
        <v>0</v>
      </c>
      <c r="N68" s="448"/>
      <c r="O68" s="464"/>
      <c r="R68" s="448"/>
      <c r="S68" s="464"/>
      <c r="V68" s="448"/>
      <c r="W68" s="464"/>
      <c r="Z68" s="448"/>
      <c r="AA68" s="464"/>
      <c r="AD68" s="448"/>
      <c r="AE68" s="464"/>
      <c r="AH68" s="448"/>
      <c r="AI68" s="464"/>
      <c r="AL68" s="448"/>
      <c r="AP68" s="448"/>
    </row>
    <row r="69" spans="1:42" ht="13">
      <c r="A69" s="462"/>
      <c r="B69" s="462"/>
      <c r="C69" t="str">
        <f ca="1">Filtered!I59</f>
        <v>IEEE International Conference on Computer Vision</v>
      </c>
      <c r="D69" t="str">
        <f ca="1">Filtered!J59</f>
        <v>Engineering &amp; Computer Science</v>
      </c>
      <c r="E69" t="str">
        <f ca="1">Filtered!AD59</f>
        <v>Yes</v>
      </c>
      <c r="F69" t="b">
        <f t="shared" ca="1" si="9"/>
        <v>0</v>
      </c>
      <c r="G69" t="b">
        <f t="shared" ca="1" si="10"/>
        <v>0</v>
      </c>
      <c r="H69" t="b">
        <f t="shared" ca="1" si="11"/>
        <v>1</v>
      </c>
      <c r="I69" t="b">
        <f t="shared" ca="1" si="12"/>
        <v>0</v>
      </c>
      <c r="J69" t="b">
        <f t="shared" ca="1" si="13"/>
        <v>0</v>
      </c>
      <c r="K69" t="b">
        <f t="shared" ca="1" si="14"/>
        <v>0</v>
      </c>
      <c r="L69" t="b">
        <f t="shared" ca="1" si="15"/>
        <v>0</v>
      </c>
      <c r="M69" t="b">
        <f t="shared" ca="1" si="16"/>
        <v>0</v>
      </c>
      <c r="N69" s="448"/>
      <c r="O69" s="464"/>
      <c r="R69" s="448"/>
      <c r="S69" s="464"/>
      <c r="V69" s="448"/>
      <c r="W69" s="464"/>
      <c r="Z69" s="448"/>
      <c r="AA69" s="464"/>
      <c r="AD69" s="448"/>
      <c r="AE69" s="464"/>
      <c r="AH69" s="448"/>
      <c r="AI69" s="464"/>
      <c r="AL69" s="448"/>
      <c r="AP69" s="448"/>
    </row>
    <row r="70" spans="1:42" ht="13">
      <c r="A70" s="462"/>
      <c r="B70" s="462"/>
      <c r="C70" t="str">
        <f ca="1">Filtered!I60</f>
        <v>IEEE Transactions on Automatic Control</v>
      </c>
      <c r="D70" t="str">
        <f ca="1">Filtered!J60</f>
        <v>Physics &amp; Mathematics</v>
      </c>
      <c r="E70" t="str">
        <f ca="1">Filtered!AD60</f>
        <v>Unsure</v>
      </c>
      <c r="F70" t="b">
        <f t="shared" ca="1" si="9"/>
        <v>0</v>
      </c>
      <c r="G70" t="b">
        <f t="shared" ca="1" si="10"/>
        <v>0</v>
      </c>
      <c r="H70" t="b">
        <f t="shared" ca="1" si="11"/>
        <v>0</v>
      </c>
      <c r="I70" t="b">
        <f t="shared" ca="1" si="12"/>
        <v>0</v>
      </c>
      <c r="J70" t="b">
        <f t="shared" ca="1" si="13"/>
        <v>0</v>
      </c>
      <c r="K70" t="b">
        <f t="shared" ca="1" si="14"/>
        <v>0</v>
      </c>
      <c r="L70" t="b">
        <f t="shared" ca="1" si="15"/>
        <v>1</v>
      </c>
      <c r="M70" t="b">
        <f t="shared" ca="1" si="16"/>
        <v>0</v>
      </c>
      <c r="N70" s="448"/>
      <c r="O70" s="464"/>
      <c r="R70" s="448"/>
      <c r="S70" s="464"/>
      <c r="V70" s="448"/>
      <c r="W70" s="464"/>
      <c r="Z70" s="448"/>
      <c r="AA70" s="464"/>
      <c r="AD70" s="448"/>
      <c r="AE70" s="464"/>
      <c r="AH70" s="448"/>
      <c r="AI70" s="464"/>
      <c r="AL70" s="448"/>
      <c r="AP70" s="448"/>
    </row>
    <row r="71" spans="1:42" ht="13">
      <c r="A71" s="462"/>
      <c r="B71" s="462"/>
      <c r="C71" t="str">
        <f ca="1">Filtered!I61</f>
        <v>IEEE Transactions on Industrial Electronics</v>
      </c>
      <c r="D71" t="str">
        <f ca="1">Filtered!J61</f>
        <v>Engineering &amp; Computer Science</v>
      </c>
      <c r="E71" t="str">
        <f ca="1">Filtered!AD61</f>
        <v>Unsure</v>
      </c>
      <c r="F71" t="b">
        <f t="shared" ca="1" si="9"/>
        <v>0</v>
      </c>
      <c r="G71" t="b">
        <f t="shared" ca="1" si="10"/>
        <v>0</v>
      </c>
      <c r="H71" t="b">
        <f t="shared" ca="1" si="11"/>
        <v>1</v>
      </c>
      <c r="I71" t="b">
        <f t="shared" ca="1" si="12"/>
        <v>0</v>
      </c>
      <c r="J71" t="b">
        <f t="shared" ca="1" si="13"/>
        <v>0</v>
      </c>
      <c r="K71" t="b">
        <f t="shared" ca="1" si="14"/>
        <v>0</v>
      </c>
      <c r="L71" t="b">
        <f t="shared" ca="1" si="15"/>
        <v>0</v>
      </c>
      <c r="M71" t="b">
        <f t="shared" ca="1" si="16"/>
        <v>0</v>
      </c>
      <c r="N71" s="448"/>
      <c r="O71" s="464"/>
      <c r="R71" s="448"/>
      <c r="S71" s="464"/>
      <c r="V71" s="448"/>
      <c r="W71" s="464"/>
      <c r="Z71" s="448"/>
      <c r="AA71" s="464"/>
      <c r="AD71" s="448"/>
      <c r="AE71" s="464"/>
      <c r="AH71" s="448"/>
      <c r="AI71" s="464"/>
      <c r="AL71" s="448"/>
      <c r="AP71" s="448"/>
    </row>
    <row r="72" spans="1:42" ht="13">
      <c r="A72" s="462"/>
      <c r="B72" s="462"/>
      <c r="C72" t="str">
        <f ca="1">Filtered!I62</f>
        <v>IEEE Transactions on Pattern Analysis and Machine Intelligence</v>
      </c>
      <c r="D72" t="str">
        <f ca="1">Filtered!J62</f>
        <v/>
      </c>
      <c r="E72" t="str">
        <f ca="1">Filtered!AD62</f>
        <v>Unsure</v>
      </c>
      <c r="F72" t="b">
        <f t="shared" ca="1" si="9"/>
        <v>0</v>
      </c>
      <c r="G72" t="b">
        <f t="shared" ca="1" si="10"/>
        <v>0</v>
      </c>
      <c r="H72" t="b">
        <f t="shared" ca="1" si="11"/>
        <v>0</v>
      </c>
      <c r="I72" t="b">
        <f t="shared" ca="1" si="12"/>
        <v>0</v>
      </c>
      <c r="J72" t="b">
        <f t="shared" ca="1" si="13"/>
        <v>0</v>
      </c>
      <c r="K72" t="b">
        <f t="shared" ca="1" si="14"/>
        <v>0</v>
      </c>
      <c r="L72" t="b">
        <f t="shared" ca="1" si="15"/>
        <v>0</v>
      </c>
      <c r="M72" t="b">
        <f t="shared" ca="1" si="16"/>
        <v>0</v>
      </c>
      <c r="N72" s="448"/>
      <c r="O72" s="464"/>
      <c r="R72" s="448"/>
      <c r="S72" s="464"/>
      <c r="V72" s="448"/>
      <c r="W72" s="464"/>
      <c r="Z72" s="448"/>
      <c r="AA72" s="464"/>
      <c r="AD72" s="448"/>
      <c r="AE72" s="464"/>
      <c r="AH72" s="448"/>
      <c r="AI72" s="464"/>
      <c r="AL72" s="448"/>
      <c r="AP72" s="448"/>
    </row>
    <row r="73" spans="1:42" ht="13">
      <c r="A73" s="462"/>
      <c r="B73" s="462"/>
      <c r="C73" t="str">
        <f ca="1">Filtered!I63</f>
        <v>IEEE Transactions on Power Electronics</v>
      </c>
      <c r="D73" t="str">
        <f ca="1">Filtered!J63</f>
        <v>Engineering &amp; Computer Science</v>
      </c>
      <c r="E73" t="str">
        <f ca="1">Filtered!AD63</f>
        <v>Unsure</v>
      </c>
      <c r="F73" t="b">
        <f t="shared" ca="1" si="9"/>
        <v>0</v>
      </c>
      <c r="G73" t="b">
        <f t="shared" ca="1" si="10"/>
        <v>0</v>
      </c>
      <c r="H73" t="b">
        <f t="shared" ca="1" si="11"/>
        <v>1</v>
      </c>
      <c r="I73" t="b">
        <f t="shared" ca="1" si="12"/>
        <v>0</v>
      </c>
      <c r="J73" t="b">
        <f t="shared" ca="1" si="13"/>
        <v>0</v>
      </c>
      <c r="K73" t="b">
        <f t="shared" ca="1" si="14"/>
        <v>0</v>
      </c>
      <c r="L73" t="b">
        <f t="shared" ca="1" si="15"/>
        <v>0</v>
      </c>
      <c r="M73" t="b">
        <f t="shared" ca="1" si="16"/>
        <v>0</v>
      </c>
      <c r="N73" s="448"/>
      <c r="O73" s="464"/>
      <c r="R73" s="448"/>
      <c r="S73" s="464"/>
      <c r="V73" s="448"/>
      <c r="W73" s="464"/>
      <c r="Z73" s="448"/>
      <c r="AA73" s="464"/>
      <c r="AD73" s="448"/>
      <c r="AE73" s="464"/>
      <c r="AH73" s="448"/>
      <c r="AI73" s="464"/>
      <c r="AL73" s="448"/>
      <c r="AP73" s="448"/>
    </row>
    <row r="74" spans="1:42" ht="13">
      <c r="A74" s="462"/>
      <c r="B74" s="462"/>
      <c r="C74" t="str">
        <f ca="1">Filtered!I64</f>
        <v>IEEE Transactions on Signal Processing</v>
      </c>
      <c r="D74" t="str">
        <f ca="1">Filtered!J64</f>
        <v>Physics &amp; Mathematics</v>
      </c>
      <c r="E74" t="str">
        <f ca="1">Filtered!AD64</f>
        <v>Unsure</v>
      </c>
      <c r="F74" t="b">
        <f t="shared" ca="1" si="9"/>
        <v>0</v>
      </c>
      <c r="G74" t="b">
        <f t="shared" ca="1" si="10"/>
        <v>0</v>
      </c>
      <c r="H74" t="b">
        <f t="shared" ca="1" si="11"/>
        <v>0</v>
      </c>
      <c r="I74" t="b">
        <f t="shared" ca="1" si="12"/>
        <v>0</v>
      </c>
      <c r="J74" t="b">
        <f t="shared" ca="1" si="13"/>
        <v>0</v>
      </c>
      <c r="K74" t="b">
        <f t="shared" ca="1" si="14"/>
        <v>0</v>
      </c>
      <c r="L74" t="b">
        <f t="shared" ca="1" si="15"/>
        <v>1</v>
      </c>
      <c r="M74" t="b">
        <f t="shared" ca="1" si="16"/>
        <v>0</v>
      </c>
      <c r="N74" s="448"/>
      <c r="O74" s="464"/>
      <c r="R74" s="448"/>
      <c r="S74" s="464"/>
      <c r="V74" s="448"/>
      <c r="W74" s="464"/>
      <c r="Z74" s="448"/>
      <c r="AA74" s="464"/>
      <c r="AD74" s="448"/>
      <c r="AE74" s="464"/>
      <c r="AH74" s="448"/>
      <c r="AI74" s="464"/>
      <c r="AL74" s="448"/>
      <c r="AP74" s="448"/>
    </row>
    <row r="75" spans="1:42" ht="13">
      <c r="A75" s="462"/>
      <c r="B75" s="462"/>
      <c r="C75" t="str">
        <f ca="1">Filtered!I65</f>
        <v>Immunity</v>
      </c>
      <c r="D75" t="str">
        <f ca="1">Filtered!J65</f>
        <v>Health &amp; Medical Sciences</v>
      </c>
      <c r="E75" t="str">
        <f ca="1">Filtered!AD65</f>
        <v>Unsure</v>
      </c>
      <c r="F75" t="b">
        <f t="shared" ca="1" si="9"/>
        <v>0</v>
      </c>
      <c r="G75" t="b">
        <f t="shared" ca="1" si="10"/>
        <v>0</v>
      </c>
      <c r="H75" t="b">
        <f t="shared" ca="1" si="11"/>
        <v>0</v>
      </c>
      <c r="I75" t="b">
        <f t="shared" ca="1" si="12"/>
        <v>1</v>
      </c>
      <c r="J75" t="b">
        <f t="shared" ca="1" si="13"/>
        <v>0</v>
      </c>
      <c r="K75" t="b">
        <f t="shared" ca="1" si="14"/>
        <v>0</v>
      </c>
      <c r="L75" t="b">
        <f t="shared" ca="1" si="15"/>
        <v>0</v>
      </c>
      <c r="M75" t="b">
        <f t="shared" ca="1" si="16"/>
        <v>0</v>
      </c>
      <c r="N75" s="448"/>
      <c r="O75" s="464"/>
      <c r="R75" s="448"/>
      <c r="S75" s="464"/>
      <c r="V75" s="448"/>
      <c r="W75" s="464"/>
      <c r="Z75" s="448"/>
      <c r="AA75" s="464"/>
      <c r="AD75" s="448"/>
      <c r="AE75" s="464"/>
      <c r="AH75" s="448"/>
      <c r="AI75" s="464"/>
      <c r="AL75" s="448"/>
      <c r="AP75" s="448"/>
    </row>
    <row r="76" spans="1:42" ht="13">
      <c r="A76" s="462"/>
      <c r="B76" s="462"/>
      <c r="C76" t="str">
        <f ca="1">Filtered!I66</f>
        <v>International Journal of Communication</v>
      </c>
      <c r="D76" t="str">
        <f ca="1">Filtered!J66</f>
        <v>Humanities, Literature &amp; Arts</v>
      </c>
      <c r="E76" t="str">
        <f ca="1">Filtered!AD66</f>
        <v>Unsure</v>
      </c>
      <c r="F76" t="b">
        <f t="shared" ca="1" si="9"/>
        <v>0</v>
      </c>
      <c r="G76" t="b">
        <f t="shared" ca="1" si="10"/>
        <v>0</v>
      </c>
      <c r="H76" t="b">
        <f t="shared" ca="1" si="11"/>
        <v>0</v>
      </c>
      <c r="I76" t="b">
        <f t="shared" ca="1" si="12"/>
        <v>0</v>
      </c>
      <c r="J76" t="b">
        <f t="shared" ca="1" si="13"/>
        <v>1</v>
      </c>
      <c r="K76" t="b">
        <f t="shared" ca="1" si="14"/>
        <v>0</v>
      </c>
      <c r="L76" t="b">
        <f t="shared" ca="1" si="15"/>
        <v>0</v>
      </c>
      <c r="M76" t="b">
        <f t="shared" ca="1" si="16"/>
        <v>0</v>
      </c>
      <c r="N76" s="448"/>
      <c r="O76" s="464"/>
      <c r="R76" s="448"/>
      <c r="S76" s="464"/>
      <c r="V76" s="448"/>
      <c r="W76" s="464"/>
      <c r="Z76" s="448"/>
      <c r="AA76" s="464"/>
      <c r="AD76" s="448"/>
      <c r="AE76" s="464"/>
      <c r="AH76" s="448"/>
      <c r="AI76" s="464"/>
      <c r="AL76" s="448"/>
      <c r="AP76" s="448"/>
    </row>
    <row r="77" spans="1:42" ht="13">
      <c r="A77" s="462"/>
      <c r="B77" s="462"/>
      <c r="C77" t="str">
        <f ca="1">Filtered!I67</f>
        <v>International Journal of Production Economics</v>
      </c>
      <c r="D77" t="str">
        <f ca="1">Filtered!J67</f>
        <v>Business, Economics &amp; Management</v>
      </c>
      <c r="E77" t="str">
        <f ca="1">Filtered!AD67</f>
        <v>Unsure</v>
      </c>
      <c r="F77" t="b">
        <f t="shared" ca="1" si="9"/>
        <v>1</v>
      </c>
      <c r="G77" t="b">
        <f t="shared" ca="1" si="10"/>
        <v>0</v>
      </c>
      <c r="H77" t="b">
        <f t="shared" ca="1" si="11"/>
        <v>0</v>
      </c>
      <c r="I77" t="b">
        <f t="shared" ca="1" si="12"/>
        <v>0</v>
      </c>
      <c r="J77" t="b">
        <f t="shared" ca="1" si="13"/>
        <v>0</v>
      </c>
      <c r="K77" t="b">
        <f t="shared" ca="1" si="14"/>
        <v>0</v>
      </c>
      <c r="L77" t="b">
        <f t="shared" ca="1" si="15"/>
        <v>0</v>
      </c>
      <c r="M77" t="b">
        <f t="shared" ca="1" si="16"/>
        <v>0</v>
      </c>
      <c r="N77" s="448"/>
      <c r="O77" s="464"/>
      <c r="R77" s="448"/>
      <c r="S77" s="464"/>
      <c r="V77" s="448"/>
      <c r="W77" s="464"/>
      <c r="Z77" s="448"/>
      <c r="AA77" s="464"/>
      <c r="AD77" s="448"/>
      <c r="AE77" s="464"/>
      <c r="AH77" s="448"/>
      <c r="AI77" s="464"/>
      <c r="AL77" s="448"/>
      <c r="AP77" s="448"/>
    </row>
    <row r="78" spans="1:42" ht="13">
      <c r="A78" s="462"/>
      <c r="B78" s="462"/>
      <c r="C78" t="str">
        <f ca="1">Filtered!I68</f>
        <v>Journal of the American Medical Association</v>
      </c>
      <c r="D78" t="str">
        <f ca="1">Filtered!J68</f>
        <v>Health &amp; Medical Sciences</v>
      </c>
      <c r="E78" t="str">
        <f ca="1">Filtered!AD68</f>
        <v>Unsure</v>
      </c>
      <c r="F78" t="b">
        <f t="shared" ca="1" si="9"/>
        <v>0</v>
      </c>
      <c r="G78" t="b">
        <f t="shared" ca="1" si="10"/>
        <v>0</v>
      </c>
      <c r="H78" t="b">
        <f t="shared" ca="1" si="11"/>
        <v>0</v>
      </c>
      <c r="I78" t="b">
        <f t="shared" ca="1" si="12"/>
        <v>1</v>
      </c>
      <c r="J78" t="b">
        <f t="shared" ca="1" si="13"/>
        <v>0</v>
      </c>
      <c r="K78" t="b">
        <f t="shared" ca="1" si="14"/>
        <v>0</v>
      </c>
      <c r="L78" t="b">
        <f t="shared" ca="1" si="15"/>
        <v>0</v>
      </c>
      <c r="M78" t="b">
        <f t="shared" ca="1" si="16"/>
        <v>0</v>
      </c>
      <c r="N78" s="448"/>
      <c r="O78" s="464"/>
      <c r="R78" s="448"/>
      <c r="S78" s="464"/>
      <c r="V78" s="448"/>
      <c r="W78" s="464"/>
      <c r="Z78" s="448"/>
      <c r="AA78" s="464"/>
      <c r="AD78" s="448"/>
      <c r="AE78" s="464"/>
      <c r="AH78" s="448"/>
      <c r="AI78" s="464"/>
      <c r="AL78" s="448"/>
      <c r="AP78" s="448"/>
    </row>
    <row r="79" spans="1:42" ht="13">
      <c r="A79" s="462"/>
      <c r="B79" s="462"/>
      <c r="C79" t="str">
        <f ca="1">Filtered!I69</f>
        <v>Journal of Allergy and Clinical Immunology</v>
      </c>
      <c r="D79" t="str">
        <f ca="1">Filtered!J69</f>
        <v/>
      </c>
      <c r="E79" t="str">
        <f ca="1">Filtered!AD69</f>
        <v>Unsure</v>
      </c>
      <c r="F79" t="b">
        <f t="shared" ca="1" si="9"/>
        <v>0</v>
      </c>
      <c r="G79" t="b">
        <f t="shared" ca="1" si="10"/>
        <v>0</v>
      </c>
      <c r="H79" t="b">
        <f t="shared" ca="1" si="11"/>
        <v>0</v>
      </c>
      <c r="I79" t="b">
        <f t="shared" ca="1" si="12"/>
        <v>0</v>
      </c>
      <c r="J79" t="b">
        <f t="shared" ca="1" si="13"/>
        <v>0</v>
      </c>
      <c r="K79" t="b">
        <f t="shared" ca="1" si="14"/>
        <v>0</v>
      </c>
      <c r="L79" t="b">
        <f t="shared" ca="1" si="15"/>
        <v>0</v>
      </c>
      <c r="M79" t="b">
        <f t="shared" ca="1" si="16"/>
        <v>0</v>
      </c>
      <c r="N79" s="448"/>
      <c r="O79" s="464"/>
      <c r="R79" s="448"/>
      <c r="S79" s="464"/>
      <c r="V79" s="448"/>
      <c r="W79" s="464"/>
      <c r="Z79" s="448"/>
      <c r="AA79" s="464"/>
      <c r="AD79" s="448"/>
      <c r="AE79" s="464"/>
      <c r="AH79" s="448"/>
      <c r="AI79" s="464"/>
      <c r="AL79" s="448"/>
      <c r="AP79" s="448"/>
    </row>
    <row r="80" spans="1:42" ht="13">
      <c r="A80" s="462"/>
      <c r="B80" s="462"/>
      <c r="C80" t="str">
        <f ca="1">Filtered!I70</f>
        <v>Journal of Banking &amp; Finance</v>
      </c>
      <c r="D80" t="str">
        <f ca="1">Filtered!J70</f>
        <v>Business, Economics &amp; Management</v>
      </c>
      <c r="E80" t="str">
        <f ca="1">Filtered!AD70</f>
        <v>Unsure</v>
      </c>
      <c r="F80" t="b">
        <f t="shared" ca="1" si="9"/>
        <v>1</v>
      </c>
      <c r="G80" t="b">
        <f t="shared" ca="1" si="10"/>
        <v>0</v>
      </c>
      <c r="H80" t="b">
        <f t="shared" ca="1" si="11"/>
        <v>0</v>
      </c>
      <c r="I80" t="b">
        <f t="shared" ca="1" si="12"/>
        <v>0</v>
      </c>
      <c r="J80" t="b">
        <f t="shared" ca="1" si="13"/>
        <v>0</v>
      </c>
      <c r="K80" t="b">
        <f t="shared" ca="1" si="14"/>
        <v>0</v>
      </c>
      <c r="L80" t="b">
        <f t="shared" ca="1" si="15"/>
        <v>0</v>
      </c>
      <c r="M80" t="b">
        <f t="shared" ca="1" si="16"/>
        <v>0</v>
      </c>
      <c r="N80" s="448"/>
      <c r="O80" s="464"/>
      <c r="R80" s="448"/>
      <c r="S80" s="464"/>
      <c r="V80" s="448"/>
      <c r="W80" s="464"/>
      <c r="Z80" s="448"/>
      <c r="AA80" s="464"/>
      <c r="AD80" s="448"/>
      <c r="AE80" s="464"/>
      <c r="AH80" s="448"/>
      <c r="AI80" s="464"/>
      <c r="AL80" s="448"/>
      <c r="AP80" s="448"/>
    </row>
    <row r="81" spans="1:42" ht="13">
      <c r="A81" s="462"/>
      <c r="B81" s="462"/>
      <c r="C81" t="str">
        <f ca="1">Filtered!I71</f>
        <v>Journal of Business Ethics</v>
      </c>
      <c r="D81" t="str">
        <f ca="1">Filtered!J71</f>
        <v>Business, Economics &amp; Management,
Social Sciences</v>
      </c>
      <c r="E81" t="str">
        <f ca="1">Filtered!AD71</f>
        <v>Unsure</v>
      </c>
      <c r="F81" t="b">
        <f t="shared" ca="1" si="9"/>
        <v>1</v>
      </c>
      <c r="G81" t="b">
        <f t="shared" ca="1" si="10"/>
        <v>0</v>
      </c>
      <c r="H81" t="b">
        <f t="shared" ca="1" si="11"/>
        <v>0</v>
      </c>
      <c r="I81" t="b">
        <f t="shared" ca="1" si="12"/>
        <v>0</v>
      </c>
      <c r="J81" t="b">
        <f t="shared" ca="1" si="13"/>
        <v>0</v>
      </c>
      <c r="K81" t="b">
        <f t="shared" ca="1" si="14"/>
        <v>0</v>
      </c>
      <c r="L81" t="b">
        <f t="shared" ca="1" si="15"/>
        <v>0</v>
      </c>
      <c r="M81" t="b">
        <f t="shared" ca="1" si="16"/>
        <v>1</v>
      </c>
      <c r="N81" s="448"/>
      <c r="O81" s="464"/>
      <c r="R81" s="448"/>
      <c r="S81" s="464"/>
      <c r="V81" s="448"/>
      <c r="W81" s="464"/>
      <c r="Z81" s="448"/>
      <c r="AA81" s="464"/>
      <c r="AD81" s="448"/>
      <c r="AE81" s="464"/>
      <c r="AH81" s="448"/>
      <c r="AI81" s="464"/>
      <c r="AL81" s="448"/>
      <c r="AP81" s="448"/>
    </row>
    <row r="82" spans="1:42" ht="13">
      <c r="A82" s="462"/>
      <c r="B82" s="462"/>
      <c r="C82" t="str">
        <f ca="1">Filtered!I72</f>
        <v>Journal of Business Research</v>
      </c>
      <c r="D82" t="str">
        <f ca="1">Filtered!J72</f>
        <v>Business, Economics &amp; Management</v>
      </c>
      <c r="E82" t="str">
        <f ca="1">Filtered!AD72</f>
        <v>Unsure</v>
      </c>
      <c r="F82" t="b">
        <f t="shared" ca="1" si="9"/>
        <v>1</v>
      </c>
      <c r="G82" t="b">
        <f t="shared" ca="1" si="10"/>
        <v>0</v>
      </c>
      <c r="H82" t="b">
        <f t="shared" ca="1" si="11"/>
        <v>0</v>
      </c>
      <c r="I82" t="b">
        <f t="shared" ca="1" si="12"/>
        <v>0</v>
      </c>
      <c r="J82" t="b">
        <f t="shared" ca="1" si="13"/>
        <v>0</v>
      </c>
      <c r="K82" t="b">
        <f t="shared" ca="1" si="14"/>
        <v>0</v>
      </c>
      <c r="L82" t="b">
        <f t="shared" ca="1" si="15"/>
        <v>0</v>
      </c>
      <c r="M82" t="b">
        <f t="shared" ca="1" si="16"/>
        <v>0</v>
      </c>
      <c r="N82" s="448"/>
      <c r="O82" s="464"/>
      <c r="R82" s="448"/>
      <c r="S82" s="464"/>
      <c r="V82" s="448"/>
      <c r="W82" s="464"/>
      <c r="Z82" s="448"/>
      <c r="AA82" s="464"/>
      <c r="AD82" s="448"/>
      <c r="AE82" s="464"/>
      <c r="AH82" s="448"/>
      <c r="AI82" s="464"/>
      <c r="AL82" s="448"/>
      <c r="AP82" s="448"/>
    </row>
    <row r="83" spans="1:42" ht="13">
      <c r="A83" s="462"/>
      <c r="B83" s="462"/>
      <c r="C83" t="str">
        <f ca="1">Filtered!I73</f>
        <v>Journal of Cleaner Production</v>
      </c>
      <c r="D83" t="str">
        <f ca="1">Filtered!J73</f>
        <v/>
      </c>
      <c r="E83" t="str">
        <f ca="1">Filtered!AD73</f>
        <v>Unsure</v>
      </c>
      <c r="F83" t="b">
        <f t="shared" ca="1" si="9"/>
        <v>0</v>
      </c>
      <c r="G83" t="b">
        <f t="shared" ca="1" si="10"/>
        <v>0</v>
      </c>
      <c r="H83" t="b">
        <f t="shared" ca="1" si="11"/>
        <v>0</v>
      </c>
      <c r="I83" t="b">
        <f t="shared" ca="1" si="12"/>
        <v>0</v>
      </c>
      <c r="J83" t="b">
        <f t="shared" ca="1" si="13"/>
        <v>0</v>
      </c>
      <c r="K83" t="b">
        <f t="shared" ca="1" si="14"/>
        <v>0</v>
      </c>
      <c r="L83" t="b">
        <f t="shared" ca="1" si="15"/>
        <v>0</v>
      </c>
      <c r="M83" t="b">
        <f t="shared" ca="1" si="16"/>
        <v>0</v>
      </c>
      <c r="N83" s="448"/>
      <c r="O83" s="464"/>
      <c r="R83" s="448"/>
      <c r="S83" s="464"/>
      <c r="V83" s="448"/>
      <c r="W83" s="464"/>
      <c r="Z83" s="448"/>
      <c r="AA83" s="464"/>
      <c r="AD83" s="448"/>
      <c r="AE83" s="464"/>
      <c r="AH83" s="448"/>
      <c r="AI83" s="464"/>
      <c r="AL83" s="448"/>
      <c r="AP83" s="448"/>
    </row>
    <row r="84" spans="1:42" ht="13">
      <c r="A84" s="462"/>
      <c r="B84" s="462"/>
      <c r="C84" t="str">
        <f ca="1">Filtered!I74</f>
        <v>Journal of Clinical Oncology</v>
      </c>
      <c r="D84" t="str">
        <f ca="1">Filtered!J74</f>
        <v>Health &amp; Medical Sciences</v>
      </c>
      <c r="E84" t="str">
        <f ca="1">Filtered!AD74</f>
        <v>Unsure</v>
      </c>
      <c r="F84" t="b">
        <f t="shared" ca="1" si="9"/>
        <v>0</v>
      </c>
      <c r="G84" t="b">
        <f t="shared" ca="1" si="10"/>
        <v>0</v>
      </c>
      <c r="H84" t="b">
        <f t="shared" ca="1" si="11"/>
        <v>0</v>
      </c>
      <c r="I84" t="b">
        <f t="shared" ca="1" si="12"/>
        <v>1</v>
      </c>
      <c r="J84" t="b">
        <f t="shared" ca="1" si="13"/>
        <v>0</v>
      </c>
      <c r="K84" t="b">
        <f t="shared" ca="1" si="14"/>
        <v>0</v>
      </c>
      <c r="L84" t="b">
        <f t="shared" ca="1" si="15"/>
        <v>0</v>
      </c>
      <c r="M84" t="b">
        <f t="shared" ca="1" si="16"/>
        <v>0</v>
      </c>
      <c r="N84" s="448"/>
      <c r="O84" s="464"/>
      <c r="R84" s="448"/>
      <c r="S84" s="464"/>
      <c r="V84" s="448"/>
      <c r="W84" s="464"/>
      <c r="Z84" s="448"/>
      <c r="AA84" s="464"/>
      <c r="AD84" s="448"/>
      <c r="AE84" s="464"/>
      <c r="AH84" s="448"/>
      <c r="AI84" s="464"/>
      <c r="AL84" s="448"/>
      <c r="AP84" s="448"/>
    </row>
    <row r="85" spans="1:42" ht="13">
      <c r="A85" s="462"/>
      <c r="B85" s="462"/>
      <c r="C85" t="str">
        <f ca="1">Filtered!I75</f>
        <v>Journal of Communication</v>
      </c>
      <c r="D85" t="str">
        <f ca="1">Filtered!J75</f>
        <v>Humanities, Literature &amp; Arts</v>
      </c>
      <c r="E85" t="str">
        <f ca="1">Filtered!AD75</f>
        <v>Unsure</v>
      </c>
      <c r="F85" t="b">
        <f t="shared" ca="1" si="9"/>
        <v>0</v>
      </c>
      <c r="G85" t="b">
        <f t="shared" ca="1" si="10"/>
        <v>0</v>
      </c>
      <c r="H85" t="b">
        <f t="shared" ca="1" si="11"/>
        <v>0</v>
      </c>
      <c r="I85" t="b">
        <f t="shared" ca="1" si="12"/>
        <v>0</v>
      </c>
      <c r="J85" t="b">
        <f t="shared" ca="1" si="13"/>
        <v>1</v>
      </c>
      <c r="K85" t="b">
        <f t="shared" ca="1" si="14"/>
        <v>0</v>
      </c>
      <c r="L85" t="b">
        <f t="shared" ca="1" si="15"/>
        <v>0</v>
      </c>
      <c r="M85" t="b">
        <f t="shared" ca="1" si="16"/>
        <v>0</v>
      </c>
      <c r="N85" s="448"/>
      <c r="O85" s="464"/>
      <c r="R85" s="448"/>
      <c r="S85" s="464"/>
      <c r="V85" s="448"/>
      <c r="W85" s="464"/>
      <c r="Z85" s="448"/>
      <c r="AA85" s="464"/>
      <c r="AD85" s="448"/>
      <c r="AE85" s="464"/>
      <c r="AH85" s="448"/>
      <c r="AI85" s="464"/>
      <c r="AL85" s="448"/>
      <c r="AP85" s="448"/>
    </row>
    <row r="86" spans="1:42" ht="13">
      <c r="A86" s="462"/>
      <c r="B86" s="462"/>
      <c r="C86" t="str">
        <f ca="1">Filtered!I76</f>
        <v>Journal of Cosmology and Astroparticle Physics</v>
      </c>
      <c r="D86" t="str">
        <f ca="1">Filtered!J76</f>
        <v>Physics &amp; Mathematics</v>
      </c>
      <c r="E86" t="str">
        <f ca="1">Filtered!AD76</f>
        <v>No</v>
      </c>
      <c r="F86" t="b">
        <f t="shared" ca="1" si="9"/>
        <v>0</v>
      </c>
      <c r="G86" t="b">
        <f t="shared" ca="1" si="10"/>
        <v>0</v>
      </c>
      <c r="H86" t="b">
        <f t="shared" ca="1" si="11"/>
        <v>0</v>
      </c>
      <c r="I86" t="b">
        <f t="shared" ca="1" si="12"/>
        <v>0</v>
      </c>
      <c r="J86" t="b">
        <f t="shared" ca="1" si="13"/>
        <v>0</v>
      </c>
      <c r="K86" t="b">
        <f t="shared" ca="1" si="14"/>
        <v>0</v>
      </c>
      <c r="L86" t="b">
        <f t="shared" ca="1" si="15"/>
        <v>1</v>
      </c>
      <c r="M86" t="b">
        <f t="shared" ca="1" si="16"/>
        <v>0</v>
      </c>
      <c r="N86" s="448"/>
      <c r="O86" s="464"/>
      <c r="R86" s="448"/>
      <c r="S86" s="464"/>
      <c r="V86" s="448"/>
      <c r="W86" s="464"/>
      <c r="Z86" s="448"/>
      <c r="AA86" s="464"/>
      <c r="AD86" s="448"/>
      <c r="AE86" s="464"/>
      <c r="AH86" s="448"/>
      <c r="AI86" s="464"/>
      <c r="AL86" s="448"/>
      <c r="AP86" s="448"/>
    </row>
    <row r="87" spans="1:42" ht="13">
      <c r="A87" s="462"/>
      <c r="B87" s="462"/>
      <c r="C87" t="str">
        <f ca="1">Filtered!I77</f>
        <v>Journal of Economic Perspectives</v>
      </c>
      <c r="D87" t="str">
        <f ca="1">Filtered!J77</f>
        <v>Business, Economics &amp; Management</v>
      </c>
      <c r="E87" t="str">
        <f ca="1">Filtered!AD77</f>
        <v>Unsure</v>
      </c>
      <c r="F87" t="b">
        <f t="shared" ca="1" si="9"/>
        <v>1</v>
      </c>
      <c r="G87" t="b">
        <f t="shared" ca="1" si="10"/>
        <v>0</v>
      </c>
      <c r="H87" t="b">
        <f t="shared" ca="1" si="11"/>
        <v>0</v>
      </c>
      <c r="I87" t="b">
        <f t="shared" ca="1" si="12"/>
        <v>0</v>
      </c>
      <c r="J87" t="b">
        <f t="shared" ca="1" si="13"/>
        <v>0</v>
      </c>
      <c r="K87" t="b">
        <f t="shared" ca="1" si="14"/>
        <v>0</v>
      </c>
      <c r="L87" t="b">
        <f t="shared" ca="1" si="15"/>
        <v>0</v>
      </c>
      <c r="M87" t="b">
        <f t="shared" ca="1" si="16"/>
        <v>0</v>
      </c>
      <c r="N87" s="448"/>
      <c r="O87" s="464"/>
      <c r="R87" s="448"/>
      <c r="S87" s="464"/>
      <c r="V87" s="448"/>
      <c r="W87" s="464"/>
      <c r="Z87" s="448"/>
      <c r="AA87" s="464"/>
      <c r="AD87" s="448"/>
      <c r="AE87" s="464"/>
      <c r="AH87" s="448"/>
      <c r="AI87" s="464"/>
      <c r="AL87" s="448"/>
      <c r="AP87" s="448"/>
    </row>
    <row r="88" spans="1:42" ht="13">
      <c r="A88" s="462"/>
      <c r="B88" s="462"/>
      <c r="C88" t="str">
        <f ca="1">Filtered!I78</f>
        <v>Journal of Educational Psychology</v>
      </c>
      <c r="D88" t="str">
        <f ca="1">Filtered!J78</f>
        <v>Social Sciences</v>
      </c>
      <c r="E88" t="str">
        <f ca="1">Filtered!AD78</f>
        <v>Yes</v>
      </c>
      <c r="F88" t="b">
        <f t="shared" ca="1" si="9"/>
        <v>0</v>
      </c>
      <c r="G88" t="b">
        <f t="shared" ca="1" si="10"/>
        <v>0</v>
      </c>
      <c r="H88" t="b">
        <f t="shared" ca="1" si="11"/>
        <v>0</v>
      </c>
      <c r="I88" t="b">
        <f t="shared" ca="1" si="12"/>
        <v>0</v>
      </c>
      <c r="J88" t="b">
        <f t="shared" ca="1" si="13"/>
        <v>0</v>
      </c>
      <c r="K88" t="b">
        <f t="shared" ca="1" si="14"/>
        <v>0</v>
      </c>
      <c r="L88" t="b">
        <f t="shared" ca="1" si="15"/>
        <v>0</v>
      </c>
      <c r="M88" t="b">
        <f t="shared" ca="1" si="16"/>
        <v>1</v>
      </c>
      <c r="N88" s="448"/>
      <c r="O88" s="464"/>
      <c r="R88" s="448"/>
      <c r="S88" s="464"/>
      <c r="V88" s="448"/>
      <c r="W88" s="464"/>
      <c r="Z88" s="448"/>
      <c r="AA88" s="464"/>
      <c r="AD88" s="448"/>
      <c r="AE88" s="464"/>
      <c r="AH88" s="448"/>
      <c r="AI88" s="464"/>
      <c r="AL88" s="448"/>
      <c r="AP88" s="448"/>
    </row>
    <row r="89" spans="1:42" ht="13">
      <c r="A89" s="462"/>
      <c r="B89" s="462"/>
      <c r="C89" t="str">
        <f ca="1">Filtered!I79</f>
        <v>Journal of Financial Economics</v>
      </c>
      <c r="D89" t="str">
        <f ca="1">Filtered!J79</f>
        <v>Business, Economics &amp; Management</v>
      </c>
      <c r="E89" t="str">
        <f ca="1">Filtered!AD79</f>
        <v>Unsure</v>
      </c>
      <c r="F89" t="b">
        <f t="shared" ca="1" si="9"/>
        <v>1</v>
      </c>
      <c r="G89" t="b">
        <f t="shared" ca="1" si="10"/>
        <v>0</v>
      </c>
      <c r="H89" t="b">
        <f t="shared" ca="1" si="11"/>
        <v>0</v>
      </c>
      <c r="I89" t="b">
        <f t="shared" ca="1" si="12"/>
        <v>0</v>
      </c>
      <c r="J89" t="b">
        <f t="shared" ca="1" si="13"/>
        <v>0</v>
      </c>
      <c r="K89" t="b">
        <f t="shared" ca="1" si="14"/>
        <v>0</v>
      </c>
      <c r="L89" t="b">
        <f t="shared" ca="1" si="15"/>
        <v>0</v>
      </c>
      <c r="M89" t="b">
        <f t="shared" ca="1" si="16"/>
        <v>0</v>
      </c>
      <c r="N89" s="448"/>
      <c r="O89" s="464"/>
      <c r="R89" s="448"/>
      <c r="S89" s="464"/>
      <c r="V89" s="448"/>
      <c r="W89" s="464"/>
      <c r="Z89" s="448"/>
      <c r="AA89" s="464"/>
      <c r="AD89" s="448"/>
      <c r="AE89" s="464"/>
      <c r="AH89" s="448"/>
      <c r="AI89" s="464"/>
      <c r="AL89" s="448"/>
      <c r="AP89" s="448"/>
    </row>
    <row r="90" spans="1:42" ht="13">
      <c r="A90" s="462"/>
      <c r="B90" s="462"/>
      <c r="C90" t="str">
        <f ca="1">Filtered!I80</f>
        <v>Journal of Geophysical Research</v>
      </c>
      <c r="D90" t="str">
        <f ca="1">Filtered!J80</f>
        <v>Physics &amp; Mathematics</v>
      </c>
      <c r="E90" t="str">
        <f ca="1">Filtered!AD80</f>
        <v>Unsure</v>
      </c>
      <c r="F90" t="b">
        <f t="shared" ca="1" si="9"/>
        <v>0</v>
      </c>
      <c r="G90" t="b">
        <f t="shared" ca="1" si="10"/>
        <v>0</v>
      </c>
      <c r="H90" t="b">
        <f t="shared" ca="1" si="11"/>
        <v>0</v>
      </c>
      <c r="I90" t="b">
        <f t="shared" ca="1" si="12"/>
        <v>0</v>
      </c>
      <c r="J90" t="b">
        <f t="shared" ca="1" si="13"/>
        <v>0</v>
      </c>
      <c r="K90" t="b">
        <f t="shared" ca="1" si="14"/>
        <v>0</v>
      </c>
      <c r="L90" t="b">
        <f t="shared" ca="1" si="15"/>
        <v>1</v>
      </c>
      <c r="M90" t="b">
        <f t="shared" ca="1" si="16"/>
        <v>0</v>
      </c>
      <c r="N90" s="448"/>
      <c r="O90" s="464"/>
      <c r="R90" s="448"/>
      <c r="S90" s="464"/>
      <c r="V90" s="448"/>
      <c r="W90" s="464"/>
      <c r="Z90" s="448"/>
      <c r="AA90" s="464"/>
      <c r="AD90" s="448"/>
      <c r="AE90" s="464"/>
      <c r="AH90" s="448"/>
      <c r="AI90" s="464"/>
      <c r="AL90" s="448"/>
      <c r="AP90" s="448"/>
    </row>
    <row r="91" spans="1:42" ht="13">
      <c r="A91" s="462"/>
      <c r="B91" s="462"/>
      <c r="C91" t="str">
        <f ca="1">Filtered!I81</f>
        <v>Journal of Hepatology</v>
      </c>
      <c r="D91" t="str">
        <f ca="1">Filtered!J81</f>
        <v/>
      </c>
      <c r="E91" t="str">
        <f ca="1">Filtered!AD81</f>
        <v>Unsure</v>
      </c>
      <c r="F91" t="b">
        <f t="shared" ca="1" si="9"/>
        <v>0</v>
      </c>
      <c r="G91" t="b">
        <f t="shared" ca="1" si="10"/>
        <v>0</v>
      </c>
      <c r="H91" t="b">
        <f t="shared" ca="1" si="11"/>
        <v>0</v>
      </c>
      <c r="I91" t="b">
        <f t="shared" ca="1" si="12"/>
        <v>0</v>
      </c>
      <c r="J91" t="b">
        <f t="shared" ca="1" si="13"/>
        <v>0</v>
      </c>
      <c r="K91" t="b">
        <f t="shared" ca="1" si="14"/>
        <v>0</v>
      </c>
      <c r="L91" t="b">
        <f t="shared" ca="1" si="15"/>
        <v>0</v>
      </c>
      <c r="M91" t="b">
        <f t="shared" ca="1" si="16"/>
        <v>0</v>
      </c>
      <c r="N91" s="448"/>
      <c r="O91" s="464"/>
      <c r="R91" s="448"/>
      <c r="S91" s="464"/>
      <c r="V91" s="448"/>
      <c r="W91" s="464"/>
      <c r="Z91" s="448"/>
      <c r="AA91" s="464"/>
      <c r="AD91" s="448"/>
      <c r="AE91" s="464"/>
      <c r="AH91" s="448"/>
      <c r="AI91" s="464"/>
      <c r="AL91" s="448"/>
      <c r="AP91" s="448"/>
    </row>
    <row r="92" spans="1:42" ht="13">
      <c r="A92" s="462"/>
      <c r="B92" s="462"/>
      <c r="C92" t="str">
        <f ca="1">Filtered!I82</f>
        <v>Journal of High Energy Physics</v>
      </c>
      <c r="D92" t="str">
        <f ca="1">Filtered!J82</f>
        <v>Physics &amp; Mathematics</v>
      </c>
      <c r="E92" t="str">
        <f ca="1">Filtered!AD82</f>
        <v>Unsure</v>
      </c>
      <c r="F92" t="b">
        <f t="shared" ca="1" si="9"/>
        <v>0</v>
      </c>
      <c r="G92" t="b">
        <f t="shared" ca="1" si="10"/>
        <v>0</v>
      </c>
      <c r="H92" t="b">
        <f t="shared" ca="1" si="11"/>
        <v>0</v>
      </c>
      <c r="I92" t="b">
        <f t="shared" ca="1" si="12"/>
        <v>0</v>
      </c>
      <c r="J92" t="b">
        <f t="shared" ca="1" si="13"/>
        <v>0</v>
      </c>
      <c r="K92" t="b">
        <f t="shared" ca="1" si="14"/>
        <v>0</v>
      </c>
      <c r="L92" t="b">
        <f t="shared" ca="1" si="15"/>
        <v>1</v>
      </c>
      <c r="M92" t="b">
        <f t="shared" ca="1" si="16"/>
        <v>0</v>
      </c>
      <c r="N92" s="448"/>
      <c r="O92" s="464"/>
      <c r="R92" s="448"/>
      <c r="S92" s="464"/>
      <c r="V92" s="448"/>
      <c r="W92" s="464"/>
      <c r="Z92" s="448"/>
      <c r="AA92" s="464"/>
      <c r="AD92" s="448"/>
      <c r="AE92" s="464"/>
      <c r="AH92" s="448"/>
      <c r="AI92" s="464"/>
      <c r="AL92" s="448"/>
      <c r="AP92" s="448"/>
    </row>
    <row r="93" spans="1:42" ht="13">
      <c r="A93" s="462"/>
      <c r="B93" s="462"/>
      <c r="C93" t="str">
        <f ca="1">Filtered!I83</f>
        <v>Journal of Management</v>
      </c>
      <c r="D93" t="str">
        <f ca="1">Filtered!J83</f>
        <v>Business, Economics &amp; Management</v>
      </c>
      <c r="E93" t="str">
        <f ca="1">Filtered!AD83</f>
        <v>Yes</v>
      </c>
      <c r="F93" t="b">
        <f t="shared" ca="1" si="9"/>
        <v>1</v>
      </c>
      <c r="G93" t="b">
        <f t="shared" ca="1" si="10"/>
        <v>0</v>
      </c>
      <c r="H93" t="b">
        <f t="shared" ca="1" si="11"/>
        <v>0</v>
      </c>
      <c r="I93" t="b">
        <f t="shared" ca="1" si="12"/>
        <v>0</v>
      </c>
      <c r="J93" t="b">
        <f t="shared" ca="1" si="13"/>
        <v>0</v>
      </c>
      <c r="K93" t="b">
        <f t="shared" ca="1" si="14"/>
        <v>0</v>
      </c>
      <c r="L93" t="b">
        <f t="shared" ca="1" si="15"/>
        <v>0</v>
      </c>
      <c r="M93" t="b">
        <f t="shared" ca="1" si="16"/>
        <v>0</v>
      </c>
      <c r="N93" s="448"/>
      <c r="O93" s="464"/>
      <c r="R93" s="448"/>
      <c r="S93" s="464"/>
      <c r="V93" s="448"/>
      <c r="W93" s="464"/>
      <c r="Z93" s="448"/>
      <c r="AA93" s="464"/>
      <c r="AD93" s="448"/>
      <c r="AE93" s="464"/>
      <c r="AH93" s="448"/>
      <c r="AI93" s="464"/>
      <c r="AL93" s="448"/>
      <c r="AP93" s="448"/>
    </row>
    <row r="94" spans="1:42" ht="13">
      <c r="A94" s="462"/>
      <c r="B94" s="462"/>
      <c r="C94" t="str">
        <f ca="1">Filtered!I84</f>
        <v>Journal of Materials Chemistry. A</v>
      </c>
      <c r="D94" t="str">
        <f ca="1">Filtered!J84</f>
        <v>Chemical &amp; Materials Sciences, Engineering &amp; Computer Science</v>
      </c>
      <c r="E94" t="str">
        <f ca="1">Filtered!AD84</f>
        <v>Unsure</v>
      </c>
      <c r="F94" t="b">
        <f t="shared" ca="1" si="9"/>
        <v>0</v>
      </c>
      <c r="G94" t="b">
        <f t="shared" ca="1" si="10"/>
        <v>1</v>
      </c>
      <c r="H94" t="b">
        <f t="shared" ca="1" si="11"/>
        <v>1</v>
      </c>
      <c r="I94" t="b">
        <f t="shared" ca="1" si="12"/>
        <v>0</v>
      </c>
      <c r="J94" t="b">
        <f t="shared" ca="1" si="13"/>
        <v>0</v>
      </c>
      <c r="K94" t="b">
        <f t="shared" ca="1" si="14"/>
        <v>0</v>
      </c>
      <c r="L94" t="b">
        <f t="shared" ca="1" si="15"/>
        <v>0</v>
      </c>
      <c r="M94" t="b">
        <f t="shared" ca="1" si="16"/>
        <v>0</v>
      </c>
      <c r="N94" s="448"/>
      <c r="O94" s="464"/>
      <c r="R94" s="448"/>
      <c r="S94" s="464"/>
      <c r="V94" s="448"/>
      <c r="W94" s="464"/>
      <c r="Z94" s="448"/>
      <c r="AA94" s="464"/>
      <c r="AD94" s="448"/>
      <c r="AE94" s="464"/>
      <c r="AH94" s="448"/>
      <c r="AI94" s="464"/>
      <c r="AL94" s="448"/>
      <c r="AP94" s="448"/>
    </row>
    <row r="95" spans="1:42" ht="13">
      <c r="A95" s="462"/>
      <c r="B95" s="462"/>
      <c r="C95" t="str">
        <f ca="1">Filtered!I85</f>
        <v>Journal of Pragmatics</v>
      </c>
      <c r="D95" t="str">
        <f ca="1">Filtered!J85</f>
        <v>Humanities, Literature &amp; Arts</v>
      </c>
      <c r="E95" t="str">
        <f ca="1">Filtered!AD85</f>
        <v>Unsure</v>
      </c>
      <c r="F95" t="b">
        <f t="shared" ca="1" si="9"/>
        <v>0</v>
      </c>
      <c r="G95" t="b">
        <f t="shared" ca="1" si="10"/>
        <v>0</v>
      </c>
      <c r="H95" t="b">
        <f t="shared" ca="1" si="11"/>
        <v>0</v>
      </c>
      <c r="I95" t="b">
        <f t="shared" ca="1" si="12"/>
        <v>0</v>
      </c>
      <c r="J95" t="b">
        <f t="shared" ca="1" si="13"/>
        <v>1</v>
      </c>
      <c r="K95" t="b">
        <f t="shared" ca="1" si="14"/>
        <v>0</v>
      </c>
      <c r="L95" t="b">
        <f t="shared" ca="1" si="15"/>
        <v>0</v>
      </c>
      <c r="M95" t="b">
        <f t="shared" ca="1" si="16"/>
        <v>0</v>
      </c>
      <c r="N95" s="448"/>
      <c r="O95" s="464"/>
      <c r="R95" s="448"/>
      <c r="S95" s="464"/>
      <c r="V95" s="448"/>
      <c r="W95" s="464"/>
      <c r="Z95" s="448"/>
      <c r="AA95" s="464"/>
      <c r="AD95" s="448"/>
      <c r="AE95" s="464"/>
      <c r="AH95" s="448"/>
      <c r="AI95" s="464"/>
      <c r="AL95" s="448"/>
      <c r="AP95" s="448"/>
    </row>
    <row r="96" spans="1:42" ht="13">
      <c r="A96" s="462"/>
      <c r="B96" s="462"/>
      <c r="C96" t="str">
        <f ca="1">Filtered!I86</f>
        <v>Journal of the American Chemical Society</v>
      </c>
      <c r="D96" t="str">
        <f ca="1">Filtered!J86</f>
        <v>Chemical &amp; Materials Sciences</v>
      </c>
      <c r="E96" t="str">
        <f ca="1">Filtered!AD86</f>
        <v>Unsure</v>
      </c>
      <c r="F96" t="b">
        <f t="shared" ca="1" si="9"/>
        <v>0</v>
      </c>
      <c r="G96" t="b">
        <f t="shared" ca="1" si="10"/>
        <v>1</v>
      </c>
      <c r="H96" t="b">
        <f t="shared" ca="1" si="11"/>
        <v>0</v>
      </c>
      <c r="I96" t="b">
        <f t="shared" ca="1" si="12"/>
        <v>0</v>
      </c>
      <c r="J96" t="b">
        <f t="shared" ca="1" si="13"/>
        <v>0</v>
      </c>
      <c r="K96" t="b">
        <f t="shared" ca="1" si="14"/>
        <v>0</v>
      </c>
      <c r="L96" t="b">
        <f t="shared" ca="1" si="15"/>
        <v>0</v>
      </c>
      <c r="M96" t="b">
        <f t="shared" ca="1" si="16"/>
        <v>0</v>
      </c>
      <c r="N96" s="448"/>
      <c r="O96" s="464"/>
      <c r="R96" s="448"/>
      <c r="S96" s="464"/>
      <c r="V96" s="448"/>
      <c r="W96" s="464"/>
      <c r="Z96" s="448"/>
      <c r="AA96" s="464"/>
      <c r="AD96" s="448"/>
      <c r="AE96" s="464"/>
      <c r="AH96" s="448"/>
      <c r="AI96" s="464"/>
      <c r="AL96" s="448"/>
      <c r="AP96" s="448"/>
    </row>
    <row r="97" spans="1:42" ht="13">
      <c r="A97" s="462"/>
      <c r="B97" s="462"/>
      <c r="C97" t="str">
        <f ca="1">Filtered!I87</f>
        <v>Journal of the American College of Cardiology</v>
      </c>
      <c r="D97" t="str">
        <f ca="1">Filtered!J87</f>
        <v>Health &amp; Medical Sciences</v>
      </c>
      <c r="E97" t="str">
        <f ca="1">Filtered!AD87</f>
        <v>Unsure</v>
      </c>
      <c r="F97" t="b">
        <f t="shared" ca="1" si="9"/>
        <v>0</v>
      </c>
      <c r="G97" t="b">
        <f t="shared" ca="1" si="10"/>
        <v>0</v>
      </c>
      <c r="H97" t="b">
        <f t="shared" ca="1" si="11"/>
        <v>0</v>
      </c>
      <c r="I97" t="b">
        <f t="shared" ca="1" si="12"/>
        <v>1</v>
      </c>
      <c r="J97" t="b">
        <f t="shared" ca="1" si="13"/>
        <v>0</v>
      </c>
      <c r="K97" t="b">
        <f t="shared" ca="1" si="14"/>
        <v>0</v>
      </c>
      <c r="L97" t="b">
        <f t="shared" ca="1" si="15"/>
        <v>0</v>
      </c>
      <c r="M97" t="b">
        <f t="shared" ca="1" si="16"/>
        <v>0</v>
      </c>
      <c r="N97" s="448"/>
      <c r="O97" s="464"/>
      <c r="R97" s="448"/>
      <c r="S97" s="464"/>
      <c r="V97" s="448"/>
      <c r="W97" s="464"/>
      <c r="Z97" s="448"/>
      <c r="AA97" s="464"/>
      <c r="AD97" s="448"/>
      <c r="AE97" s="464"/>
      <c r="AH97" s="448"/>
      <c r="AI97" s="464"/>
      <c r="AL97" s="448"/>
      <c r="AP97" s="448"/>
    </row>
    <row r="98" spans="1:42" ht="13">
      <c r="A98" s="462"/>
      <c r="B98" s="462"/>
      <c r="C98" t="str">
        <f ca="1">Filtered!I88</f>
        <v>Journal of Youth and Adolescence</v>
      </c>
      <c r="D98" t="str">
        <f ca="1">Filtered!J88</f>
        <v>Social Sciences</v>
      </c>
      <c r="E98" t="str">
        <f ca="1">Filtered!AD88</f>
        <v>Unsure</v>
      </c>
      <c r="F98" t="b">
        <f t="shared" ca="1" si="9"/>
        <v>0</v>
      </c>
      <c r="G98" t="b">
        <f t="shared" ca="1" si="10"/>
        <v>0</v>
      </c>
      <c r="H98" t="b">
        <f t="shared" ca="1" si="11"/>
        <v>0</v>
      </c>
      <c r="I98" t="b">
        <f t="shared" ca="1" si="12"/>
        <v>0</v>
      </c>
      <c r="J98" t="b">
        <f t="shared" ca="1" si="13"/>
        <v>0</v>
      </c>
      <c r="K98" t="b">
        <f t="shared" ca="1" si="14"/>
        <v>0</v>
      </c>
      <c r="L98" t="b">
        <f t="shared" ca="1" si="15"/>
        <v>0</v>
      </c>
      <c r="M98" t="b">
        <f t="shared" ca="1" si="16"/>
        <v>1</v>
      </c>
      <c r="N98" s="448"/>
      <c r="O98" s="464"/>
      <c r="R98" s="448"/>
      <c r="S98" s="464"/>
      <c r="V98" s="448"/>
      <c r="W98" s="464"/>
      <c r="Z98" s="448"/>
      <c r="AA98" s="464"/>
      <c r="AD98" s="448"/>
      <c r="AE98" s="464"/>
      <c r="AH98" s="448"/>
      <c r="AI98" s="464"/>
      <c r="AL98" s="448"/>
      <c r="AP98" s="448"/>
    </row>
    <row r="99" spans="1:42" ht="13">
      <c r="A99" s="462"/>
      <c r="B99" s="462"/>
      <c r="C99" t="str">
        <f ca="1">Filtered!I89</f>
        <v>Journalism</v>
      </c>
      <c r="D99" t="str">
        <f ca="1">Filtered!J89</f>
        <v>Humanities, Literature &amp; Arts</v>
      </c>
      <c r="E99" t="str">
        <f ca="1">Filtered!AD89</f>
        <v>Unsure</v>
      </c>
      <c r="F99" t="b">
        <f t="shared" ca="1" si="9"/>
        <v>0</v>
      </c>
      <c r="G99" t="b">
        <f t="shared" ca="1" si="10"/>
        <v>0</v>
      </c>
      <c r="H99" t="b">
        <f t="shared" ca="1" si="11"/>
        <v>0</v>
      </c>
      <c r="I99" t="b">
        <f t="shared" ca="1" si="12"/>
        <v>0</v>
      </c>
      <c r="J99" t="b">
        <f t="shared" ca="1" si="13"/>
        <v>1</v>
      </c>
      <c r="K99" t="b">
        <f t="shared" ca="1" si="14"/>
        <v>0</v>
      </c>
      <c r="L99" t="b">
        <f t="shared" ca="1" si="15"/>
        <v>0</v>
      </c>
      <c r="M99" t="b">
        <f t="shared" ca="1" si="16"/>
        <v>0</v>
      </c>
      <c r="N99" s="448"/>
      <c r="O99" s="464"/>
      <c r="R99" s="448"/>
      <c r="S99" s="464"/>
      <c r="V99" s="448"/>
      <c r="W99" s="464"/>
      <c r="Z99" s="448"/>
      <c r="AA99" s="464"/>
      <c r="AD99" s="448"/>
      <c r="AE99" s="464"/>
      <c r="AH99" s="448"/>
      <c r="AI99" s="464"/>
      <c r="AL99" s="448"/>
      <c r="AP99" s="448"/>
    </row>
    <row r="100" spans="1:42" ht="13">
      <c r="A100" s="462"/>
      <c r="B100" s="462"/>
      <c r="C100" t="str">
        <f ca="1">Filtered!I90</f>
        <v>Journalism Practice</v>
      </c>
      <c r="D100" t="str">
        <f ca="1">Filtered!J90</f>
        <v>Humanities, Literature &amp; Arts</v>
      </c>
      <c r="E100" t="str">
        <f ca="1">Filtered!AD90</f>
        <v>Unsure</v>
      </c>
      <c r="F100" t="b">
        <f t="shared" ca="1" si="9"/>
        <v>0</v>
      </c>
      <c r="G100" t="b">
        <f t="shared" ca="1" si="10"/>
        <v>0</v>
      </c>
      <c r="H100" t="b">
        <f t="shared" ca="1" si="11"/>
        <v>0</v>
      </c>
      <c r="I100" t="b">
        <f t="shared" ca="1" si="12"/>
        <v>0</v>
      </c>
      <c r="J100" t="b">
        <f t="shared" ca="1" si="13"/>
        <v>1</v>
      </c>
      <c r="K100" t="b">
        <f t="shared" ca="1" si="14"/>
        <v>0</v>
      </c>
      <c r="L100" t="b">
        <f t="shared" ca="1" si="15"/>
        <v>0</v>
      </c>
      <c r="M100" t="b">
        <f t="shared" ca="1" si="16"/>
        <v>0</v>
      </c>
      <c r="N100" s="448"/>
      <c r="O100" s="464"/>
      <c r="R100" s="448"/>
      <c r="S100" s="464"/>
      <c r="V100" s="448"/>
      <c r="W100" s="464"/>
      <c r="Z100" s="448"/>
      <c r="AA100" s="464"/>
      <c r="AD100" s="448"/>
      <c r="AE100" s="464"/>
      <c r="AH100" s="448"/>
      <c r="AI100" s="464"/>
      <c r="AL100" s="448"/>
      <c r="AP100" s="448"/>
    </row>
    <row r="101" spans="1:42" ht="13">
      <c r="A101" s="462"/>
      <c r="B101" s="462"/>
      <c r="C101" t="str">
        <f ca="1">Filtered!I91</f>
        <v>Journalism Studies</v>
      </c>
      <c r="D101" t="str">
        <f ca="1">Filtered!J91</f>
        <v>Humanities, Literature &amp; Arts</v>
      </c>
      <c r="E101" t="str">
        <f ca="1">Filtered!AD91</f>
        <v>Unsure</v>
      </c>
      <c r="F101" t="b">
        <f t="shared" ca="1" si="9"/>
        <v>0</v>
      </c>
      <c r="G101" t="b">
        <f t="shared" ca="1" si="10"/>
        <v>0</v>
      </c>
      <c r="H101" t="b">
        <f t="shared" ca="1" si="11"/>
        <v>0</v>
      </c>
      <c r="I101" t="b">
        <f t="shared" ca="1" si="12"/>
        <v>0</v>
      </c>
      <c r="J101" t="b">
        <f t="shared" ca="1" si="13"/>
        <v>1</v>
      </c>
      <c r="K101" t="b">
        <f t="shared" ca="1" si="14"/>
        <v>0</v>
      </c>
      <c r="L101" t="b">
        <f t="shared" ca="1" si="15"/>
        <v>0</v>
      </c>
      <c r="M101" t="b">
        <f t="shared" ca="1" si="16"/>
        <v>0</v>
      </c>
      <c r="N101" s="448"/>
      <c r="O101" s="464"/>
      <c r="R101" s="448"/>
      <c r="S101" s="464"/>
      <c r="V101" s="448"/>
      <c r="W101" s="464"/>
      <c r="Z101" s="448"/>
      <c r="AA101" s="464"/>
      <c r="AD101" s="448"/>
      <c r="AE101" s="464"/>
      <c r="AH101" s="448"/>
      <c r="AI101" s="464"/>
      <c r="AL101" s="448"/>
      <c r="AP101" s="448"/>
    </row>
    <row r="102" spans="1:42" ht="13">
      <c r="A102" s="462"/>
      <c r="B102" s="462"/>
      <c r="C102" t="str">
        <f ca="1">Filtered!I92</f>
        <v>Land Use Policy</v>
      </c>
      <c r="D102" t="str">
        <f ca="1">Filtered!J92</f>
        <v>Social Sciences</v>
      </c>
      <c r="E102" t="str">
        <f ca="1">Filtered!AD92</f>
        <v>Unsure</v>
      </c>
      <c r="F102" t="b">
        <f t="shared" ca="1" si="9"/>
        <v>0</v>
      </c>
      <c r="G102" t="b">
        <f t="shared" ca="1" si="10"/>
        <v>0</v>
      </c>
      <c r="H102" t="b">
        <f t="shared" ca="1" si="11"/>
        <v>0</v>
      </c>
      <c r="I102" t="b">
        <f t="shared" ca="1" si="12"/>
        <v>0</v>
      </c>
      <c r="J102" t="b">
        <f t="shared" ca="1" si="13"/>
        <v>0</v>
      </c>
      <c r="K102" t="b">
        <f t="shared" ca="1" si="14"/>
        <v>0</v>
      </c>
      <c r="L102" t="b">
        <f t="shared" ca="1" si="15"/>
        <v>0</v>
      </c>
      <c r="M102" t="b">
        <f t="shared" ca="1" si="16"/>
        <v>1</v>
      </c>
      <c r="N102" s="448"/>
      <c r="O102" s="464"/>
      <c r="R102" s="448"/>
      <c r="S102" s="464"/>
      <c r="V102" s="448"/>
      <c r="W102" s="464"/>
      <c r="Z102" s="448"/>
      <c r="AA102" s="464"/>
      <c r="AD102" s="448"/>
      <c r="AE102" s="464"/>
      <c r="AH102" s="448"/>
      <c r="AI102" s="464"/>
      <c r="AL102" s="448"/>
      <c r="AP102" s="448"/>
    </row>
    <row r="103" spans="1:42" ht="13">
      <c r="A103" s="462"/>
      <c r="B103" s="462"/>
      <c r="C103" t="str">
        <f ca="1">Filtered!I93</f>
        <v>Language Learning</v>
      </c>
      <c r="D103" t="str">
        <f ca="1">Filtered!J93</f>
        <v>Humanities, Literature &amp; Arts</v>
      </c>
      <c r="E103" t="str">
        <f ca="1">Filtered!AD93</f>
        <v>Unsure</v>
      </c>
      <c r="F103" t="b">
        <f t="shared" ca="1" si="9"/>
        <v>0</v>
      </c>
      <c r="G103" t="b">
        <f t="shared" ca="1" si="10"/>
        <v>0</v>
      </c>
      <c r="H103" t="b">
        <f t="shared" ca="1" si="11"/>
        <v>0</v>
      </c>
      <c r="I103" t="b">
        <f t="shared" ca="1" si="12"/>
        <v>0</v>
      </c>
      <c r="J103" t="b">
        <f t="shared" ca="1" si="13"/>
        <v>1</v>
      </c>
      <c r="K103" t="b">
        <f t="shared" ca="1" si="14"/>
        <v>0</v>
      </c>
      <c r="L103" t="b">
        <f t="shared" ca="1" si="15"/>
        <v>0</v>
      </c>
      <c r="M103" t="b">
        <f t="shared" ca="1" si="16"/>
        <v>0</v>
      </c>
      <c r="N103" s="448"/>
      <c r="O103" s="464"/>
      <c r="R103" s="448"/>
      <c r="S103" s="464"/>
      <c r="V103" s="448"/>
      <c r="W103" s="464"/>
      <c r="Z103" s="448"/>
      <c r="AA103" s="464"/>
      <c r="AD103" s="448"/>
      <c r="AE103" s="464"/>
      <c r="AH103" s="448"/>
      <c r="AI103" s="464"/>
      <c r="AL103" s="448"/>
      <c r="AP103" s="448"/>
    </row>
    <row r="104" spans="1:42" ht="13">
      <c r="A104" s="462"/>
      <c r="B104" s="462"/>
      <c r="C104" t="str">
        <f ca="1">Filtered!I94</f>
        <v>Lingua</v>
      </c>
      <c r="D104" t="str">
        <f ca="1">Filtered!J94</f>
        <v>Humanities, Literature &amp; Arts</v>
      </c>
      <c r="E104" t="str">
        <f ca="1">Filtered!AD94</f>
        <v>Unsure</v>
      </c>
      <c r="F104" t="b">
        <f t="shared" ca="1" si="9"/>
        <v>0</v>
      </c>
      <c r="G104" t="b">
        <f t="shared" ca="1" si="10"/>
        <v>0</v>
      </c>
      <c r="H104" t="b">
        <f t="shared" ca="1" si="11"/>
        <v>0</v>
      </c>
      <c r="I104" t="b">
        <f t="shared" ca="1" si="12"/>
        <v>0</v>
      </c>
      <c r="J104" t="b">
        <f t="shared" ca="1" si="13"/>
        <v>1</v>
      </c>
      <c r="K104" t="b">
        <f t="shared" ca="1" si="14"/>
        <v>0</v>
      </c>
      <c r="L104" t="b">
        <f t="shared" ca="1" si="15"/>
        <v>0</v>
      </c>
      <c r="M104" t="b">
        <f t="shared" ca="1" si="16"/>
        <v>0</v>
      </c>
      <c r="N104" s="448"/>
      <c r="O104" s="464"/>
      <c r="R104" s="448"/>
      <c r="S104" s="464"/>
      <c r="V104" s="448"/>
      <c r="W104" s="464"/>
      <c r="Z104" s="448"/>
      <c r="AA104" s="464"/>
      <c r="AD104" s="448"/>
      <c r="AE104" s="464"/>
      <c r="AH104" s="448"/>
      <c r="AI104" s="464"/>
      <c r="AL104" s="448"/>
      <c r="AP104" s="448"/>
    </row>
    <row r="105" spans="1:42" ht="13">
      <c r="A105" s="462"/>
      <c r="B105" s="462"/>
      <c r="C105" t="str">
        <f ca="1">Filtered!I95</f>
        <v>Management Information Systems Quarterly</v>
      </c>
      <c r="D105" t="str">
        <f ca="1">Filtered!J95</f>
        <v>Business, Economics &amp; Management</v>
      </c>
      <c r="E105" t="str">
        <f ca="1">Filtered!AD95</f>
        <v>Unsure</v>
      </c>
      <c r="F105" t="b">
        <f t="shared" ca="1" si="9"/>
        <v>1</v>
      </c>
      <c r="G105" t="b">
        <f t="shared" ca="1" si="10"/>
        <v>0</v>
      </c>
      <c r="H105" t="b">
        <f t="shared" ca="1" si="11"/>
        <v>0</v>
      </c>
      <c r="I105" t="b">
        <f t="shared" ca="1" si="12"/>
        <v>0</v>
      </c>
      <c r="J105" t="b">
        <f t="shared" ca="1" si="13"/>
        <v>0</v>
      </c>
      <c r="K105" t="b">
        <f t="shared" ca="1" si="14"/>
        <v>0</v>
      </c>
      <c r="L105" t="b">
        <f t="shared" ca="1" si="15"/>
        <v>0</v>
      </c>
      <c r="M105" t="b">
        <f t="shared" ca="1" si="16"/>
        <v>0</v>
      </c>
      <c r="N105" s="448"/>
      <c r="O105" s="464"/>
      <c r="R105" s="448"/>
      <c r="S105" s="464"/>
      <c r="V105" s="448"/>
      <c r="W105" s="464"/>
      <c r="Z105" s="448"/>
      <c r="AA105" s="464"/>
      <c r="AD105" s="448"/>
      <c r="AE105" s="464"/>
      <c r="AH105" s="448"/>
      <c r="AI105" s="464"/>
      <c r="AL105" s="448"/>
      <c r="AP105" s="448"/>
    </row>
    <row r="106" spans="1:42" ht="13">
      <c r="A106" s="462"/>
      <c r="B106" s="462"/>
      <c r="C106" t="str">
        <f ca="1">Filtered!I96</f>
        <v>Management Science</v>
      </c>
      <c r="D106" t="str">
        <f ca="1">Filtered!J96</f>
        <v>Business, Economics &amp; Management</v>
      </c>
      <c r="E106" t="str">
        <f ca="1">Filtered!AD96</f>
        <v>Unsure</v>
      </c>
      <c r="F106" t="b">
        <f t="shared" ca="1" si="9"/>
        <v>1</v>
      </c>
      <c r="G106" t="b">
        <f t="shared" ca="1" si="10"/>
        <v>0</v>
      </c>
      <c r="H106" t="b">
        <f t="shared" ca="1" si="11"/>
        <v>0</v>
      </c>
      <c r="I106" t="b">
        <f t="shared" ca="1" si="12"/>
        <v>0</v>
      </c>
      <c r="J106" t="b">
        <f t="shared" ca="1" si="13"/>
        <v>0</v>
      </c>
      <c r="K106" t="b">
        <f t="shared" ca="1" si="14"/>
        <v>0</v>
      </c>
      <c r="L106" t="b">
        <f t="shared" ca="1" si="15"/>
        <v>0</v>
      </c>
      <c r="M106" t="b">
        <f t="shared" ca="1" si="16"/>
        <v>0</v>
      </c>
      <c r="N106" s="448"/>
      <c r="O106" s="464"/>
      <c r="R106" s="448"/>
      <c r="S106" s="464"/>
      <c r="V106" s="448"/>
      <c r="W106" s="464"/>
      <c r="Z106" s="448"/>
      <c r="AA106" s="464"/>
      <c r="AD106" s="448"/>
      <c r="AE106" s="464"/>
      <c r="AH106" s="448"/>
      <c r="AI106" s="464"/>
      <c r="AL106" s="448"/>
      <c r="AP106" s="448"/>
    </row>
    <row r="107" spans="1:42" ht="13">
      <c r="A107" s="462"/>
      <c r="B107" s="462"/>
      <c r="C107" t="str">
        <f ca="1">Filtered!I97</f>
        <v>Media, Culture &amp; Society</v>
      </c>
      <c r="D107" t="str">
        <f ca="1">Filtered!J97</f>
        <v>Humanities, Literature &amp; Arts</v>
      </c>
      <c r="E107" t="str">
        <f ca="1">Filtered!AD97</f>
        <v>Unsure</v>
      </c>
      <c r="F107" t="b">
        <f t="shared" ca="1" si="9"/>
        <v>0</v>
      </c>
      <c r="G107" t="b">
        <f t="shared" ca="1" si="10"/>
        <v>0</v>
      </c>
      <c r="H107" t="b">
        <f t="shared" ca="1" si="11"/>
        <v>0</v>
      </c>
      <c r="I107" t="b">
        <f t="shared" ca="1" si="12"/>
        <v>0</v>
      </c>
      <c r="J107" t="b">
        <f t="shared" ca="1" si="13"/>
        <v>1</v>
      </c>
      <c r="K107" t="b">
        <f t="shared" ca="1" si="14"/>
        <v>0</v>
      </c>
      <c r="L107" t="b">
        <f t="shared" ca="1" si="15"/>
        <v>0</v>
      </c>
      <c r="M107" t="b">
        <f t="shared" ca="1" si="16"/>
        <v>0</v>
      </c>
      <c r="N107" s="448"/>
      <c r="O107" s="464"/>
      <c r="R107" s="448"/>
      <c r="S107" s="464"/>
      <c r="V107" s="448"/>
      <c r="W107" s="464"/>
      <c r="Z107" s="448"/>
      <c r="AA107" s="464"/>
      <c r="AD107" s="448"/>
      <c r="AE107" s="464"/>
      <c r="AH107" s="448"/>
      <c r="AI107" s="464"/>
      <c r="AL107" s="448"/>
      <c r="AP107" s="448"/>
    </row>
    <row r="108" spans="1:42" ht="13">
      <c r="A108" s="462"/>
      <c r="B108" s="462"/>
      <c r="C108" t="str">
        <f ca="1">Filtered!I98</f>
        <v>Molecular Cell</v>
      </c>
      <c r="D108" t="str">
        <f ca="1">Filtered!J98</f>
        <v>Life Sciences &amp; Earth Sciences</v>
      </c>
      <c r="E108" t="str">
        <f ca="1">Filtered!AD98</f>
        <v>Unsure</v>
      </c>
      <c r="F108" t="b">
        <f t="shared" ca="1" si="9"/>
        <v>0</v>
      </c>
      <c r="G108" t="b">
        <f t="shared" ca="1" si="10"/>
        <v>0</v>
      </c>
      <c r="H108" t="b">
        <f t="shared" ca="1" si="11"/>
        <v>0</v>
      </c>
      <c r="I108" t="b">
        <f t="shared" ca="1" si="12"/>
        <v>0</v>
      </c>
      <c r="J108" t="b">
        <f t="shared" ca="1" si="13"/>
        <v>0</v>
      </c>
      <c r="K108" t="b">
        <f t="shared" ca="1" si="14"/>
        <v>1</v>
      </c>
      <c r="L108" t="b">
        <f t="shared" ca="1" si="15"/>
        <v>0</v>
      </c>
      <c r="M108" t="b">
        <f t="shared" ca="1" si="16"/>
        <v>0</v>
      </c>
      <c r="N108" s="448"/>
      <c r="O108" s="464"/>
      <c r="R108" s="448"/>
      <c r="S108" s="464"/>
      <c r="V108" s="448"/>
      <c r="W108" s="464"/>
      <c r="Z108" s="448"/>
      <c r="AA108" s="464"/>
      <c r="AD108" s="448"/>
      <c r="AE108" s="464"/>
      <c r="AH108" s="448"/>
      <c r="AI108" s="464"/>
      <c r="AL108" s="448"/>
      <c r="AP108" s="448"/>
    </row>
    <row r="109" spans="1:42" ht="13">
      <c r="A109" s="462"/>
      <c r="B109" s="462"/>
      <c r="C109" t="str">
        <f ca="1">Filtered!I99</f>
        <v>Monthly Notices of the Royal Astronomical Society</v>
      </c>
      <c r="D109" t="str">
        <f ca="1">Filtered!J99</f>
        <v>Physics &amp; Mathematics</v>
      </c>
      <c r="E109" t="str">
        <f ca="1">Filtered!AD99</f>
        <v>Unsure</v>
      </c>
      <c r="F109" t="b">
        <f t="shared" ca="1" si="9"/>
        <v>0</v>
      </c>
      <c r="G109" t="b">
        <f t="shared" ca="1" si="10"/>
        <v>0</v>
      </c>
      <c r="H109" t="b">
        <f t="shared" ca="1" si="11"/>
        <v>0</v>
      </c>
      <c r="I109" t="b">
        <f t="shared" ca="1" si="12"/>
        <v>0</v>
      </c>
      <c r="J109" t="b">
        <f t="shared" ca="1" si="13"/>
        <v>0</v>
      </c>
      <c r="K109" t="b">
        <f t="shared" ca="1" si="14"/>
        <v>0</v>
      </c>
      <c r="L109" t="b">
        <f t="shared" ca="1" si="15"/>
        <v>1</v>
      </c>
      <c r="M109" t="b">
        <f t="shared" ca="1" si="16"/>
        <v>0</v>
      </c>
      <c r="N109" s="448"/>
      <c r="O109" s="464"/>
      <c r="R109" s="448"/>
      <c r="S109" s="464"/>
      <c r="V109" s="448"/>
      <c r="W109" s="464"/>
      <c r="Z109" s="448"/>
      <c r="AA109" s="464"/>
      <c r="AD109" s="448"/>
      <c r="AE109" s="464"/>
      <c r="AH109" s="448"/>
      <c r="AI109" s="464"/>
      <c r="AL109" s="448"/>
      <c r="AP109" s="448"/>
    </row>
    <row r="110" spans="1:42" ht="13">
      <c r="A110" s="462"/>
      <c r="B110" s="462"/>
      <c r="C110" t="str">
        <f ca="1">Filtered!I100</f>
        <v>Nano Letters</v>
      </c>
      <c r="D110" t="str">
        <f ca="1">Filtered!J100</f>
        <v>Chemical &amp; Materials Sciences,
Engineering &amp; Computer Science</v>
      </c>
      <c r="E110" t="str">
        <f ca="1">Filtered!AD100</f>
        <v>Yes</v>
      </c>
      <c r="F110" t="b">
        <f t="shared" ca="1" si="9"/>
        <v>0</v>
      </c>
      <c r="G110" t="b">
        <f t="shared" ca="1" si="10"/>
        <v>1</v>
      </c>
      <c r="H110" t="b">
        <f t="shared" ca="1" si="11"/>
        <v>1</v>
      </c>
      <c r="I110" t="b">
        <f t="shared" ca="1" si="12"/>
        <v>0</v>
      </c>
      <c r="J110" t="b">
        <f t="shared" ca="1" si="13"/>
        <v>0</v>
      </c>
      <c r="K110" t="b">
        <f t="shared" ca="1" si="14"/>
        <v>0</v>
      </c>
      <c r="L110" t="b">
        <f t="shared" ca="1" si="15"/>
        <v>0</v>
      </c>
      <c r="M110" t="b">
        <f t="shared" ca="1" si="16"/>
        <v>0</v>
      </c>
      <c r="N110" s="448"/>
      <c r="O110" s="464"/>
      <c r="R110" s="448"/>
      <c r="S110" s="464"/>
      <c r="V110" s="448"/>
      <c r="W110" s="464"/>
      <c r="Z110" s="448"/>
      <c r="AA110" s="464"/>
      <c r="AD110" s="448"/>
      <c r="AE110" s="464"/>
      <c r="AH110" s="448"/>
      <c r="AI110" s="464"/>
      <c r="AL110" s="448"/>
      <c r="AP110" s="448"/>
    </row>
    <row r="111" spans="1:42" ht="13">
      <c r="A111" s="462"/>
      <c r="B111" s="462"/>
      <c r="C111" t="str">
        <f ca="1">Filtered!I101</f>
        <v>Nanoscale</v>
      </c>
      <c r="D111" t="str">
        <f ca="1">Filtered!J101</f>
        <v>Chemical &amp; Materials Sciences,
Engineering &amp; Computer Science</v>
      </c>
      <c r="E111" t="str">
        <f ca="1">Filtered!AD101</f>
        <v>Yes</v>
      </c>
      <c r="F111" t="b">
        <f t="shared" ca="1" si="9"/>
        <v>0</v>
      </c>
      <c r="G111" t="b">
        <f t="shared" ca="1" si="10"/>
        <v>1</v>
      </c>
      <c r="H111" t="b">
        <f t="shared" ca="1" si="11"/>
        <v>1</v>
      </c>
      <c r="I111" t="b">
        <f t="shared" ca="1" si="12"/>
        <v>0</v>
      </c>
      <c r="J111" t="b">
        <f t="shared" ca="1" si="13"/>
        <v>0</v>
      </c>
      <c r="K111" t="b">
        <f t="shared" ca="1" si="14"/>
        <v>0</v>
      </c>
      <c r="L111" t="b">
        <f t="shared" ca="1" si="15"/>
        <v>0</v>
      </c>
      <c r="M111" t="b">
        <f t="shared" ca="1" si="16"/>
        <v>0</v>
      </c>
      <c r="N111" s="448"/>
      <c r="O111" s="464"/>
      <c r="R111" s="448"/>
      <c r="S111" s="464"/>
      <c r="V111" s="448"/>
      <c r="W111" s="464"/>
      <c r="Z111" s="448"/>
      <c r="AA111" s="464"/>
      <c r="AD111" s="448"/>
      <c r="AE111" s="464"/>
      <c r="AH111" s="448"/>
      <c r="AI111" s="464"/>
      <c r="AL111" s="448"/>
      <c r="AP111" s="448"/>
    </row>
    <row r="112" spans="1:42" ht="13">
      <c r="A112" s="462"/>
      <c r="B112" s="462"/>
      <c r="C112" t="str">
        <f ca="1">Filtered!I102</f>
        <v>Nature</v>
      </c>
      <c r="D112" t="str">
        <f ca="1">Filtered!J102</f>
        <v>Life Sciences &amp; Earth Sciences</v>
      </c>
      <c r="E112" t="str">
        <f ca="1">Filtered!AD102</f>
        <v>Unsure</v>
      </c>
      <c r="F112" t="b">
        <f t="shared" ca="1" si="9"/>
        <v>0</v>
      </c>
      <c r="G112" t="b">
        <f t="shared" ca="1" si="10"/>
        <v>0</v>
      </c>
      <c r="H112" t="b">
        <f t="shared" ca="1" si="11"/>
        <v>0</v>
      </c>
      <c r="I112" t="b">
        <f t="shared" ca="1" si="12"/>
        <v>0</v>
      </c>
      <c r="J112" t="b">
        <f t="shared" ca="1" si="13"/>
        <v>0</v>
      </c>
      <c r="K112" t="b">
        <f t="shared" ca="1" si="14"/>
        <v>1</v>
      </c>
      <c r="L112" t="b">
        <f t="shared" ca="1" si="15"/>
        <v>0</v>
      </c>
      <c r="M112" t="b">
        <f t="shared" ca="1" si="16"/>
        <v>0</v>
      </c>
      <c r="N112" s="448"/>
      <c r="O112" s="464"/>
      <c r="R112" s="448"/>
      <c r="S112" s="464"/>
      <c r="V112" s="448"/>
      <c r="W112" s="464"/>
      <c r="Z112" s="448"/>
      <c r="AA112" s="464"/>
      <c r="AD112" s="448"/>
      <c r="AE112" s="464"/>
      <c r="AH112" s="448"/>
      <c r="AI112" s="464"/>
      <c r="AL112" s="448"/>
      <c r="AP112" s="448"/>
    </row>
    <row r="113" spans="1:42" ht="13">
      <c r="A113" s="462"/>
      <c r="B113" s="462"/>
      <c r="C113" t="str">
        <f ca="1">Filtered!I103</f>
        <v>Nature Biotechnology</v>
      </c>
      <c r="D113" t="str">
        <f ca="1">Filtered!J103</f>
        <v>Life Sciences &amp; Earth Sciences</v>
      </c>
      <c r="E113" t="str">
        <f ca="1">Filtered!AD103</f>
        <v>Unsure</v>
      </c>
      <c r="F113" t="b">
        <f t="shared" ca="1" si="9"/>
        <v>0</v>
      </c>
      <c r="G113" t="b">
        <f t="shared" ca="1" si="10"/>
        <v>0</v>
      </c>
      <c r="H113" t="b">
        <f t="shared" ca="1" si="11"/>
        <v>0</v>
      </c>
      <c r="I113" t="b">
        <f t="shared" ca="1" si="12"/>
        <v>0</v>
      </c>
      <c r="J113" t="b">
        <f t="shared" ca="1" si="13"/>
        <v>0</v>
      </c>
      <c r="K113" t="b">
        <f t="shared" ca="1" si="14"/>
        <v>1</v>
      </c>
      <c r="L113" t="b">
        <f t="shared" ca="1" si="15"/>
        <v>0</v>
      </c>
      <c r="M113" t="b">
        <f t="shared" ca="1" si="16"/>
        <v>0</v>
      </c>
      <c r="N113" s="448"/>
      <c r="O113" s="464"/>
      <c r="R113" s="448"/>
      <c r="S113" s="464"/>
      <c r="V113" s="448"/>
      <c r="W113" s="464"/>
      <c r="Z113" s="448"/>
      <c r="AA113" s="464"/>
      <c r="AD113" s="448"/>
      <c r="AE113" s="464"/>
      <c r="AH113" s="448"/>
      <c r="AI113" s="464"/>
      <c r="AL113" s="448"/>
      <c r="AP113" s="448"/>
    </row>
    <row r="114" spans="1:42" ht="13">
      <c r="A114" s="462"/>
      <c r="B114" s="462"/>
      <c r="C114" t="str">
        <f ca="1">Filtered!I104</f>
        <v>Nature Cell Biology</v>
      </c>
      <c r="D114" t="str">
        <f ca="1">Filtered!J104</f>
        <v>Life Sciences &amp; Earth Sciences</v>
      </c>
      <c r="E114" t="str">
        <f ca="1">Filtered!AD104</f>
        <v>Unsure</v>
      </c>
      <c r="F114" t="b">
        <f t="shared" ca="1" si="9"/>
        <v>0</v>
      </c>
      <c r="G114" t="b">
        <f t="shared" ca="1" si="10"/>
        <v>0</v>
      </c>
      <c r="H114" t="b">
        <f t="shared" ca="1" si="11"/>
        <v>0</v>
      </c>
      <c r="I114" t="b">
        <f t="shared" ca="1" si="12"/>
        <v>0</v>
      </c>
      <c r="J114" t="b">
        <f t="shared" ca="1" si="13"/>
        <v>0</v>
      </c>
      <c r="K114" t="b">
        <f t="shared" ca="1" si="14"/>
        <v>1</v>
      </c>
      <c r="L114" t="b">
        <f t="shared" ca="1" si="15"/>
        <v>0</v>
      </c>
      <c r="M114" t="b">
        <f t="shared" ca="1" si="16"/>
        <v>0</v>
      </c>
      <c r="N114" s="448"/>
      <c r="O114" s="464"/>
      <c r="R114" s="448"/>
      <c r="S114" s="464"/>
      <c r="V114" s="448"/>
      <c r="W114" s="464"/>
      <c r="Z114" s="448"/>
      <c r="AA114" s="464"/>
      <c r="AD114" s="448"/>
      <c r="AE114" s="464"/>
      <c r="AH114" s="448"/>
      <c r="AI114" s="464"/>
      <c r="AL114" s="448"/>
      <c r="AP114" s="448"/>
    </row>
    <row r="115" spans="1:42" ht="13">
      <c r="A115" s="462"/>
      <c r="B115" s="462"/>
      <c r="C115" t="str">
        <f ca="1">Filtered!I105</f>
        <v>Nature Chemistry</v>
      </c>
      <c r="D115" t="str">
        <f ca="1">Filtered!J105</f>
        <v>Chemical &amp; Materials Sciences</v>
      </c>
      <c r="E115" t="str">
        <f ca="1">Filtered!AD105</f>
        <v>Unsure</v>
      </c>
      <c r="F115" t="b">
        <f t="shared" ca="1" si="9"/>
        <v>0</v>
      </c>
      <c r="G115" t="b">
        <f t="shared" ca="1" si="10"/>
        <v>1</v>
      </c>
      <c r="H115" t="b">
        <f t="shared" ca="1" si="11"/>
        <v>0</v>
      </c>
      <c r="I115" t="b">
        <f t="shared" ca="1" si="12"/>
        <v>0</v>
      </c>
      <c r="J115" t="b">
        <f t="shared" ca="1" si="13"/>
        <v>0</v>
      </c>
      <c r="K115" t="b">
        <f t="shared" ca="1" si="14"/>
        <v>0</v>
      </c>
      <c r="L115" t="b">
        <f t="shared" ca="1" si="15"/>
        <v>0</v>
      </c>
      <c r="M115" t="b">
        <f t="shared" ca="1" si="16"/>
        <v>0</v>
      </c>
      <c r="N115" s="448"/>
      <c r="O115" s="464"/>
      <c r="R115" s="448"/>
      <c r="S115" s="464"/>
      <c r="V115" s="448"/>
      <c r="W115" s="464"/>
      <c r="Z115" s="448"/>
      <c r="AA115" s="464"/>
      <c r="AD115" s="448"/>
      <c r="AE115" s="464"/>
      <c r="AH115" s="448"/>
      <c r="AI115" s="464"/>
      <c r="AL115" s="448"/>
      <c r="AP115" s="448"/>
    </row>
    <row r="116" spans="1:42" ht="13">
      <c r="A116" s="462"/>
      <c r="B116" s="462"/>
      <c r="C116" t="str">
        <f ca="1">Filtered!I106</f>
        <v>Nature Climate Change</v>
      </c>
      <c r="D116" t="str">
        <f ca="1">Filtered!J106</f>
        <v>Life Sciences &amp; Earth Sciences</v>
      </c>
      <c r="E116" t="str">
        <f ca="1">Filtered!AD106</f>
        <v>Unsure</v>
      </c>
      <c r="F116" t="b">
        <f t="shared" ca="1" si="9"/>
        <v>0</v>
      </c>
      <c r="G116" t="b">
        <f t="shared" ca="1" si="10"/>
        <v>0</v>
      </c>
      <c r="H116" t="b">
        <f t="shared" ca="1" si="11"/>
        <v>0</v>
      </c>
      <c r="I116" t="b">
        <f t="shared" ca="1" si="12"/>
        <v>0</v>
      </c>
      <c r="J116" t="b">
        <f t="shared" ca="1" si="13"/>
        <v>0</v>
      </c>
      <c r="K116" t="b">
        <f t="shared" ca="1" si="14"/>
        <v>1</v>
      </c>
      <c r="L116" t="b">
        <f t="shared" ca="1" si="15"/>
        <v>0</v>
      </c>
      <c r="M116" t="b">
        <f t="shared" ca="1" si="16"/>
        <v>0</v>
      </c>
      <c r="N116" s="448"/>
      <c r="O116" s="464"/>
      <c r="R116" s="448"/>
      <c r="S116" s="464"/>
      <c r="V116" s="448"/>
      <c r="W116" s="464"/>
      <c r="Z116" s="448"/>
      <c r="AA116" s="464"/>
      <c r="AD116" s="448"/>
      <c r="AE116" s="464"/>
      <c r="AH116" s="448"/>
      <c r="AI116" s="464"/>
      <c r="AL116" s="448"/>
      <c r="AP116" s="448"/>
    </row>
    <row r="117" spans="1:42" ht="13">
      <c r="A117" s="462"/>
      <c r="B117" s="462"/>
      <c r="C117" t="str">
        <f ca="1">Filtered!I107</f>
        <v>Nature Communications</v>
      </c>
      <c r="D117" t="str">
        <f ca="1">Filtered!J107</f>
        <v>Life Sciences &amp; Earth Sciences</v>
      </c>
      <c r="E117" t="str">
        <f ca="1">Filtered!AD107</f>
        <v>Unsure</v>
      </c>
      <c r="F117" t="b">
        <f t="shared" ca="1" si="9"/>
        <v>0</v>
      </c>
      <c r="G117" t="b">
        <f t="shared" ca="1" si="10"/>
        <v>0</v>
      </c>
      <c r="H117" t="b">
        <f t="shared" ca="1" si="11"/>
        <v>0</v>
      </c>
      <c r="I117" t="b">
        <f t="shared" ca="1" si="12"/>
        <v>0</v>
      </c>
      <c r="J117" t="b">
        <f t="shared" ca="1" si="13"/>
        <v>0</v>
      </c>
      <c r="K117" t="b">
        <f t="shared" ca="1" si="14"/>
        <v>1</v>
      </c>
      <c r="L117" t="b">
        <f t="shared" ca="1" si="15"/>
        <v>0</v>
      </c>
      <c r="M117" t="b">
        <f t="shared" ca="1" si="16"/>
        <v>0</v>
      </c>
      <c r="N117" s="448"/>
      <c r="O117" s="464"/>
      <c r="R117" s="448"/>
      <c r="S117" s="464"/>
      <c r="V117" s="448"/>
      <c r="W117" s="464"/>
      <c r="Z117" s="448"/>
      <c r="AA117" s="464"/>
      <c r="AD117" s="448"/>
      <c r="AE117" s="464"/>
      <c r="AH117" s="448"/>
      <c r="AI117" s="464"/>
      <c r="AL117" s="448"/>
      <c r="AP117" s="448"/>
    </row>
    <row r="118" spans="1:42" ht="13">
      <c r="A118" s="462"/>
      <c r="B118" s="462"/>
      <c r="C118" t="str">
        <f ca="1">Filtered!I108</f>
        <v>Nature Genetics</v>
      </c>
      <c r="D118" t="str">
        <f ca="1">Filtered!J108</f>
        <v>Health &amp; Medical Sciences,
Life Sciences &amp; Earth Sciences</v>
      </c>
      <c r="E118" t="str">
        <f ca="1">Filtered!AD108</f>
        <v>Unsure</v>
      </c>
      <c r="F118" t="b">
        <f t="shared" ca="1" si="9"/>
        <v>0</v>
      </c>
      <c r="G118" t="b">
        <f t="shared" ca="1" si="10"/>
        <v>0</v>
      </c>
      <c r="H118" t="b">
        <f t="shared" ca="1" si="11"/>
        <v>0</v>
      </c>
      <c r="I118" t="b">
        <f t="shared" ca="1" si="12"/>
        <v>1</v>
      </c>
      <c r="J118" t="b">
        <f t="shared" ca="1" si="13"/>
        <v>0</v>
      </c>
      <c r="K118" t="b">
        <f t="shared" ca="1" si="14"/>
        <v>1</v>
      </c>
      <c r="L118" t="b">
        <f t="shared" ca="1" si="15"/>
        <v>0</v>
      </c>
      <c r="M118" t="b">
        <f t="shared" ca="1" si="16"/>
        <v>0</v>
      </c>
      <c r="N118" s="448"/>
      <c r="O118" s="464"/>
      <c r="R118" s="448"/>
      <c r="S118" s="464"/>
      <c r="V118" s="448"/>
      <c r="W118" s="464"/>
      <c r="Z118" s="448"/>
      <c r="AA118" s="464"/>
      <c r="AD118" s="448"/>
      <c r="AE118" s="464"/>
      <c r="AH118" s="448"/>
      <c r="AI118" s="464"/>
      <c r="AL118" s="448"/>
      <c r="AP118" s="448"/>
    </row>
    <row r="119" spans="1:42" ht="13">
      <c r="A119" s="462"/>
      <c r="B119" s="462"/>
      <c r="C119" t="str">
        <f ca="1">Filtered!I109</f>
        <v>Nature Immunology</v>
      </c>
      <c r="D119" t="str">
        <f ca="1">Filtered!J109</f>
        <v/>
      </c>
      <c r="E119" t="str">
        <f ca="1">Filtered!AD109</f>
        <v>Unsure</v>
      </c>
      <c r="F119" t="b">
        <f t="shared" ca="1" si="9"/>
        <v>0</v>
      </c>
      <c r="G119" t="b">
        <f t="shared" ca="1" si="10"/>
        <v>0</v>
      </c>
      <c r="H119" t="b">
        <f t="shared" ca="1" si="11"/>
        <v>0</v>
      </c>
      <c r="I119" t="b">
        <f t="shared" ca="1" si="12"/>
        <v>0</v>
      </c>
      <c r="J119" t="b">
        <f t="shared" ca="1" si="13"/>
        <v>0</v>
      </c>
      <c r="K119" t="b">
        <f t="shared" ca="1" si="14"/>
        <v>0</v>
      </c>
      <c r="L119" t="b">
        <f t="shared" ca="1" si="15"/>
        <v>0</v>
      </c>
      <c r="M119" t="b">
        <f t="shared" ca="1" si="16"/>
        <v>0</v>
      </c>
      <c r="N119" s="448"/>
      <c r="O119" s="464"/>
      <c r="R119" s="448"/>
      <c r="S119" s="464"/>
      <c r="V119" s="448"/>
      <c r="W119" s="464"/>
      <c r="Z119" s="448"/>
      <c r="AA119" s="464"/>
      <c r="AD119" s="448"/>
      <c r="AE119" s="464"/>
      <c r="AH119" s="448"/>
      <c r="AI119" s="464"/>
      <c r="AL119" s="448"/>
      <c r="AP119" s="448"/>
    </row>
    <row r="120" spans="1:42" ht="13">
      <c r="A120" s="462"/>
      <c r="B120" s="462"/>
      <c r="C120" t="str">
        <f ca="1">Filtered!I110</f>
        <v>Nature Materials</v>
      </c>
      <c r="D120" t="str">
        <f ca="1">Filtered!J110</f>
        <v>Chemical &amp; Materials Sciences,
Engineering &amp; Computer Science</v>
      </c>
      <c r="E120" t="str">
        <f ca="1">Filtered!AD110</f>
        <v>Unsure</v>
      </c>
      <c r="F120" t="b">
        <f t="shared" ca="1" si="9"/>
        <v>0</v>
      </c>
      <c r="G120" t="b">
        <f t="shared" ca="1" si="10"/>
        <v>1</v>
      </c>
      <c r="H120" t="b">
        <f t="shared" ca="1" si="11"/>
        <v>1</v>
      </c>
      <c r="I120" t="b">
        <f t="shared" ca="1" si="12"/>
        <v>0</v>
      </c>
      <c r="J120" t="b">
        <f t="shared" ca="1" si="13"/>
        <v>0</v>
      </c>
      <c r="K120" t="b">
        <f t="shared" ca="1" si="14"/>
        <v>0</v>
      </c>
      <c r="L120" t="b">
        <f t="shared" ca="1" si="15"/>
        <v>0</v>
      </c>
      <c r="M120" t="b">
        <f t="shared" ca="1" si="16"/>
        <v>0</v>
      </c>
      <c r="N120" s="448"/>
      <c r="O120" s="464"/>
      <c r="R120" s="448"/>
      <c r="S120" s="464"/>
      <c r="V120" s="448"/>
      <c r="W120" s="464"/>
      <c r="Z120" s="448"/>
      <c r="AA120" s="464"/>
      <c r="AD120" s="448"/>
      <c r="AE120" s="464"/>
      <c r="AH120" s="448"/>
      <c r="AI120" s="464"/>
      <c r="AL120" s="448"/>
      <c r="AP120" s="448"/>
    </row>
    <row r="121" spans="1:42" ht="13">
      <c r="A121" s="462"/>
      <c r="B121" s="462"/>
      <c r="C121" t="str">
        <f ca="1">Filtered!I111</f>
        <v>Nature Medicine</v>
      </c>
      <c r="D121" t="str">
        <f ca="1">Filtered!J111</f>
        <v>Health &amp; Medical Sciences</v>
      </c>
      <c r="E121" t="str">
        <f ca="1">Filtered!AD111</f>
        <v>Unsure</v>
      </c>
      <c r="F121" t="b">
        <f t="shared" ca="1" si="9"/>
        <v>0</v>
      </c>
      <c r="G121" t="b">
        <f t="shared" ca="1" si="10"/>
        <v>0</v>
      </c>
      <c r="H121" t="b">
        <f t="shared" ca="1" si="11"/>
        <v>0</v>
      </c>
      <c r="I121" t="b">
        <f t="shared" ca="1" si="12"/>
        <v>1</v>
      </c>
      <c r="J121" t="b">
        <f t="shared" ca="1" si="13"/>
        <v>0</v>
      </c>
      <c r="K121" t="b">
        <f t="shared" ca="1" si="14"/>
        <v>0</v>
      </c>
      <c r="L121" t="b">
        <f t="shared" ca="1" si="15"/>
        <v>0</v>
      </c>
      <c r="M121" t="b">
        <f t="shared" ca="1" si="16"/>
        <v>0</v>
      </c>
      <c r="N121" s="448"/>
      <c r="O121" s="464"/>
      <c r="R121" s="448"/>
      <c r="S121" s="464"/>
      <c r="V121" s="448"/>
      <c r="W121" s="464"/>
      <c r="Z121" s="448"/>
      <c r="AA121" s="464"/>
      <c r="AD121" s="448"/>
      <c r="AE121" s="464"/>
      <c r="AH121" s="448"/>
      <c r="AI121" s="464"/>
      <c r="AL121" s="448"/>
      <c r="AP121" s="448"/>
    </row>
    <row r="122" spans="1:42" ht="13">
      <c r="A122" s="462"/>
      <c r="B122" s="462"/>
      <c r="C122" t="str">
        <f ca="1">Filtered!I112</f>
        <v>Nature Methods</v>
      </c>
      <c r="D122" t="str">
        <f ca="1">Filtered!J112</f>
        <v>Life Sciences &amp; Earth Sciences</v>
      </c>
      <c r="E122" t="str">
        <f ca="1">Filtered!AD112</f>
        <v>Unsure</v>
      </c>
      <c r="F122" t="b">
        <f t="shared" ca="1" si="9"/>
        <v>0</v>
      </c>
      <c r="G122" t="b">
        <f t="shared" ca="1" si="10"/>
        <v>0</v>
      </c>
      <c r="H122" t="b">
        <f t="shared" ca="1" si="11"/>
        <v>0</v>
      </c>
      <c r="I122" t="b">
        <f t="shared" ca="1" si="12"/>
        <v>0</v>
      </c>
      <c r="J122" t="b">
        <f t="shared" ca="1" si="13"/>
        <v>0</v>
      </c>
      <c r="K122" t="b">
        <f t="shared" ca="1" si="14"/>
        <v>1</v>
      </c>
      <c r="L122" t="b">
        <f t="shared" ca="1" si="15"/>
        <v>0</v>
      </c>
      <c r="M122" t="b">
        <f t="shared" ca="1" si="16"/>
        <v>0</v>
      </c>
      <c r="N122" s="448"/>
      <c r="O122" s="464"/>
      <c r="R122" s="448"/>
      <c r="S122" s="464"/>
      <c r="V122" s="448"/>
      <c r="W122" s="464"/>
      <c r="Z122" s="448"/>
      <c r="AA122" s="464"/>
      <c r="AD122" s="448"/>
      <c r="AE122" s="464"/>
      <c r="AH122" s="448"/>
      <c r="AI122" s="464"/>
      <c r="AL122" s="448"/>
      <c r="AP122" s="448"/>
    </row>
    <row r="123" spans="1:42" ht="13">
      <c r="A123" s="462"/>
      <c r="B123" s="462"/>
      <c r="C123" t="str">
        <f ca="1">Filtered!I113</f>
        <v>Nature Nanotechnology</v>
      </c>
      <c r="D123" t="str">
        <f ca="1">Filtered!J113</f>
        <v>Chemical &amp; Materials Sciences,
Engineering &amp; Computer Science</v>
      </c>
      <c r="E123" t="str">
        <f ca="1">Filtered!AD113</f>
        <v>Unsure</v>
      </c>
      <c r="F123" t="b">
        <f t="shared" ca="1" si="9"/>
        <v>0</v>
      </c>
      <c r="G123" t="b">
        <f t="shared" ca="1" si="10"/>
        <v>1</v>
      </c>
      <c r="H123" t="b">
        <f t="shared" ca="1" si="11"/>
        <v>1</v>
      </c>
      <c r="I123" t="b">
        <f t="shared" ca="1" si="12"/>
        <v>0</v>
      </c>
      <c r="J123" t="b">
        <f t="shared" ca="1" si="13"/>
        <v>0</v>
      </c>
      <c r="K123" t="b">
        <f t="shared" ca="1" si="14"/>
        <v>0</v>
      </c>
      <c r="L123" t="b">
        <f t="shared" ca="1" si="15"/>
        <v>0</v>
      </c>
      <c r="M123" t="b">
        <f t="shared" ca="1" si="16"/>
        <v>0</v>
      </c>
      <c r="N123" s="448"/>
      <c r="O123" s="464"/>
      <c r="R123" s="448"/>
      <c r="S123" s="464"/>
      <c r="V123" s="448"/>
      <c r="W123" s="464"/>
      <c r="Z123" s="448"/>
      <c r="AA123" s="464"/>
      <c r="AD123" s="448"/>
      <c r="AE123" s="464"/>
      <c r="AH123" s="448"/>
      <c r="AI123" s="464"/>
      <c r="AL123" s="448"/>
      <c r="AP123" s="448"/>
    </row>
    <row r="124" spans="1:42" ht="13">
      <c r="A124" s="462"/>
      <c r="B124" s="462"/>
      <c r="C124" t="str">
        <f ca="1">Filtered!I114</f>
        <v>Nature Neuroscience</v>
      </c>
      <c r="D124" t="str">
        <f ca="1">Filtered!J114</f>
        <v>Health &amp; Medical Sciences</v>
      </c>
      <c r="E124" t="str">
        <f ca="1">Filtered!AD114</f>
        <v>Unsure</v>
      </c>
      <c r="F124" t="b">
        <f t="shared" ca="1" si="9"/>
        <v>0</v>
      </c>
      <c r="G124" t="b">
        <f t="shared" ca="1" si="10"/>
        <v>0</v>
      </c>
      <c r="H124" t="b">
        <f t="shared" ca="1" si="11"/>
        <v>0</v>
      </c>
      <c r="I124" t="b">
        <f t="shared" ca="1" si="12"/>
        <v>1</v>
      </c>
      <c r="J124" t="b">
        <f t="shared" ca="1" si="13"/>
        <v>0</v>
      </c>
      <c r="K124" t="b">
        <f t="shared" ca="1" si="14"/>
        <v>0</v>
      </c>
      <c r="L124" t="b">
        <f t="shared" ca="1" si="15"/>
        <v>0</v>
      </c>
      <c r="M124" t="b">
        <f t="shared" ca="1" si="16"/>
        <v>0</v>
      </c>
      <c r="N124" s="448"/>
      <c r="O124" s="464"/>
      <c r="R124" s="448"/>
      <c r="S124" s="464"/>
      <c r="V124" s="448"/>
      <c r="W124" s="464"/>
      <c r="Z124" s="448"/>
      <c r="AA124" s="464"/>
      <c r="AD124" s="448"/>
      <c r="AE124" s="464"/>
      <c r="AH124" s="448"/>
      <c r="AI124" s="464"/>
      <c r="AL124" s="448"/>
      <c r="AP124" s="448"/>
    </row>
    <row r="125" spans="1:42" ht="13">
      <c r="A125" s="462"/>
      <c r="B125" s="462"/>
      <c r="C125" t="str">
        <f ca="1">Filtered!I115</f>
        <v>Nature Photonics</v>
      </c>
      <c r="D125" t="str">
        <f ca="1">Filtered!J115</f>
        <v>Engineering &amp; Computer Science,
Physics &amp; Mathematics</v>
      </c>
      <c r="E125" t="str">
        <f ca="1">Filtered!AD115</f>
        <v>Unsure</v>
      </c>
      <c r="F125" t="b">
        <f t="shared" ca="1" si="9"/>
        <v>0</v>
      </c>
      <c r="G125" t="b">
        <f t="shared" ca="1" si="10"/>
        <v>0</v>
      </c>
      <c r="H125" t="b">
        <f t="shared" ca="1" si="11"/>
        <v>1</v>
      </c>
      <c r="I125" t="b">
        <f t="shared" ca="1" si="12"/>
        <v>0</v>
      </c>
      <c r="J125" t="b">
        <f t="shared" ca="1" si="13"/>
        <v>0</v>
      </c>
      <c r="K125" t="b">
        <f t="shared" ca="1" si="14"/>
        <v>0</v>
      </c>
      <c r="L125" t="b">
        <f t="shared" ca="1" si="15"/>
        <v>1</v>
      </c>
      <c r="M125" t="b">
        <f t="shared" ca="1" si="16"/>
        <v>0</v>
      </c>
      <c r="N125" s="448"/>
      <c r="O125" s="464"/>
      <c r="R125" s="448"/>
      <c r="S125" s="464"/>
      <c r="V125" s="448"/>
      <c r="W125" s="464"/>
      <c r="Z125" s="448"/>
      <c r="AA125" s="464"/>
      <c r="AD125" s="448"/>
      <c r="AE125" s="464"/>
      <c r="AH125" s="448"/>
      <c r="AI125" s="464"/>
      <c r="AL125" s="448"/>
      <c r="AP125" s="448"/>
    </row>
    <row r="126" spans="1:42" ht="13">
      <c r="A126" s="462"/>
      <c r="B126" s="462"/>
      <c r="C126" t="str">
        <f ca="1">Filtered!I116</f>
        <v>Nature Physics</v>
      </c>
      <c r="D126" t="str">
        <f ca="1">Filtered!J116</f>
        <v>Physics &amp; Mathematics</v>
      </c>
      <c r="E126" t="str">
        <f ca="1">Filtered!AD116</f>
        <v>Unsure</v>
      </c>
      <c r="F126" t="b">
        <f t="shared" ca="1" si="9"/>
        <v>0</v>
      </c>
      <c r="G126" t="b">
        <f t="shared" ca="1" si="10"/>
        <v>0</v>
      </c>
      <c r="H126" t="b">
        <f t="shared" ca="1" si="11"/>
        <v>0</v>
      </c>
      <c r="I126" t="b">
        <f t="shared" ca="1" si="12"/>
        <v>0</v>
      </c>
      <c r="J126" t="b">
        <f t="shared" ca="1" si="13"/>
        <v>0</v>
      </c>
      <c r="K126" t="b">
        <f t="shared" ca="1" si="14"/>
        <v>0</v>
      </c>
      <c r="L126" t="b">
        <f t="shared" ca="1" si="15"/>
        <v>1</v>
      </c>
      <c r="M126" t="b">
        <f t="shared" ca="1" si="16"/>
        <v>0</v>
      </c>
      <c r="N126" s="448"/>
      <c r="O126" s="464"/>
      <c r="R126" s="448"/>
      <c r="S126" s="464"/>
      <c r="V126" s="448"/>
      <c r="W126" s="464"/>
      <c r="Z126" s="448"/>
      <c r="AA126" s="464"/>
      <c r="AD126" s="448"/>
      <c r="AE126" s="464"/>
      <c r="AH126" s="448"/>
      <c r="AI126" s="464"/>
      <c r="AL126" s="448"/>
      <c r="AP126" s="448"/>
    </row>
    <row r="127" spans="1:42" ht="13">
      <c r="A127" s="462"/>
      <c r="B127" s="462"/>
      <c r="C127" t="str">
        <f ca="1">Filtered!I117</f>
        <v>Nature Reviews Cancer</v>
      </c>
      <c r="D127" t="str">
        <f ca="1">Filtered!J117</f>
        <v/>
      </c>
      <c r="E127" t="str">
        <f ca="1">Filtered!AD117</f>
        <v>Yes</v>
      </c>
      <c r="F127" t="b">
        <f t="shared" ca="1" si="9"/>
        <v>0</v>
      </c>
      <c r="G127" t="b">
        <f t="shared" ca="1" si="10"/>
        <v>0</v>
      </c>
      <c r="H127" t="b">
        <f t="shared" ca="1" si="11"/>
        <v>0</v>
      </c>
      <c r="I127" t="b">
        <f t="shared" ca="1" si="12"/>
        <v>0</v>
      </c>
      <c r="J127" t="b">
        <f t="shared" ca="1" si="13"/>
        <v>0</v>
      </c>
      <c r="K127" t="b">
        <f t="shared" ca="1" si="14"/>
        <v>0</v>
      </c>
      <c r="L127" t="b">
        <f t="shared" ca="1" si="15"/>
        <v>0</v>
      </c>
      <c r="M127" t="b">
        <f t="shared" ca="1" si="16"/>
        <v>0</v>
      </c>
      <c r="N127" s="448"/>
      <c r="O127" s="464"/>
      <c r="R127" s="448"/>
      <c r="S127" s="464"/>
      <c r="V127" s="448"/>
      <c r="W127" s="464"/>
      <c r="Z127" s="448"/>
      <c r="AA127" s="464"/>
      <c r="AD127" s="448"/>
      <c r="AE127" s="464"/>
      <c r="AH127" s="448"/>
      <c r="AI127" s="464"/>
      <c r="AL127" s="448"/>
      <c r="AP127" s="448"/>
    </row>
    <row r="128" spans="1:42" ht="13">
      <c r="A128" s="462"/>
      <c r="B128" s="462"/>
      <c r="C128" t="str">
        <f ca="1">Filtered!I118</f>
        <v>Nature Reviews Genetics</v>
      </c>
      <c r="D128" t="str">
        <f ca="1">Filtered!J118</f>
        <v>Life Sciences &amp; Earth Sciences</v>
      </c>
      <c r="E128" t="str">
        <f ca="1">Filtered!AD118</f>
        <v>Yes</v>
      </c>
      <c r="F128" t="b">
        <f t="shared" ca="1" si="9"/>
        <v>0</v>
      </c>
      <c r="G128" t="b">
        <f t="shared" ca="1" si="10"/>
        <v>0</v>
      </c>
      <c r="H128" t="b">
        <f t="shared" ca="1" si="11"/>
        <v>0</v>
      </c>
      <c r="I128" t="b">
        <f t="shared" ca="1" si="12"/>
        <v>0</v>
      </c>
      <c r="J128" t="b">
        <f t="shared" ca="1" si="13"/>
        <v>0</v>
      </c>
      <c r="K128" t="b">
        <f t="shared" ca="1" si="14"/>
        <v>1</v>
      </c>
      <c r="L128" t="b">
        <f t="shared" ca="1" si="15"/>
        <v>0</v>
      </c>
      <c r="M128" t="b">
        <f t="shared" ca="1" si="16"/>
        <v>0</v>
      </c>
      <c r="N128" s="448"/>
      <c r="O128" s="464"/>
      <c r="R128" s="448"/>
      <c r="S128" s="464"/>
      <c r="V128" s="448"/>
      <c r="W128" s="464"/>
      <c r="Z128" s="448"/>
      <c r="AA128" s="464"/>
      <c r="AD128" s="448"/>
      <c r="AE128" s="464"/>
      <c r="AH128" s="448"/>
      <c r="AI128" s="464"/>
      <c r="AL128" s="448"/>
      <c r="AP128" s="448"/>
    </row>
    <row r="129" spans="1:42" ht="13">
      <c r="A129" s="462"/>
      <c r="B129" s="462"/>
      <c r="C129" t="str">
        <f ca="1">Filtered!I119</f>
        <v>Nature Reviews Immunology</v>
      </c>
      <c r="D129" t="str">
        <f ca="1">Filtered!J119</f>
        <v/>
      </c>
      <c r="E129" t="str">
        <f ca="1">Filtered!AD119</f>
        <v>Yes</v>
      </c>
      <c r="F129" t="b">
        <f t="shared" ca="1" si="9"/>
        <v>0</v>
      </c>
      <c r="G129" t="b">
        <f t="shared" ca="1" si="10"/>
        <v>0</v>
      </c>
      <c r="H129" t="b">
        <f t="shared" ca="1" si="11"/>
        <v>0</v>
      </c>
      <c r="I129" t="b">
        <f t="shared" ca="1" si="12"/>
        <v>0</v>
      </c>
      <c r="J129" t="b">
        <f t="shared" ca="1" si="13"/>
        <v>0</v>
      </c>
      <c r="K129" t="b">
        <f t="shared" ca="1" si="14"/>
        <v>0</v>
      </c>
      <c r="L129" t="b">
        <f t="shared" ca="1" si="15"/>
        <v>0</v>
      </c>
      <c r="M129" t="b">
        <f t="shared" ca="1" si="16"/>
        <v>0</v>
      </c>
      <c r="N129" s="448"/>
      <c r="O129" s="464"/>
      <c r="R129" s="448"/>
      <c r="S129" s="464"/>
      <c r="V129" s="448"/>
      <c r="W129" s="464"/>
      <c r="Z129" s="448"/>
      <c r="AA129" s="464"/>
      <c r="AD129" s="448"/>
      <c r="AE129" s="464"/>
      <c r="AH129" s="448"/>
      <c r="AI129" s="464"/>
      <c r="AL129" s="448"/>
      <c r="AP129" s="448"/>
    </row>
    <row r="130" spans="1:42" ht="13">
      <c r="A130" s="462"/>
      <c r="B130" s="462"/>
      <c r="C130" t="str">
        <f ca="1">Filtered!I120</f>
        <v>Nature Reviews Neuroscience</v>
      </c>
      <c r="D130" t="str">
        <f ca="1">Filtered!J120</f>
        <v/>
      </c>
      <c r="E130" t="str">
        <f ca="1">Filtered!AD120</f>
        <v>Yes</v>
      </c>
      <c r="F130" t="b">
        <f t="shared" ca="1" si="9"/>
        <v>0</v>
      </c>
      <c r="G130" t="b">
        <f t="shared" ca="1" si="10"/>
        <v>0</v>
      </c>
      <c r="H130" t="b">
        <f t="shared" ca="1" si="11"/>
        <v>0</v>
      </c>
      <c r="I130" t="b">
        <f t="shared" ca="1" si="12"/>
        <v>0</v>
      </c>
      <c r="J130" t="b">
        <f t="shared" ca="1" si="13"/>
        <v>0</v>
      </c>
      <c r="K130" t="b">
        <f t="shared" ca="1" si="14"/>
        <v>0</v>
      </c>
      <c r="L130" t="b">
        <f t="shared" ca="1" si="15"/>
        <v>0</v>
      </c>
      <c r="M130" t="b">
        <f t="shared" ca="1" si="16"/>
        <v>0</v>
      </c>
      <c r="N130" s="448"/>
      <c r="O130" s="464"/>
      <c r="R130" s="448"/>
      <c r="S130" s="464"/>
      <c r="V130" s="448"/>
      <c r="W130" s="464"/>
      <c r="Z130" s="448"/>
      <c r="AA130" s="464"/>
      <c r="AD130" s="448"/>
      <c r="AE130" s="464"/>
      <c r="AH130" s="448"/>
      <c r="AI130" s="464"/>
      <c r="AL130" s="448"/>
      <c r="AP130" s="448"/>
    </row>
    <row r="131" spans="1:42" ht="13">
      <c r="A131" s="462"/>
      <c r="B131" s="462"/>
      <c r="C131" t="str">
        <f ca="1">Filtered!I121</f>
        <v>Nature Reviews. Drug Discovery</v>
      </c>
      <c r="D131" t="str">
        <f ca="1">Filtered!J121</f>
        <v/>
      </c>
      <c r="E131" t="str">
        <f ca="1">Filtered!AD121</f>
        <v>Yes</v>
      </c>
      <c r="F131" t="b">
        <f t="shared" ca="1" si="9"/>
        <v>0</v>
      </c>
      <c r="G131" t="b">
        <f t="shared" ca="1" si="10"/>
        <v>0</v>
      </c>
      <c r="H131" t="b">
        <f t="shared" ca="1" si="11"/>
        <v>0</v>
      </c>
      <c r="I131" t="b">
        <f t="shared" ca="1" si="12"/>
        <v>0</v>
      </c>
      <c r="J131" t="b">
        <f t="shared" ca="1" si="13"/>
        <v>0</v>
      </c>
      <c r="K131" t="b">
        <f t="shared" ca="1" si="14"/>
        <v>0</v>
      </c>
      <c r="L131" t="b">
        <f t="shared" ca="1" si="15"/>
        <v>0</v>
      </c>
      <c r="M131" t="b">
        <f t="shared" ca="1" si="16"/>
        <v>0</v>
      </c>
      <c r="N131" s="448"/>
      <c r="O131" s="464"/>
      <c r="R131" s="448"/>
      <c r="S131" s="464"/>
      <c r="V131" s="448"/>
      <c r="W131" s="464"/>
      <c r="Z131" s="448"/>
      <c r="AA131" s="464"/>
      <c r="AD131" s="448"/>
      <c r="AE131" s="464"/>
      <c r="AH131" s="448"/>
      <c r="AI131" s="464"/>
      <c r="AL131" s="448"/>
      <c r="AP131" s="448"/>
    </row>
    <row r="132" spans="1:42" ht="13">
      <c r="A132" s="462"/>
      <c r="B132" s="462"/>
      <c r="C132" t="str">
        <f ca="1">Filtered!I122</f>
        <v>Nature Reviews. Molecular Cell Biology</v>
      </c>
      <c r="D132" t="str">
        <f ca="1">Filtered!J122</f>
        <v>Life Sciences &amp; Earth Sciences</v>
      </c>
      <c r="E132" t="str">
        <f ca="1">Filtered!AD122</f>
        <v>Yes</v>
      </c>
      <c r="F132" t="b">
        <f t="shared" ca="1" si="9"/>
        <v>0</v>
      </c>
      <c r="G132" t="b">
        <f t="shared" ca="1" si="10"/>
        <v>0</v>
      </c>
      <c r="H132" t="b">
        <f t="shared" ca="1" si="11"/>
        <v>0</v>
      </c>
      <c r="I132" t="b">
        <f t="shared" ca="1" si="12"/>
        <v>0</v>
      </c>
      <c r="J132" t="b">
        <f t="shared" ca="1" si="13"/>
        <v>0</v>
      </c>
      <c r="K132" t="b">
        <f t="shared" ca="1" si="14"/>
        <v>1</v>
      </c>
      <c r="L132" t="b">
        <f t="shared" ca="1" si="15"/>
        <v>0</v>
      </c>
      <c r="M132" t="b">
        <f t="shared" ca="1" si="16"/>
        <v>0</v>
      </c>
      <c r="N132" s="448"/>
      <c r="O132" s="464"/>
      <c r="R132" s="448"/>
      <c r="S132" s="464"/>
      <c r="V132" s="448"/>
      <c r="W132" s="464"/>
      <c r="Z132" s="448"/>
      <c r="AA132" s="464"/>
      <c r="AD132" s="448"/>
      <c r="AE132" s="464"/>
      <c r="AH132" s="448"/>
      <c r="AI132" s="464"/>
      <c r="AL132" s="448"/>
      <c r="AP132" s="448"/>
    </row>
    <row r="133" spans="1:42" ht="13">
      <c r="A133" s="462"/>
      <c r="B133" s="462"/>
      <c r="C133" t="str">
        <f ca="1">Filtered!I123</f>
        <v>Neural Information Processing Systems (NIPS)</v>
      </c>
      <c r="D133" t="str">
        <f ca="1">Filtered!J123</f>
        <v>Engineering &amp; Computer Science</v>
      </c>
      <c r="E133" t="str">
        <f ca="1">Filtered!AD123</f>
        <v>Unsure</v>
      </c>
      <c r="F133" t="b">
        <f t="shared" ca="1" si="9"/>
        <v>0</v>
      </c>
      <c r="G133" t="b">
        <f t="shared" ca="1" si="10"/>
        <v>0</v>
      </c>
      <c r="H133" t="b">
        <f t="shared" ca="1" si="11"/>
        <v>1</v>
      </c>
      <c r="I133" t="b">
        <f t="shared" ca="1" si="12"/>
        <v>0</v>
      </c>
      <c r="J133" t="b">
        <f t="shared" ca="1" si="13"/>
        <v>0</v>
      </c>
      <c r="K133" t="b">
        <f t="shared" ca="1" si="14"/>
        <v>0</v>
      </c>
      <c r="L133" t="b">
        <f t="shared" ca="1" si="15"/>
        <v>0</v>
      </c>
      <c r="M133" t="b">
        <f t="shared" ca="1" si="16"/>
        <v>0</v>
      </c>
      <c r="N133" s="448"/>
      <c r="O133" s="464"/>
      <c r="R133" s="448"/>
      <c r="S133" s="464"/>
      <c r="V133" s="448"/>
      <c r="W133" s="464"/>
      <c r="Z133" s="448"/>
      <c r="AA133" s="464"/>
      <c r="AD133" s="448"/>
      <c r="AE133" s="464"/>
      <c r="AH133" s="448"/>
      <c r="AI133" s="464"/>
      <c r="AL133" s="448"/>
      <c r="AP133" s="448"/>
    </row>
    <row r="134" spans="1:42" ht="13">
      <c r="A134" s="462"/>
      <c r="B134" s="462"/>
      <c r="C134" t="str">
        <f ca="1">Filtered!I124</f>
        <v>NeuroImage</v>
      </c>
      <c r="D134" t="str">
        <f ca="1">Filtered!J124</f>
        <v/>
      </c>
      <c r="E134" t="str">
        <f ca="1">Filtered!AD124</f>
        <v>Unsure</v>
      </c>
      <c r="F134" t="b">
        <f t="shared" ca="1" si="9"/>
        <v>0</v>
      </c>
      <c r="G134" t="b">
        <f t="shared" ca="1" si="10"/>
        <v>0</v>
      </c>
      <c r="H134" t="b">
        <f t="shared" ca="1" si="11"/>
        <v>0</v>
      </c>
      <c r="I134" t="b">
        <f t="shared" ca="1" si="12"/>
        <v>0</v>
      </c>
      <c r="J134" t="b">
        <f t="shared" ca="1" si="13"/>
        <v>0</v>
      </c>
      <c r="K134" t="b">
        <f t="shared" ca="1" si="14"/>
        <v>0</v>
      </c>
      <c r="L134" t="b">
        <f t="shared" ca="1" si="15"/>
        <v>0</v>
      </c>
      <c r="M134" t="b">
        <f t="shared" ca="1" si="16"/>
        <v>0</v>
      </c>
      <c r="N134" s="448"/>
      <c r="O134" s="464"/>
      <c r="R134" s="448"/>
      <c r="S134" s="464"/>
      <c r="V134" s="448"/>
      <c r="W134" s="464"/>
      <c r="Z134" s="448"/>
      <c r="AA134" s="464"/>
      <c r="AD134" s="448"/>
      <c r="AE134" s="464"/>
      <c r="AH134" s="448"/>
      <c r="AI134" s="464"/>
      <c r="AL134" s="448"/>
      <c r="AP134" s="448"/>
    </row>
    <row r="135" spans="1:42" ht="13">
      <c r="A135" s="462"/>
      <c r="B135" s="462"/>
      <c r="C135" t="str">
        <f ca="1">Filtered!I125</f>
        <v>Neuron</v>
      </c>
      <c r="D135" t="str">
        <f ca="1">Filtered!J125</f>
        <v>Health &amp; Medical Sciences,
Life Sciences &amp; Earth Sciences</v>
      </c>
      <c r="E135" t="str">
        <f ca="1">Filtered!AD125</f>
        <v>Yes</v>
      </c>
      <c r="F135" t="b">
        <f t="shared" ca="1" si="9"/>
        <v>0</v>
      </c>
      <c r="G135" t="b">
        <f t="shared" ca="1" si="10"/>
        <v>0</v>
      </c>
      <c r="H135" t="b">
        <f t="shared" ca="1" si="11"/>
        <v>0</v>
      </c>
      <c r="I135" t="b">
        <f t="shared" ca="1" si="12"/>
        <v>1</v>
      </c>
      <c r="J135" t="b">
        <f t="shared" ca="1" si="13"/>
        <v>0</v>
      </c>
      <c r="K135" t="b">
        <f t="shared" ca="1" si="14"/>
        <v>1</v>
      </c>
      <c r="L135" t="b">
        <f t="shared" ca="1" si="15"/>
        <v>0</v>
      </c>
      <c r="M135" t="b">
        <f t="shared" ca="1" si="16"/>
        <v>0</v>
      </c>
      <c r="N135" s="448"/>
      <c r="O135" s="464"/>
      <c r="R135" s="448"/>
      <c r="S135" s="464"/>
      <c r="V135" s="448"/>
      <c r="W135" s="464"/>
      <c r="Z135" s="448"/>
      <c r="AA135" s="464"/>
      <c r="AD135" s="448"/>
      <c r="AE135" s="464"/>
      <c r="AH135" s="448"/>
      <c r="AI135" s="464"/>
      <c r="AL135" s="448"/>
      <c r="AP135" s="448"/>
    </row>
    <row r="136" spans="1:42" ht="13">
      <c r="A136" s="462"/>
      <c r="B136" s="462"/>
      <c r="C136" t="str">
        <f ca="1">Filtered!I126</f>
        <v>New Media and Society</v>
      </c>
      <c r="D136" t="str">
        <f ca="1">Filtered!J126</f>
        <v>Social Sciences</v>
      </c>
      <c r="E136" t="str">
        <f ca="1">Filtered!AD126</f>
        <v>Unsure</v>
      </c>
      <c r="F136" t="b">
        <f t="shared" ca="1" si="9"/>
        <v>0</v>
      </c>
      <c r="G136" t="b">
        <f t="shared" ca="1" si="10"/>
        <v>0</v>
      </c>
      <c r="H136" t="b">
        <f t="shared" ca="1" si="11"/>
        <v>0</v>
      </c>
      <c r="I136" t="b">
        <f t="shared" ca="1" si="12"/>
        <v>0</v>
      </c>
      <c r="J136" t="b">
        <f t="shared" ca="1" si="13"/>
        <v>0</v>
      </c>
      <c r="K136" t="b">
        <f t="shared" ca="1" si="14"/>
        <v>0</v>
      </c>
      <c r="L136" t="b">
        <f t="shared" ca="1" si="15"/>
        <v>0</v>
      </c>
      <c r="M136" t="b">
        <f t="shared" ca="1" si="16"/>
        <v>1</v>
      </c>
      <c r="N136" s="448"/>
      <c r="O136" s="464"/>
      <c r="R136" s="448"/>
      <c r="S136" s="464"/>
      <c r="V136" s="448"/>
      <c r="W136" s="464"/>
      <c r="Z136" s="448"/>
      <c r="AA136" s="464"/>
      <c r="AD136" s="448"/>
      <c r="AE136" s="464"/>
      <c r="AH136" s="448"/>
      <c r="AI136" s="464"/>
      <c r="AL136" s="448"/>
      <c r="AP136" s="448"/>
    </row>
    <row r="137" spans="1:42" ht="13">
      <c r="A137" s="462"/>
      <c r="B137" s="462"/>
      <c r="C137" t="str">
        <f ca="1">Filtered!I127</f>
        <v>Noûs</v>
      </c>
      <c r="D137" t="str">
        <f ca="1">Filtered!J127</f>
        <v>Social Sciences, Humanities, Literature &amp; Arts</v>
      </c>
      <c r="E137" t="str">
        <f ca="1">Filtered!AD127</f>
        <v>Yes</v>
      </c>
      <c r="F137" t="b">
        <f t="shared" ca="1" si="9"/>
        <v>0</v>
      </c>
      <c r="G137" t="b">
        <f t="shared" ca="1" si="10"/>
        <v>0</v>
      </c>
      <c r="H137" t="b">
        <f t="shared" ca="1" si="11"/>
        <v>0</v>
      </c>
      <c r="I137" t="b">
        <f t="shared" ca="1" si="12"/>
        <v>0</v>
      </c>
      <c r="J137" t="b">
        <f t="shared" ca="1" si="13"/>
        <v>1</v>
      </c>
      <c r="K137" t="b">
        <f t="shared" ca="1" si="14"/>
        <v>0</v>
      </c>
      <c r="L137" t="b">
        <f t="shared" ca="1" si="15"/>
        <v>0</v>
      </c>
      <c r="M137" t="b">
        <f t="shared" ca="1" si="16"/>
        <v>1</v>
      </c>
      <c r="N137" s="448"/>
      <c r="O137" s="464"/>
      <c r="R137" s="448"/>
      <c r="S137" s="464"/>
      <c r="V137" s="448"/>
      <c r="W137" s="464"/>
      <c r="Z137" s="448"/>
      <c r="AA137" s="464"/>
      <c r="AD137" s="448"/>
      <c r="AE137" s="464"/>
      <c r="AH137" s="448"/>
      <c r="AI137" s="464"/>
      <c r="AL137" s="448"/>
      <c r="AP137" s="448"/>
    </row>
    <row r="138" spans="1:42" ht="13">
      <c r="A138" s="462"/>
      <c r="B138" s="462"/>
      <c r="C138" t="str">
        <f ca="1">Filtered!I128</f>
        <v>Nucleic Acids Research</v>
      </c>
      <c r="D138" t="str">
        <f ca="1">Filtered!J128</f>
        <v>Life Sciences &amp; Earth Sciences</v>
      </c>
      <c r="E138" t="str">
        <f ca="1">Filtered!AD128</f>
        <v>Unsure</v>
      </c>
      <c r="F138" t="b">
        <f t="shared" ca="1" si="9"/>
        <v>0</v>
      </c>
      <c r="G138" t="b">
        <f t="shared" ca="1" si="10"/>
        <v>0</v>
      </c>
      <c r="H138" t="b">
        <f t="shared" ca="1" si="11"/>
        <v>0</v>
      </c>
      <c r="I138" t="b">
        <f t="shared" ca="1" si="12"/>
        <v>0</v>
      </c>
      <c r="J138" t="b">
        <f t="shared" ca="1" si="13"/>
        <v>0</v>
      </c>
      <c r="K138" t="b">
        <f t="shared" ca="1" si="14"/>
        <v>1</v>
      </c>
      <c r="L138" t="b">
        <f t="shared" ca="1" si="15"/>
        <v>0</v>
      </c>
      <c r="M138" t="b">
        <f t="shared" ca="1" si="16"/>
        <v>0</v>
      </c>
      <c r="N138" s="448"/>
      <c r="O138" s="464"/>
      <c r="R138" s="448"/>
      <c r="S138" s="464"/>
      <c r="V138" s="448"/>
      <c r="W138" s="464"/>
      <c r="Z138" s="448"/>
      <c r="AA138" s="464"/>
      <c r="AD138" s="448"/>
      <c r="AE138" s="464"/>
      <c r="AH138" s="448"/>
      <c r="AI138" s="464"/>
      <c r="AL138" s="448"/>
      <c r="AP138" s="448"/>
    </row>
    <row r="139" spans="1:42" ht="13">
      <c r="A139" s="462"/>
      <c r="B139" s="462"/>
      <c r="C139" t="str">
        <f ca="1">Filtered!I129</f>
        <v>Obstetrical &amp; Gynecological Survey</v>
      </c>
      <c r="D139" t="str">
        <f ca="1">Filtered!J129</f>
        <v/>
      </c>
      <c r="E139" t="str">
        <f ca="1">Filtered!AD129</f>
        <v>Unsure</v>
      </c>
      <c r="F139" t="b">
        <f t="shared" ca="1" si="9"/>
        <v>0</v>
      </c>
      <c r="G139" t="b">
        <f t="shared" ca="1" si="10"/>
        <v>0</v>
      </c>
      <c r="H139" t="b">
        <f t="shared" ca="1" si="11"/>
        <v>0</v>
      </c>
      <c r="I139" t="b">
        <f t="shared" ca="1" si="12"/>
        <v>0</v>
      </c>
      <c r="J139" t="b">
        <f t="shared" ca="1" si="13"/>
        <v>0</v>
      </c>
      <c r="K139" t="b">
        <f t="shared" ca="1" si="14"/>
        <v>0</v>
      </c>
      <c r="L139" t="b">
        <f t="shared" ca="1" si="15"/>
        <v>0</v>
      </c>
      <c r="M139" t="b">
        <f t="shared" ca="1" si="16"/>
        <v>0</v>
      </c>
      <c r="N139" s="448"/>
      <c r="O139" s="464"/>
      <c r="R139" s="448"/>
      <c r="S139" s="464"/>
      <c r="V139" s="448"/>
      <c r="W139" s="464"/>
      <c r="Z139" s="448"/>
      <c r="AA139" s="464"/>
      <c r="AD139" s="448"/>
      <c r="AE139" s="464"/>
      <c r="AH139" s="448"/>
      <c r="AI139" s="464"/>
      <c r="AL139" s="448"/>
      <c r="AP139" s="448"/>
    </row>
    <row r="140" spans="1:42" ht="13">
      <c r="A140" s="462"/>
      <c r="B140" s="462"/>
      <c r="C140" t="str">
        <f ca="1">Filtered!I130</f>
        <v>Optics Express</v>
      </c>
      <c r="D140" t="str">
        <f ca="1">Filtered!J130</f>
        <v>Physics &amp; Mathematics</v>
      </c>
      <c r="E140" t="str">
        <f ca="1">Filtered!AD130</f>
        <v>Yes</v>
      </c>
      <c r="F140" t="b">
        <f t="shared" ca="1" si="9"/>
        <v>0</v>
      </c>
      <c r="G140" t="b">
        <f t="shared" ca="1" si="10"/>
        <v>0</v>
      </c>
      <c r="H140" t="b">
        <f t="shared" ca="1" si="11"/>
        <v>0</v>
      </c>
      <c r="I140" t="b">
        <f t="shared" ca="1" si="12"/>
        <v>0</v>
      </c>
      <c r="J140" t="b">
        <f t="shared" ca="1" si="13"/>
        <v>0</v>
      </c>
      <c r="K140" t="b">
        <f t="shared" ca="1" si="14"/>
        <v>0</v>
      </c>
      <c r="L140" t="b">
        <f t="shared" ca="1" si="15"/>
        <v>1</v>
      </c>
      <c r="M140" t="b">
        <f t="shared" ca="1" si="16"/>
        <v>0</v>
      </c>
      <c r="N140" s="448"/>
      <c r="O140" s="464"/>
      <c r="R140" s="448"/>
      <c r="S140" s="464"/>
      <c r="V140" s="448"/>
      <c r="W140" s="464"/>
      <c r="Z140" s="448"/>
      <c r="AA140" s="464"/>
      <c r="AD140" s="448"/>
      <c r="AE140" s="464"/>
      <c r="AH140" s="448"/>
      <c r="AI140" s="464"/>
      <c r="AL140" s="448"/>
      <c r="AP140" s="448"/>
    </row>
    <row r="141" spans="1:42" ht="13">
      <c r="A141" s="462"/>
      <c r="B141" s="462"/>
      <c r="C141" t="str">
        <f ca="1">Filtered!I131</f>
        <v>Pediatrics</v>
      </c>
      <c r="D141" t="str">
        <f ca="1">Filtered!J131</f>
        <v/>
      </c>
      <c r="E141" t="str">
        <f ca="1">Filtered!AD131</f>
        <v>Yes</v>
      </c>
      <c r="F141" t="b">
        <f t="shared" ca="1" si="9"/>
        <v>0</v>
      </c>
      <c r="G141" t="b">
        <f t="shared" ca="1" si="10"/>
        <v>0</v>
      </c>
      <c r="H141" t="b">
        <f t="shared" ca="1" si="11"/>
        <v>0</v>
      </c>
      <c r="I141" t="b">
        <f t="shared" ca="1" si="12"/>
        <v>0</v>
      </c>
      <c r="J141" t="b">
        <f t="shared" ca="1" si="13"/>
        <v>0</v>
      </c>
      <c r="K141" t="b">
        <f t="shared" ca="1" si="14"/>
        <v>0</v>
      </c>
      <c r="L141" t="b">
        <f t="shared" ca="1" si="15"/>
        <v>0</v>
      </c>
      <c r="M141" t="b">
        <f t="shared" ca="1" si="16"/>
        <v>0</v>
      </c>
      <c r="N141" s="448"/>
      <c r="O141" s="464"/>
      <c r="R141" s="448"/>
      <c r="S141" s="464"/>
      <c r="V141" s="448"/>
      <c r="W141" s="464"/>
      <c r="Z141" s="448"/>
      <c r="AA141" s="464"/>
      <c r="AD141" s="448"/>
      <c r="AE141" s="464"/>
      <c r="AH141" s="448"/>
      <c r="AI141" s="464"/>
      <c r="AL141" s="448"/>
      <c r="AP141" s="448"/>
    </row>
    <row r="142" spans="1:42" ht="13">
      <c r="A142" s="462"/>
      <c r="B142" s="462"/>
      <c r="C142" t="str">
        <f ca="1">Filtered!I132</f>
        <v>Philosophical Studies</v>
      </c>
      <c r="D142" t="str">
        <f ca="1">Filtered!J132</f>
        <v>Humanities, Literature &amp; Arts</v>
      </c>
      <c r="E142" t="str">
        <f ca="1">Filtered!AD132</f>
        <v>Unsure</v>
      </c>
      <c r="F142" t="b">
        <f t="shared" ca="1" si="9"/>
        <v>0</v>
      </c>
      <c r="G142" t="b">
        <f t="shared" ca="1" si="10"/>
        <v>0</v>
      </c>
      <c r="H142" t="b">
        <f t="shared" ca="1" si="11"/>
        <v>0</v>
      </c>
      <c r="I142" t="b">
        <f t="shared" ca="1" si="12"/>
        <v>0</v>
      </c>
      <c r="J142" t="b">
        <f t="shared" ca="1" si="13"/>
        <v>1</v>
      </c>
      <c r="K142" t="b">
        <f t="shared" ca="1" si="14"/>
        <v>0</v>
      </c>
      <c r="L142" t="b">
        <f t="shared" ca="1" si="15"/>
        <v>0</v>
      </c>
      <c r="M142" t="b">
        <f t="shared" ca="1" si="16"/>
        <v>0</v>
      </c>
      <c r="N142" s="448"/>
      <c r="O142" s="464"/>
      <c r="R142" s="448"/>
      <c r="S142" s="464"/>
      <c r="V142" s="448"/>
      <c r="W142" s="464"/>
      <c r="Z142" s="448"/>
      <c r="AA142" s="464"/>
      <c r="AD142" s="448"/>
      <c r="AE142" s="464"/>
      <c r="AH142" s="448"/>
      <c r="AI142" s="464"/>
      <c r="AL142" s="448"/>
      <c r="AP142" s="448"/>
    </row>
    <row r="143" spans="1:42" ht="13">
      <c r="A143" s="462"/>
      <c r="B143" s="462"/>
      <c r="C143" t="str">
        <f ca="1">Filtered!I133</f>
        <v>Physical Review B</v>
      </c>
      <c r="D143" t="str">
        <f ca="1">Filtered!J133</f>
        <v>Physics &amp; Mathematics</v>
      </c>
      <c r="E143" t="str">
        <f ca="1">Filtered!AD133</f>
        <v>Yes</v>
      </c>
      <c r="F143" t="b">
        <f t="shared" ca="1" si="9"/>
        <v>0</v>
      </c>
      <c r="G143" t="b">
        <f t="shared" ca="1" si="10"/>
        <v>0</v>
      </c>
      <c r="H143" t="b">
        <f t="shared" ca="1" si="11"/>
        <v>0</v>
      </c>
      <c r="I143" t="b">
        <f t="shared" ca="1" si="12"/>
        <v>0</v>
      </c>
      <c r="J143" t="b">
        <f t="shared" ca="1" si="13"/>
        <v>0</v>
      </c>
      <c r="K143" t="b">
        <f t="shared" ca="1" si="14"/>
        <v>0</v>
      </c>
      <c r="L143" t="b">
        <f t="shared" ca="1" si="15"/>
        <v>1</v>
      </c>
      <c r="M143" t="b">
        <f t="shared" ca="1" si="16"/>
        <v>0</v>
      </c>
      <c r="N143" s="448"/>
      <c r="O143" s="464"/>
      <c r="R143" s="448"/>
      <c r="S143" s="464"/>
      <c r="V143" s="448"/>
      <c r="W143" s="464"/>
      <c r="Z143" s="448"/>
      <c r="AA143" s="464"/>
      <c r="AD143" s="448"/>
      <c r="AE143" s="464"/>
      <c r="AH143" s="448"/>
      <c r="AI143" s="464"/>
      <c r="AL143" s="448"/>
      <c r="AP143" s="448"/>
    </row>
    <row r="144" spans="1:42" ht="13">
      <c r="A144" s="462"/>
      <c r="B144" s="462"/>
      <c r="C144" t="str">
        <f ca="1">Filtered!I134</f>
        <v>Physical Review D</v>
      </c>
      <c r="D144" t="str">
        <f ca="1">Filtered!J134</f>
        <v>Physics &amp; Mathematics</v>
      </c>
      <c r="E144" t="str">
        <f ca="1">Filtered!AD134</f>
        <v>Yes</v>
      </c>
      <c r="F144" t="b">
        <f t="shared" ca="1" si="9"/>
        <v>0</v>
      </c>
      <c r="G144" t="b">
        <f t="shared" ca="1" si="10"/>
        <v>0</v>
      </c>
      <c r="H144" t="b">
        <f t="shared" ca="1" si="11"/>
        <v>0</v>
      </c>
      <c r="I144" t="b">
        <f t="shared" ca="1" si="12"/>
        <v>0</v>
      </c>
      <c r="J144" t="b">
        <f t="shared" ca="1" si="13"/>
        <v>0</v>
      </c>
      <c r="K144" t="b">
        <f t="shared" ca="1" si="14"/>
        <v>0</v>
      </c>
      <c r="L144" t="b">
        <f t="shared" ca="1" si="15"/>
        <v>1</v>
      </c>
      <c r="M144" t="b">
        <f t="shared" ca="1" si="16"/>
        <v>0</v>
      </c>
      <c r="N144" s="448"/>
      <c r="O144" s="464"/>
      <c r="R144" s="448"/>
      <c r="S144" s="464"/>
      <c r="V144" s="448"/>
      <c r="W144" s="464"/>
      <c r="Z144" s="448"/>
      <c r="AA144" s="464"/>
      <c r="AD144" s="448"/>
      <c r="AE144" s="464"/>
      <c r="AH144" s="448"/>
      <c r="AI144" s="464"/>
      <c r="AL144" s="448"/>
      <c r="AP144" s="448"/>
    </row>
    <row r="145" spans="1:42" ht="13">
      <c r="A145" s="462"/>
      <c r="B145" s="462"/>
      <c r="C145" t="str">
        <f ca="1">Filtered!I135</f>
        <v>Physical Review Letters</v>
      </c>
      <c r="D145" t="str">
        <f ca="1">Filtered!J135</f>
        <v>Physics &amp; Mathematics</v>
      </c>
      <c r="E145" t="str">
        <f ca="1">Filtered!AD135</f>
        <v>Yes</v>
      </c>
      <c r="F145" t="b">
        <f t="shared" ca="1" si="9"/>
        <v>0</v>
      </c>
      <c r="G145" t="b">
        <f t="shared" ca="1" si="10"/>
        <v>0</v>
      </c>
      <c r="H145" t="b">
        <f t="shared" ca="1" si="11"/>
        <v>0</v>
      </c>
      <c r="I145" t="b">
        <f t="shared" ca="1" si="12"/>
        <v>0</v>
      </c>
      <c r="J145" t="b">
        <f t="shared" ca="1" si="13"/>
        <v>0</v>
      </c>
      <c r="K145" t="b">
        <f t="shared" ca="1" si="14"/>
        <v>0</v>
      </c>
      <c r="L145" t="b">
        <f t="shared" ca="1" si="15"/>
        <v>1</v>
      </c>
      <c r="M145" t="b">
        <f t="shared" ca="1" si="16"/>
        <v>0</v>
      </c>
      <c r="N145" s="448"/>
      <c r="O145" s="464"/>
      <c r="R145" s="448"/>
      <c r="S145" s="464"/>
      <c r="V145" s="448"/>
      <c r="W145" s="464"/>
      <c r="Z145" s="448"/>
      <c r="AA145" s="464"/>
      <c r="AD145" s="448"/>
      <c r="AE145" s="464"/>
      <c r="AH145" s="448"/>
      <c r="AI145" s="464"/>
      <c r="AL145" s="448"/>
      <c r="AP145" s="448"/>
    </row>
    <row r="146" spans="1:42" ht="13">
      <c r="A146" s="462"/>
      <c r="B146" s="462"/>
      <c r="C146" t="str">
        <f ca="1">Filtered!I136</f>
        <v>Physical Review X</v>
      </c>
      <c r="D146" t="str">
        <f ca="1">Filtered!J136</f>
        <v>Physics &amp; Mathematics</v>
      </c>
      <c r="E146" t="str">
        <f ca="1">Filtered!AD136</f>
        <v>Yes</v>
      </c>
      <c r="F146" t="b">
        <f t="shared" ca="1" si="9"/>
        <v>0</v>
      </c>
      <c r="G146" t="b">
        <f t="shared" ca="1" si="10"/>
        <v>0</v>
      </c>
      <c r="H146" t="b">
        <f t="shared" ca="1" si="11"/>
        <v>0</v>
      </c>
      <c r="I146" t="b">
        <f t="shared" ca="1" si="12"/>
        <v>0</v>
      </c>
      <c r="J146" t="b">
        <f t="shared" ca="1" si="13"/>
        <v>0</v>
      </c>
      <c r="K146" t="b">
        <f t="shared" ca="1" si="14"/>
        <v>0</v>
      </c>
      <c r="L146" t="b">
        <f t="shared" ca="1" si="15"/>
        <v>1</v>
      </c>
      <c r="M146" t="b">
        <f t="shared" ca="1" si="16"/>
        <v>0</v>
      </c>
      <c r="N146" s="448"/>
      <c r="O146" s="464"/>
      <c r="R146" s="448"/>
      <c r="S146" s="464"/>
      <c r="V146" s="448"/>
      <c r="W146" s="464"/>
      <c r="Z146" s="448"/>
      <c r="AA146" s="464"/>
      <c r="AD146" s="448"/>
      <c r="AE146" s="464"/>
      <c r="AH146" s="448"/>
      <c r="AI146" s="464"/>
      <c r="AL146" s="448"/>
      <c r="AP146" s="448"/>
    </row>
    <row r="147" spans="1:42" ht="13">
      <c r="A147" s="462"/>
      <c r="B147" s="462"/>
      <c r="C147" t="str">
        <f ca="1">Filtered!I137</f>
        <v>Physics Letters B</v>
      </c>
      <c r="D147" t="str">
        <f ca="1">Filtered!J137</f>
        <v>Physics &amp; Mathematics</v>
      </c>
      <c r="E147" t="str">
        <f ca="1">Filtered!AD137</f>
        <v>Unsure</v>
      </c>
      <c r="F147" t="b">
        <f t="shared" ca="1" si="9"/>
        <v>0</v>
      </c>
      <c r="G147" t="b">
        <f t="shared" ca="1" si="10"/>
        <v>0</v>
      </c>
      <c r="H147" t="b">
        <f t="shared" ca="1" si="11"/>
        <v>0</v>
      </c>
      <c r="I147" t="b">
        <f t="shared" ca="1" si="12"/>
        <v>0</v>
      </c>
      <c r="J147" t="b">
        <f t="shared" ca="1" si="13"/>
        <v>0</v>
      </c>
      <c r="K147" t="b">
        <f t="shared" ca="1" si="14"/>
        <v>0</v>
      </c>
      <c r="L147" t="b">
        <f t="shared" ca="1" si="15"/>
        <v>1</v>
      </c>
      <c r="M147" t="b">
        <f t="shared" ca="1" si="16"/>
        <v>0</v>
      </c>
      <c r="N147" s="448"/>
      <c r="O147" s="464"/>
      <c r="R147" s="448"/>
      <c r="S147" s="464"/>
      <c r="V147" s="448"/>
      <c r="W147" s="464"/>
      <c r="Z147" s="448"/>
      <c r="AA147" s="464"/>
      <c r="AD147" s="448"/>
      <c r="AE147" s="464"/>
      <c r="AH147" s="448"/>
      <c r="AI147" s="464"/>
      <c r="AL147" s="448"/>
      <c r="AP147" s="448"/>
    </row>
    <row r="148" spans="1:42" ht="13">
      <c r="A148" s="462"/>
      <c r="B148" s="462"/>
      <c r="C148" t="str">
        <f ca="1">Filtered!I138</f>
        <v>PLoS One</v>
      </c>
      <c r="D148" t="str">
        <f ca="1">Filtered!J138</f>
        <v>Health &amp; Medical Sciences,
Life Sciences &amp; Earth Sciences</v>
      </c>
      <c r="E148" t="str">
        <f ca="1">Filtered!AD138</f>
        <v>Yes</v>
      </c>
      <c r="F148" t="b">
        <f t="shared" ca="1" si="9"/>
        <v>0</v>
      </c>
      <c r="G148" t="b">
        <f t="shared" ca="1" si="10"/>
        <v>0</v>
      </c>
      <c r="H148" t="b">
        <f t="shared" ca="1" si="11"/>
        <v>0</v>
      </c>
      <c r="I148" t="b">
        <f t="shared" ca="1" si="12"/>
        <v>1</v>
      </c>
      <c r="J148" t="b">
        <f t="shared" ca="1" si="13"/>
        <v>0</v>
      </c>
      <c r="K148" t="b">
        <f t="shared" ca="1" si="14"/>
        <v>1</v>
      </c>
      <c r="L148" t="b">
        <f t="shared" ca="1" si="15"/>
        <v>0</v>
      </c>
      <c r="M148" t="b">
        <f t="shared" ca="1" si="16"/>
        <v>0</v>
      </c>
      <c r="N148" s="448"/>
      <c r="O148" s="464"/>
      <c r="R148" s="448"/>
      <c r="S148" s="464"/>
      <c r="V148" s="448"/>
      <c r="W148" s="464"/>
      <c r="Z148" s="448"/>
      <c r="AA148" s="464"/>
      <c r="AD148" s="448"/>
      <c r="AE148" s="464"/>
      <c r="AH148" s="448"/>
      <c r="AI148" s="464"/>
      <c r="AL148" s="448"/>
      <c r="AP148" s="448"/>
    </row>
    <row r="149" spans="1:42" ht="13">
      <c r="A149" s="462"/>
      <c r="B149" s="462"/>
      <c r="C149" t="str">
        <f ca="1">Filtered!I139</f>
        <v>Proceedings of the National Academy of Sciences</v>
      </c>
      <c r="D149" t="str">
        <f ca="1">Filtered!J139</f>
        <v>Health &amp; Medical Sciences,
Life Sciences &amp; Earth Sciences</v>
      </c>
      <c r="E149" t="str">
        <f ca="1">Filtered!AD139</f>
        <v>Yes</v>
      </c>
      <c r="F149" t="b">
        <f t="shared" ca="1" si="9"/>
        <v>0</v>
      </c>
      <c r="G149" t="b">
        <f t="shared" ca="1" si="10"/>
        <v>0</v>
      </c>
      <c r="H149" t="b">
        <f t="shared" ca="1" si="11"/>
        <v>0</v>
      </c>
      <c r="I149" t="b">
        <f t="shared" ca="1" si="12"/>
        <v>1</v>
      </c>
      <c r="J149" t="b">
        <f t="shared" ca="1" si="13"/>
        <v>0</v>
      </c>
      <c r="K149" t="b">
        <f t="shared" ca="1" si="14"/>
        <v>1</v>
      </c>
      <c r="L149" t="b">
        <f t="shared" ca="1" si="15"/>
        <v>0</v>
      </c>
      <c r="M149" t="b">
        <f t="shared" ca="1" si="16"/>
        <v>0</v>
      </c>
      <c r="N149" s="448"/>
      <c r="O149" s="464"/>
      <c r="R149" s="448"/>
      <c r="S149" s="464"/>
      <c r="V149" s="448"/>
      <c r="W149" s="464"/>
      <c r="Z149" s="448"/>
      <c r="AA149" s="464"/>
      <c r="AD149" s="448"/>
      <c r="AE149" s="464"/>
      <c r="AH149" s="448"/>
      <c r="AI149" s="464"/>
      <c r="AL149" s="448"/>
      <c r="AP149" s="448"/>
    </row>
    <row r="150" spans="1:42" ht="13">
      <c r="A150" s="462"/>
      <c r="B150" s="462"/>
      <c r="C150" t="str">
        <f ca="1">Filtered!I140</f>
        <v>Progress in Human Geography</v>
      </c>
      <c r="D150" t="str">
        <f ca="1">Filtered!J140</f>
        <v>Social Sciences</v>
      </c>
      <c r="E150" t="str">
        <f ca="1">Filtered!AD140</f>
        <v>Yes</v>
      </c>
      <c r="F150" t="b">
        <f t="shared" ca="1" si="9"/>
        <v>0</v>
      </c>
      <c r="G150" t="b">
        <f t="shared" ca="1" si="10"/>
        <v>0</v>
      </c>
      <c r="H150" t="b">
        <f t="shared" ca="1" si="11"/>
        <v>0</v>
      </c>
      <c r="I150" t="b">
        <f t="shared" ca="1" si="12"/>
        <v>0</v>
      </c>
      <c r="J150" t="b">
        <f t="shared" ca="1" si="13"/>
        <v>0</v>
      </c>
      <c r="K150" t="b">
        <f t="shared" ca="1" si="14"/>
        <v>0</v>
      </c>
      <c r="L150" t="b">
        <f t="shared" ca="1" si="15"/>
        <v>0</v>
      </c>
      <c r="M150" t="b">
        <f t="shared" ca="1" si="16"/>
        <v>1</v>
      </c>
      <c r="N150" s="448"/>
      <c r="O150" s="464"/>
      <c r="R150" s="448"/>
      <c r="S150" s="464"/>
      <c r="V150" s="448"/>
      <c r="W150" s="464"/>
      <c r="Z150" s="448"/>
      <c r="AA150" s="464"/>
      <c r="AD150" s="448"/>
      <c r="AE150" s="464"/>
      <c r="AH150" s="448"/>
      <c r="AI150" s="464"/>
      <c r="AL150" s="448"/>
      <c r="AP150" s="448"/>
    </row>
    <row r="151" spans="1:42" ht="13">
      <c r="A151" s="462"/>
      <c r="B151" s="462"/>
      <c r="C151" t="str">
        <f ca="1">Filtered!I141</f>
        <v>Public Opinion Quarterly</v>
      </c>
      <c r="D151" t="str">
        <f ca="1">Filtered!J141</f>
        <v>Humanities, Literature &amp; Arts</v>
      </c>
      <c r="E151" t="str">
        <f ca="1">Filtered!AD141</f>
        <v>Unsure</v>
      </c>
      <c r="F151" t="b">
        <f t="shared" ca="1" si="9"/>
        <v>0</v>
      </c>
      <c r="G151" t="b">
        <f t="shared" ca="1" si="10"/>
        <v>0</v>
      </c>
      <c r="H151" t="b">
        <f t="shared" ca="1" si="11"/>
        <v>0</v>
      </c>
      <c r="I151" t="b">
        <f t="shared" ca="1" si="12"/>
        <v>0</v>
      </c>
      <c r="J151" t="b">
        <f t="shared" ca="1" si="13"/>
        <v>1</v>
      </c>
      <c r="K151" t="b">
        <f t="shared" ca="1" si="14"/>
        <v>0</v>
      </c>
      <c r="L151" t="b">
        <f t="shared" ca="1" si="15"/>
        <v>0</v>
      </c>
      <c r="M151" t="b">
        <f t="shared" ca="1" si="16"/>
        <v>0</v>
      </c>
      <c r="N151" s="448"/>
      <c r="O151" s="464"/>
      <c r="R151" s="448"/>
      <c r="S151" s="464"/>
      <c r="V151" s="448"/>
      <c r="W151" s="464"/>
      <c r="Z151" s="448"/>
      <c r="AA151" s="464"/>
      <c r="AD151" s="448"/>
      <c r="AE151" s="464"/>
      <c r="AH151" s="448"/>
      <c r="AI151" s="464"/>
      <c r="AL151" s="448"/>
      <c r="AP151" s="448"/>
    </row>
    <row r="152" spans="1:42" ht="13">
      <c r="A152" s="462"/>
      <c r="B152" s="462"/>
      <c r="C152" t="str">
        <f ca="1">Filtered!I142</f>
        <v>Regional Studies</v>
      </c>
      <c r="D152" t="str">
        <f ca="1">Filtered!J142</f>
        <v>Social Sciences</v>
      </c>
      <c r="E152" t="str">
        <f ca="1">Filtered!AD142</f>
        <v>Unsure</v>
      </c>
      <c r="F152" t="b">
        <f t="shared" ca="1" si="9"/>
        <v>0</v>
      </c>
      <c r="G152" t="b">
        <f t="shared" ca="1" si="10"/>
        <v>0</v>
      </c>
      <c r="H152" t="b">
        <f t="shared" ca="1" si="11"/>
        <v>0</v>
      </c>
      <c r="I152" t="b">
        <f t="shared" ca="1" si="12"/>
        <v>0</v>
      </c>
      <c r="J152" t="b">
        <f t="shared" ca="1" si="13"/>
        <v>0</v>
      </c>
      <c r="K152" t="b">
        <f t="shared" ca="1" si="14"/>
        <v>0</v>
      </c>
      <c r="L152" t="b">
        <f t="shared" ca="1" si="15"/>
        <v>0</v>
      </c>
      <c r="M152" t="b">
        <f t="shared" ca="1" si="16"/>
        <v>1</v>
      </c>
      <c r="N152" s="448"/>
      <c r="O152" s="464"/>
      <c r="R152" s="448"/>
      <c r="S152" s="464"/>
      <c r="V152" s="448"/>
      <c r="W152" s="464"/>
      <c r="Z152" s="448"/>
      <c r="AA152" s="464"/>
      <c r="AD152" s="448"/>
      <c r="AE152" s="464"/>
      <c r="AH152" s="448"/>
      <c r="AI152" s="464"/>
      <c r="AL152" s="448"/>
      <c r="AP152" s="448"/>
    </row>
    <row r="153" spans="1:42" ht="13">
      <c r="A153" s="462"/>
      <c r="B153" s="462"/>
      <c r="C153" t="str">
        <f ca="1">Filtered!I143</f>
        <v>Renewable and Sustainable Energy Reviews</v>
      </c>
      <c r="D153" t="str">
        <f ca="1">Filtered!J143</f>
        <v>Engineering &amp; Computer Science</v>
      </c>
      <c r="E153" t="str">
        <f ca="1">Filtered!AD143</f>
        <v>Unsure</v>
      </c>
      <c r="F153" t="b">
        <f t="shared" ca="1" si="9"/>
        <v>0</v>
      </c>
      <c r="G153" t="b">
        <f t="shared" ca="1" si="10"/>
        <v>0</v>
      </c>
      <c r="H153" t="b">
        <f t="shared" ca="1" si="11"/>
        <v>1</v>
      </c>
      <c r="I153" t="b">
        <f t="shared" ca="1" si="12"/>
        <v>0</v>
      </c>
      <c r="J153" t="b">
        <f t="shared" ca="1" si="13"/>
        <v>0</v>
      </c>
      <c r="K153" t="b">
        <f t="shared" ca="1" si="14"/>
        <v>0</v>
      </c>
      <c r="L153" t="b">
        <f t="shared" ca="1" si="15"/>
        <v>0</v>
      </c>
      <c r="M153" t="b">
        <f t="shared" ca="1" si="16"/>
        <v>0</v>
      </c>
      <c r="N153" s="448"/>
      <c r="O153" s="464"/>
      <c r="R153" s="448"/>
      <c r="S153" s="464"/>
      <c r="V153" s="448"/>
      <c r="W153" s="464"/>
      <c r="Z153" s="448"/>
      <c r="AA153" s="464"/>
      <c r="AD153" s="448"/>
      <c r="AE153" s="464"/>
      <c r="AH153" s="448"/>
      <c r="AI153" s="464"/>
      <c r="AL153" s="448"/>
      <c r="AP153" s="448"/>
    </row>
    <row r="154" spans="1:42" ht="13">
      <c r="A154" s="462"/>
      <c r="B154" s="462"/>
      <c r="C154" t="str">
        <f ca="1">Filtered!I144</f>
        <v>Research Policy</v>
      </c>
      <c r="D154" t="str">
        <f ca="1">Filtered!J144</f>
        <v>Social Sciences</v>
      </c>
      <c r="E154" t="str">
        <f ca="1">Filtered!AD144</f>
        <v>Unsure</v>
      </c>
      <c r="F154" t="b">
        <f t="shared" ca="1" si="9"/>
        <v>0</v>
      </c>
      <c r="G154" t="b">
        <f t="shared" ca="1" si="10"/>
        <v>0</v>
      </c>
      <c r="H154" t="b">
        <f t="shared" ca="1" si="11"/>
        <v>0</v>
      </c>
      <c r="I154" t="b">
        <f t="shared" ca="1" si="12"/>
        <v>0</v>
      </c>
      <c r="J154" t="b">
        <f t="shared" ca="1" si="13"/>
        <v>0</v>
      </c>
      <c r="K154" t="b">
        <f t="shared" ca="1" si="14"/>
        <v>0</v>
      </c>
      <c r="L154" t="b">
        <f t="shared" ca="1" si="15"/>
        <v>0</v>
      </c>
      <c r="M154" t="b">
        <f t="shared" ca="1" si="16"/>
        <v>1</v>
      </c>
      <c r="N154" s="448"/>
      <c r="O154" s="464"/>
      <c r="R154" s="448"/>
      <c r="S154" s="464"/>
      <c r="V154" s="448"/>
      <c r="W154" s="464"/>
      <c r="Z154" s="448"/>
      <c r="AA154" s="464"/>
      <c r="AD154" s="448"/>
      <c r="AE154" s="464"/>
      <c r="AH154" s="448"/>
      <c r="AI154" s="464"/>
      <c r="AL154" s="448"/>
      <c r="AP154" s="448"/>
    </row>
    <row r="155" spans="1:42" ht="13">
      <c r="A155" s="462"/>
      <c r="B155" s="462"/>
      <c r="C155" t="str">
        <f ca="1">Filtered!I145</f>
        <v>Review of Economics and Statistics</v>
      </c>
      <c r="D155" t="str">
        <f ca="1">Filtered!J145</f>
        <v>Business, Economics &amp; Management</v>
      </c>
      <c r="E155" t="str">
        <f ca="1">Filtered!AD145</f>
        <v>Unsure</v>
      </c>
      <c r="F155" t="b">
        <f t="shared" ca="1" si="9"/>
        <v>1</v>
      </c>
      <c r="G155" t="b">
        <f t="shared" ca="1" si="10"/>
        <v>0</v>
      </c>
      <c r="H155" t="b">
        <f t="shared" ca="1" si="11"/>
        <v>0</v>
      </c>
      <c r="I155" t="b">
        <f t="shared" ca="1" si="12"/>
        <v>0</v>
      </c>
      <c r="J155" t="b">
        <f t="shared" ca="1" si="13"/>
        <v>0</v>
      </c>
      <c r="K155" t="b">
        <f t="shared" ca="1" si="14"/>
        <v>0</v>
      </c>
      <c r="L155" t="b">
        <f t="shared" ca="1" si="15"/>
        <v>0</v>
      </c>
      <c r="M155" t="b">
        <f t="shared" ca="1" si="16"/>
        <v>0</v>
      </c>
      <c r="N155" s="448"/>
      <c r="O155" s="464"/>
      <c r="R155" s="448"/>
      <c r="S155" s="464"/>
      <c r="V155" s="448"/>
      <c r="W155" s="464"/>
      <c r="Z155" s="448"/>
      <c r="AA155" s="464"/>
      <c r="AD155" s="448"/>
      <c r="AE155" s="464"/>
      <c r="AH155" s="448"/>
      <c r="AI155" s="464"/>
      <c r="AL155" s="448"/>
      <c r="AP155" s="448"/>
    </row>
    <row r="156" spans="1:42" ht="13">
      <c r="A156" s="462"/>
      <c r="B156" s="462"/>
      <c r="C156" t="str">
        <f ca="1">Filtered!I146</f>
        <v>Reviews of Modern Physics</v>
      </c>
      <c r="D156" t="str">
        <f ca="1">Filtered!J146</f>
        <v>Physics &amp; Mathematics</v>
      </c>
      <c r="E156" t="str">
        <f ca="1">Filtered!AD146</f>
        <v>Yes</v>
      </c>
      <c r="F156" t="b">
        <f t="shared" ca="1" si="9"/>
        <v>0</v>
      </c>
      <c r="G156" t="b">
        <f t="shared" ca="1" si="10"/>
        <v>0</v>
      </c>
      <c r="H156" t="b">
        <f t="shared" ca="1" si="11"/>
        <v>0</v>
      </c>
      <c r="I156" t="b">
        <f t="shared" ca="1" si="12"/>
        <v>0</v>
      </c>
      <c r="J156" t="b">
        <f t="shared" ca="1" si="13"/>
        <v>0</v>
      </c>
      <c r="K156" t="b">
        <f t="shared" ca="1" si="14"/>
        <v>0</v>
      </c>
      <c r="L156" t="b">
        <f t="shared" ca="1" si="15"/>
        <v>1</v>
      </c>
      <c r="M156" t="b">
        <f t="shared" ca="1" si="16"/>
        <v>0</v>
      </c>
      <c r="N156" s="448"/>
      <c r="O156" s="464"/>
      <c r="R156" s="448"/>
      <c r="S156" s="464"/>
      <c r="V156" s="448"/>
      <c r="W156" s="464"/>
      <c r="Z156" s="448"/>
      <c r="AA156" s="464"/>
      <c r="AD156" s="448"/>
      <c r="AE156" s="464"/>
      <c r="AH156" s="448"/>
      <c r="AI156" s="464"/>
      <c r="AL156" s="448"/>
      <c r="AP156" s="448"/>
    </row>
    <row r="157" spans="1:42" ht="13">
      <c r="A157" s="462"/>
      <c r="B157" s="462"/>
      <c r="C157" t="str">
        <f ca="1">Filtered!I147</f>
        <v>Science</v>
      </c>
      <c r="D157" t="str">
        <f ca="1">Filtered!J147</f>
        <v>Life Sciences &amp; Earth Sciences</v>
      </c>
      <c r="E157" t="str">
        <f ca="1">Filtered!AD147</f>
        <v>Unsure</v>
      </c>
      <c r="F157" t="b">
        <f t="shared" ca="1" si="9"/>
        <v>0</v>
      </c>
      <c r="G157" t="b">
        <f t="shared" ca="1" si="10"/>
        <v>0</v>
      </c>
      <c r="H157" t="b">
        <f t="shared" ca="1" si="11"/>
        <v>0</v>
      </c>
      <c r="I157" t="b">
        <f t="shared" ca="1" si="12"/>
        <v>0</v>
      </c>
      <c r="J157" t="b">
        <f t="shared" ca="1" si="13"/>
        <v>0</v>
      </c>
      <c r="K157" t="b">
        <f t="shared" ca="1" si="14"/>
        <v>1</v>
      </c>
      <c r="L157" t="b">
        <f t="shared" ca="1" si="15"/>
        <v>0</v>
      </c>
      <c r="M157" t="b">
        <f t="shared" ca="1" si="16"/>
        <v>0</v>
      </c>
      <c r="N157" s="448"/>
      <c r="O157" s="464"/>
      <c r="R157" s="448"/>
      <c r="S157" s="464"/>
      <c r="V157" s="448"/>
      <c r="W157" s="464"/>
      <c r="Z157" s="448"/>
      <c r="AA157" s="464"/>
      <c r="AD157" s="448"/>
      <c r="AE157" s="464"/>
      <c r="AH157" s="448"/>
      <c r="AI157" s="464"/>
      <c r="AL157" s="448"/>
      <c r="AP157" s="448"/>
    </row>
    <row r="158" spans="1:42" ht="13">
      <c r="A158" s="462"/>
      <c r="B158" s="462"/>
      <c r="C158" t="str">
        <f ca="1">Filtered!I148</f>
        <v>Science Translational Medicine</v>
      </c>
      <c r="D158" t="str">
        <f ca="1">Filtered!J148</f>
        <v/>
      </c>
      <c r="E158" t="str">
        <f ca="1">Filtered!AD148</f>
        <v>Unsure</v>
      </c>
      <c r="F158" t="b">
        <f t="shared" ca="1" si="9"/>
        <v>0</v>
      </c>
      <c r="G158" t="b">
        <f t="shared" ca="1" si="10"/>
        <v>0</v>
      </c>
      <c r="H158" t="b">
        <f t="shared" ca="1" si="11"/>
        <v>0</v>
      </c>
      <c r="I158" t="b">
        <f t="shared" ca="1" si="12"/>
        <v>0</v>
      </c>
      <c r="J158" t="b">
        <f t="shared" ca="1" si="13"/>
        <v>0</v>
      </c>
      <c r="K158" t="b">
        <f t="shared" ca="1" si="14"/>
        <v>0</v>
      </c>
      <c r="L158" t="b">
        <f t="shared" ca="1" si="15"/>
        <v>0</v>
      </c>
      <c r="M158" t="b">
        <f t="shared" ca="1" si="16"/>
        <v>0</v>
      </c>
      <c r="N158" s="448"/>
      <c r="O158" s="464"/>
      <c r="R158" s="448"/>
      <c r="S158" s="464"/>
      <c r="V158" s="448"/>
      <c r="W158" s="464"/>
      <c r="Z158" s="448"/>
      <c r="AA158" s="464"/>
      <c r="AD158" s="448"/>
      <c r="AE158" s="464"/>
      <c r="AH158" s="448"/>
      <c r="AI158" s="464"/>
      <c r="AL158" s="448"/>
      <c r="AP158" s="448"/>
    </row>
    <row r="159" spans="1:42" ht="13">
      <c r="A159" s="462"/>
      <c r="B159" s="462"/>
      <c r="C159" t="str">
        <f ca="1">Filtered!I149</f>
        <v>Scientific Reports</v>
      </c>
      <c r="D159" t="str">
        <f ca="1">Filtered!J149</f>
        <v>Life Sciences &amp; Earth Sciences</v>
      </c>
      <c r="E159" t="str">
        <f ca="1">Filtered!AD149</f>
        <v>Yes</v>
      </c>
      <c r="F159" t="b">
        <f t="shared" ca="1" si="9"/>
        <v>0</v>
      </c>
      <c r="G159" t="b">
        <f t="shared" ca="1" si="10"/>
        <v>0</v>
      </c>
      <c r="H159" t="b">
        <f t="shared" ca="1" si="11"/>
        <v>0</v>
      </c>
      <c r="I159" t="b">
        <f t="shared" ca="1" si="12"/>
        <v>0</v>
      </c>
      <c r="J159" t="b">
        <f t="shared" ca="1" si="13"/>
        <v>0</v>
      </c>
      <c r="K159" t="b">
        <f t="shared" ca="1" si="14"/>
        <v>1</v>
      </c>
      <c r="L159" t="b">
        <f t="shared" ca="1" si="15"/>
        <v>0</v>
      </c>
      <c r="M159" t="b">
        <f t="shared" ca="1" si="16"/>
        <v>0</v>
      </c>
      <c r="N159" s="448"/>
      <c r="O159" s="464"/>
      <c r="R159" s="448"/>
      <c r="S159" s="464"/>
      <c r="V159" s="448"/>
      <c r="W159" s="464"/>
      <c r="Z159" s="448"/>
      <c r="AA159" s="464"/>
      <c r="AD159" s="448"/>
      <c r="AE159" s="464"/>
      <c r="AH159" s="448"/>
      <c r="AI159" s="464"/>
      <c r="AL159" s="448"/>
      <c r="AP159" s="448"/>
    </row>
    <row r="160" spans="1:42" ht="13">
      <c r="A160" s="462"/>
      <c r="B160" s="462"/>
      <c r="C160" t="str">
        <f ca="1">Filtered!I150</f>
        <v>Social Science &amp; Medicine</v>
      </c>
      <c r="D160" t="str">
        <f ca="1">Filtered!J150</f>
        <v>Social Sciences</v>
      </c>
      <c r="E160" t="str">
        <f ca="1">Filtered!AD150</f>
        <v>Unsure</v>
      </c>
      <c r="F160" t="b">
        <f t="shared" ca="1" si="9"/>
        <v>0</v>
      </c>
      <c r="G160" t="b">
        <f t="shared" ca="1" si="10"/>
        <v>0</v>
      </c>
      <c r="H160" t="b">
        <f t="shared" ca="1" si="11"/>
        <v>0</v>
      </c>
      <c r="I160" t="b">
        <f t="shared" ca="1" si="12"/>
        <v>0</v>
      </c>
      <c r="J160" t="b">
        <f t="shared" ca="1" si="13"/>
        <v>0</v>
      </c>
      <c r="K160" t="b">
        <f t="shared" ca="1" si="14"/>
        <v>0</v>
      </c>
      <c r="L160" t="b">
        <f t="shared" ca="1" si="15"/>
        <v>0</v>
      </c>
      <c r="M160" t="b">
        <f t="shared" ca="1" si="16"/>
        <v>1</v>
      </c>
      <c r="N160" s="448"/>
      <c r="O160" s="464"/>
      <c r="R160" s="448"/>
      <c r="S160" s="464"/>
      <c r="V160" s="448"/>
      <c r="W160" s="464"/>
      <c r="Z160" s="448"/>
      <c r="AA160" s="464"/>
      <c r="AD160" s="448"/>
      <c r="AE160" s="464"/>
      <c r="AH160" s="448"/>
      <c r="AI160" s="464"/>
      <c r="AL160" s="448"/>
      <c r="AP160" s="448"/>
    </row>
    <row r="161" spans="1:42" ht="13">
      <c r="A161" s="462"/>
      <c r="B161" s="462"/>
      <c r="C161" t="str">
        <f ca="1">Filtered!I151</f>
        <v>Strategic Management Journal</v>
      </c>
      <c r="D161" t="str">
        <f ca="1">Filtered!J151</f>
        <v>Business, Economics &amp; Management</v>
      </c>
      <c r="E161" t="str">
        <f ca="1">Filtered!AD151</f>
        <v>Unsure</v>
      </c>
      <c r="F161" t="b">
        <f t="shared" ca="1" si="9"/>
        <v>1</v>
      </c>
      <c r="G161" t="b">
        <f t="shared" ca="1" si="10"/>
        <v>0</v>
      </c>
      <c r="H161" t="b">
        <f t="shared" ca="1" si="11"/>
        <v>0</v>
      </c>
      <c r="I161" t="b">
        <f t="shared" ca="1" si="12"/>
        <v>0</v>
      </c>
      <c r="J161" t="b">
        <f t="shared" ca="1" si="13"/>
        <v>0</v>
      </c>
      <c r="K161" t="b">
        <f t="shared" ca="1" si="14"/>
        <v>0</v>
      </c>
      <c r="L161" t="b">
        <f t="shared" ca="1" si="15"/>
        <v>0</v>
      </c>
      <c r="M161" t="b">
        <f t="shared" ca="1" si="16"/>
        <v>0</v>
      </c>
      <c r="N161" s="448"/>
      <c r="O161" s="464"/>
      <c r="R161" s="448"/>
      <c r="S161" s="464"/>
      <c r="V161" s="448"/>
      <c r="W161" s="464"/>
      <c r="Z161" s="448"/>
      <c r="AA161" s="464"/>
      <c r="AD161" s="448"/>
      <c r="AE161" s="464"/>
      <c r="AH161" s="448"/>
      <c r="AI161" s="464"/>
      <c r="AL161" s="448"/>
      <c r="AP161" s="448"/>
    </row>
    <row r="162" spans="1:42" ht="13">
      <c r="A162" s="462"/>
      <c r="B162" s="462"/>
      <c r="C162" t="str">
        <f ca="1">Filtered!I152</f>
        <v>Synthese</v>
      </c>
      <c r="D162" t="str">
        <f ca="1">Filtered!J152</f>
        <v>Humanities, Literature &amp; Arts</v>
      </c>
      <c r="E162" t="str">
        <f ca="1">Filtered!AD152</f>
        <v>Unsure</v>
      </c>
      <c r="F162" t="b">
        <f t="shared" ca="1" si="9"/>
        <v>0</v>
      </c>
      <c r="G162" t="b">
        <f t="shared" ca="1" si="10"/>
        <v>0</v>
      </c>
      <c r="H162" t="b">
        <f t="shared" ca="1" si="11"/>
        <v>0</v>
      </c>
      <c r="I162" t="b">
        <f t="shared" ca="1" si="12"/>
        <v>0</v>
      </c>
      <c r="J162" t="b">
        <f t="shared" ca="1" si="13"/>
        <v>1</v>
      </c>
      <c r="K162" t="b">
        <f t="shared" ca="1" si="14"/>
        <v>0</v>
      </c>
      <c r="L162" t="b">
        <f t="shared" ca="1" si="15"/>
        <v>0</v>
      </c>
      <c r="M162" t="b">
        <f t="shared" ca="1" si="16"/>
        <v>0</v>
      </c>
      <c r="N162" s="448"/>
      <c r="O162" s="464"/>
      <c r="R162" s="448"/>
      <c r="S162" s="464"/>
      <c r="V162" s="448"/>
      <c r="W162" s="464"/>
      <c r="Z162" s="448"/>
      <c r="AA162" s="464"/>
      <c r="AD162" s="448"/>
      <c r="AE162" s="464"/>
      <c r="AH162" s="448"/>
      <c r="AI162" s="464"/>
      <c r="AL162" s="448"/>
      <c r="AP162" s="448"/>
    </row>
    <row r="163" spans="1:42" ht="13">
      <c r="A163" s="462"/>
      <c r="B163" s="462"/>
      <c r="C163" t="str">
        <f ca="1">Filtered!I153</f>
        <v>System</v>
      </c>
      <c r="D163" t="str">
        <f ca="1">Filtered!J153</f>
        <v>Humanities, Literature &amp; Arts</v>
      </c>
      <c r="E163" t="str">
        <f ca="1">Filtered!AD153</f>
        <v>Unsure</v>
      </c>
      <c r="F163" t="b">
        <f t="shared" ca="1" si="9"/>
        <v>0</v>
      </c>
      <c r="G163" t="b">
        <f t="shared" ca="1" si="10"/>
        <v>0</v>
      </c>
      <c r="H163" t="b">
        <f t="shared" ca="1" si="11"/>
        <v>0</v>
      </c>
      <c r="I163" t="b">
        <f t="shared" ca="1" si="12"/>
        <v>0</v>
      </c>
      <c r="J163" t="b">
        <f t="shared" ca="1" si="13"/>
        <v>1</v>
      </c>
      <c r="K163" t="b">
        <f t="shared" ca="1" si="14"/>
        <v>0</v>
      </c>
      <c r="L163" t="b">
        <f t="shared" ca="1" si="15"/>
        <v>0</v>
      </c>
      <c r="M163" t="b">
        <f t="shared" ca="1" si="16"/>
        <v>0</v>
      </c>
      <c r="N163" s="448"/>
      <c r="O163" s="464"/>
      <c r="R163" s="448"/>
      <c r="S163" s="464"/>
      <c r="V163" s="448"/>
      <c r="W163" s="464"/>
      <c r="Z163" s="448"/>
      <c r="AA163" s="464"/>
      <c r="AD163" s="448"/>
      <c r="AE163" s="464"/>
      <c r="AH163" s="448"/>
      <c r="AI163" s="464"/>
      <c r="AL163" s="448"/>
      <c r="AP163" s="448"/>
    </row>
    <row r="164" spans="1:42" ht="13">
      <c r="A164" s="462"/>
      <c r="B164" s="462"/>
      <c r="C164" t="str">
        <f ca="1">Filtered!I154</f>
        <v>Teaching and Teacher Education</v>
      </c>
      <c r="D164" t="str">
        <f ca="1">Filtered!J154</f>
        <v>Social Sciences</v>
      </c>
      <c r="E164" t="str">
        <f ca="1">Filtered!AD154</f>
        <v>Unsure</v>
      </c>
      <c r="F164" t="b">
        <f t="shared" ca="1" si="9"/>
        <v>0</v>
      </c>
      <c r="G164" t="b">
        <f t="shared" ca="1" si="10"/>
        <v>0</v>
      </c>
      <c r="H164" t="b">
        <f t="shared" ca="1" si="11"/>
        <v>0</v>
      </c>
      <c r="I164" t="b">
        <f t="shared" ca="1" si="12"/>
        <v>0</v>
      </c>
      <c r="J164" t="b">
        <f t="shared" ca="1" si="13"/>
        <v>0</v>
      </c>
      <c r="K164" t="b">
        <f t="shared" ca="1" si="14"/>
        <v>0</v>
      </c>
      <c r="L164" t="b">
        <f t="shared" ca="1" si="15"/>
        <v>0</v>
      </c>
      <c r="M164" t="b">
        <f t="shared" ca="1" si="16"/>
        <v>1</v>
      </c>
      <c r="N164" s="448"/>
      <c r="O164" s="464"/>
      <c r="R164" s="448"/>
      <c r="S164" s="464"/>
      <c r="V164" s="448"/>
      <c r="W164" s="464"/>
      <c r="Z164" s="448"/>
      <c r="AA164" s="464"/>
      <c r="AD164" s="448"/>
      <c r="AE164" s="464"/>
      <c r="AH164" s="448"/>
      <c r="AI164" s="464"/>
      <c r="AL164" s="448"/>
      <c r="AP164" s="448"/>
    </row>
    <row r="165" spans="1:42" ht="13">
      <c r="A165" s="462"/>
      <c r="B165" s="462"/>
      <c r="C165" t="str">
        <f ca="1">Filtered!I155</f>
        <v>TESOL Quarterly</v>
      </c>
      <c r="D165" t="str">
        <f ca="1">Filtered!J155</f>
        <v>Humanities, Literature &amp; Arts</v>
      </c>
      <c r="E165" t="str">
        <f ca="1">Filtered!AD155</f>
        <v>Unsure</v>
      </c>
      <c r="F165" t="b">
        <f t="shared" ca="1" si="9"/>
        <v>0</v>
      </c>
      <c r="G165" t="b">
        <f t="shared" ca="1" si="10"/>
        <v>0</v>
      </c>
      <c r="H165" t="b">
        <f t="shared" ca="1" si="11"/>
        <v>0</v>
      </c>
      <c r="I165" t="b">
        <f t="shared" ca="1" si="12"/>
        <v>0</v>
      </c>
      <c r="J165" t="b">
        <f t="shared" ca="1" si="13"/>
        <v>1</v>
      </c>
      <c r="K165" t="b">
        <f t="shared" ca="1" si="14"/>
        <v>0</v>
      </c>
      <c r="L165" t="b">
        <f t="shared" ca="1" si="15"/>
        <v>0</v>
      </c>
      <c r="M165" t="b">
        <f t="shared" ca="1" si="16"/>
        <v>0</v>
      </c>
      <c r="N165" s="448"/>
      <c r="O165" s="464"/>
      <c r="R165" s="448"/>
      <c r="S165" s="464"/>
      <c r="V165" s="448"/>
      <c r="W165" s="464"/>
      <c r="Z165" s="448"/>
      <c r="AA165" s="464"/>
      <c r="AD165" s="448"/>
      <c r="AE165" s="464"/>
      <c r="AH165" s="448"/>
      <c r="AI165" s="464"/>
      <c r="AL165" s="448"/>
      <c r="AP165" s="448"/>
    </row>
    <row r="166" spans="1:42" ht="13">
      <c r="A166" s="462"/>
      <c r="B166" s="462"/>
      <c r="C166" t="str">
        <f ca="1">Filtered!I156</f>
        <v>The Astrophysical Journal</v>
      </c>
      <c r="D166" t="str">
        <f ca="1">Filtered!J156</f>
        <v>Physics &amp; Mathematics</v>
      </c>
      <c r="E166" t="str">
        <f ca="1">Filtered!AD156</f>
        <v>Unsure</v>
      </c>
      <c r="F166" t="b">
        <f t="shared" ca="1" si="9"/>
        <v>0</v>
      </c>
      <c r="G166" t="b">
        <f t="shared" ca="1" si="10"/>
        <v>0</v>
      </c>
      <c r="H166" t="b">
        <f t="shared" ca="1" si="11"/>
        <v>0</v>
      </c>
      <c r="I166" t="b">
        <f t="shared" ca="1" si="12"/>
        <v>0</v>
      </c>
      <c r="J166" t="b">
        <f t="shared" ca="1" si="13"/>
        <v>0</v>
      </c>
      <c r="K166" t="b">
        <f t="shared" ca="1" si="14"/>
        <v>0</v>
      </c>
      <c r="L166" t="b">
        <f t="shared" ca="1" si="15"/>
        <v>1</v>
      </c>
      <c r="M166" t="b">
        <f t="shared" ca="1" si="16"/>
        <v>0</v>
      </c>
      <c r="N166" s="448"/>
      <c r="O166" s="464"/>
      <c r="R166" s="448"/>
      <c r="S166" s="464"/>
      <c r="V166" s="448"/>
      <c r="W166" s="464"/>
      <c r="Z166" s="448"/>
      <c r="AA166" s="464"/>
      <c r="AD166" s="448"/>
      <c r="AE166" s="464"/>
      <c r="AH166" s="448"/>
      <c r="AI166" s="464"/>
      <c r="AL166" s="448"/>
      <c r="AP166" s="448"/>
    </row>
    <row r="167" spans="1:42" ht="13">
      <c r="A167" s="462"/>
      <c r="B167" s="462"/>
      <c r="C167" t="str">
        <f ca="1">Filtered!I157</f>
        <v>The China Quarterly</v>
      </c>
      <c r="D167" t="str">
        <f ca="1">Filtered!J157</f>
        <v>Humanities, Literature &amp; Arts</v>
      </c>
      <c r="E167" t="str">
        <f ca="1">Filtered!AD157</f>
        <v>Unsure</v>
      </c>
      <c r="F167" t="b">
        <f t="shared" ca="1" si="9"/>
        <v>0</v>
      </c>
      <c r="G167" t="b">
        <f t="shared" ca="1" si="10"/>
        <v>0</v>
      </c>
      <c r="H167" t="b">
        <f t="shared" ca="1" si="11"/>
        <v>0</v>
      </c>
      <c r="I167" t="b">
        <f t="shared" ca="1" si="12"/>
        <v>0</v>
      </c>
      <c r="J167" t="b">
        <f t="shared" ca="1" si="13"/>
        <v>1</v>
      </c>
      <c r="K167" t="b">
        <f t="shared" ca="1" si="14"/>
        <v>0</v>
      </c>
      <c r="L167" t="b">
        <f t="shared" ca="1" si="15"/>
        <v>0</v>
      </c>
      <c r="M167" t="b">
        <f t="shared" ca="1" si="16"/>
        <v>0</v>
      </c>
      <c r="N167" s="448"/>
      <c r="O167" s="464"/>
      <c r="R167" s="448"/>
      <c r="S167" s="464"/>
      <c r="V167" s="448"/>
      <c r="W167" s="464"/>
      <c r="Z167" s="448"/>
      <c r="AA167" s="464"/>
      <c r="AD167" s="448"/>
      <c r="AE167" s="464"/>
      <c r="AH167" s="448"/>
      <c r="AI167" s="464"/>
      <c r="AL167" s="448"/>
      <c r="AP167" s="448"/>
    </row>
    <row r="168" spans="1:42" ht="13">
      <c r="A168" s="462"/>
      <c r="B168" s="462"/>
      <c r="C168" t="str">
        <f ca="1">Filtered!I158</f>
        <v>The Cochrane Database of Systematic Reviews</v>
      </c>
      <c r="D168" t="str">
        <f ca="1">Filtered!J158</f>
        <v>Health &amp; Medical Sciences</v>
      </c>
      <c r="E168" t="str">
        <f ca="1">Filtered!AD158</f>
        <v>Unsure</v>
      </c>
      <c r="F168" t="b">
        <f t="shared" ca="1" si="9"/>
        <v>0</v>
      </c>
      <c r="G168" t="b">
        <f t="shared" ca="1" si="10"/>
        <v>0</v>
      </c>
      <c r="H168" t="b">
        <f t="shared" ca="1" si="11"/>
        <v>0</v>
      </c>
      <c r="I168" t="b">
        <f t="shared" ca="1" si="12"/>
        <v>1</v>
      </c>
      <c r="J168" t="b">
        <f t="shared" ca="1" si="13"/>
        <v>0</v>
      </c>
      <c r="K168" t="b">
        <f t="shared" ca="1" si="14"/>
        <v>0</v>
      </c>
      <c r="L168" t="b">
        <f t="shared" ca="1" si="15"/>
        <v>0</v>
      </c>
      <c r="M168" t="b">
        <f t="shared" ca="1" si="16"/>
        <v>0</v>
      </c>
      <c r="N168" s="448"/>
      <c r="O168" s="464"/>
      <c r="R168" s="448"/>
      <c r="S168" s="464"/>
      <c r="V168" s="448"/>
      <c r="W168" s="464"/>
      <c r="Z168" s="448"/>
      <c r="AA168" s="464"/>
      <c r="AD168" s="448"/>
      <c r="AE168" s="464"/>
      <c r="AH168" s="448"/>
      <c r="AI168" s="464"/>
      <c r="AL168" s="448"/>
      <c r="AP168" s="448"/>
    </row>
    <row r="169" spans="1:42" ht="13">
      <c r="A169" s="462"/>
      <c r="B169" s="462"/>
      <c r="C169" t="str">
        <f ca="1">Filtered!I159</f>
        <v>The European Physical Journal C</v>
      </c>
      <c r="D169" t="str">
        <f ca="1">Filtered!J159</f>
        <v>Physics &amp; Mathematics</v>
      </c>
      <c r="E169" t="str">
        <f ca="1">Filtered!AD159</f>
        <v>Unsure</v>
      </c>
      <c r="F169" t="b">
        <f t="shared" ca="1" si="9"/>
        <v>0</v>
      </c>
      <c r="G169" t="b">
        <f t="shared" ca="1" si="10"/>
        <v>0</v>
      </c>
      <c r="H169" t="b">
        <f t="shared" ca="1" si="11"/>
        <v>0</v>
      </c>
      <c r="I169" t="b">
        <f t="shared" ca="1" si="12"/>
        <v>0</v>
      </c>
      <c r="J169" t="b">
        <f t="shared" ca="1" si="13"/>
        <v>0</v>
      </c>
      <c r="K169" t="b">
        <f t="shared" ca="1" si="14"/>
        <v>0</v>
      </c>
      <c r="L169" t="b">
        <f t="shared" ca="1" si="15"/>
        <v>1</v>
      </c>
      <c r="M169" t="b">
        <f t="shared" ca="1" si="16"/>
        <v>0</v>
      </c>
      <c r="N169" s="448"/>
      <c r="O169" s="464"/>
      <c r="R169" s="448"/>
      <c r="S169" s="464"/>
      <c r="V169" s="448"/>
      <c r="W169" s="464"/>
      <c r="Z169" s="448"/>
      <c r="AA169" s="464"/>
      <c r="AD169" s="448"/>
      <c r="AE169" s="464"/>
      <c r="AH169" s="448"/>
      <c r="AI169" s="464"/>
      <c r="AL169" s="448"/>
      <c r="AP169" s="448"/>
    </row>
    <row r="170" spans="1:42" ht="13">
      <c r="A170" s="462"/>
      <c r="B170" s="462"/>
      <c r="C170" t="str">
        <f ca="1">Filtered!I160</f>
        <v>The Journal of Clinical Investigation</v>
      </c>
      <c r="D170" t="str">
        <f ca="1">Filtered!J160</f>
        <v/>
      </c>
      <c r="E170" t="str">
        <f ca="1">Filtered!AD160</f>
        <v>Unsure</v>
      </c>
      <c r="F170" t="b">
        <f t="shared" ca="1" si="9"/>
        <v>0</v>
      </c>
      <c r="G170" t="b">
        <f t="shared" ca="1" si="10"/>
        <v>0</v>
      </c>
      <c r="H170" t="b">
        <f t="shared" ca="1" si="11"/>
        <v>0</v>
      </c>
      <c r="I170" t="b">
        <f t="shared" ca="1" si="12"/>
        <v>0</v>
      </c>
      <c r="J170" t="b">
        <f t="shared" ca="1" si="13"/>
        <v>0</v>
      </c>
      <c r="K170" t="b">
        <f t="shared" ca="1" si="14"/>
        <v>0</v>
      </c>
      <c r="L170" t="b">
        <f t="shared" ca="1" si="15"/>
        <v>0</v>
      </c>
      <c r="M170" t="b">
        <f t="shared" ca="1" si="16"/>
        <v>0</v>
      </c>
      <c r="N170" s="448"/>
      <c r="O170" s="464"/>
      <c r="R170" s="448"/>
      <c r="S170" s="464"/>
      <c r="V170" s="448"/>
      <c r="W170" s="464"/>
      <c r="Z170" s="448"/>
      <c r="AA170" s="464"/>
      <c r="AD170" s="448"/>
      <c r="AE170" s="464"/>
      <c r="AH170" s="448"/>
      <c r="AI170" s="464"/>
      <c r="AL170" s="448"/>
      <c r="AP170" s="448"/>
    </row>
    <row r="171" spans="1:42" ht="13">
      <c r="A171" s="462"/>
      <c r="B171" s="462"/>
      <c r="C171" t="str">
        <f ca="1">Filtered!I161</f>
        <v>The Journal of Finance</v>
      </c>
      <c r="D171" t="str">
        <f ca="1">Filtered!J161</f>
        <v>Business, Economics &amp; Management</v>
      </c>
      <c r="E171" t="str">
        <f ca="1">Filtered!AD161</f>
        <v>Unsure</v>
      </c>
      <c r="F171" t="b">
        <f t="shared" ca="1" si="9"/>
        <v>1</v>
      </c>
      <c r="G171" t="b">
        <f t="shared" ca="1" si="10"/>
        <v>0</v>
      </c>
      <c r="H171" t="b">
        <f t="shared" ca="1" si="11"/>
        <v>0</v>
      </c>
      <c r="I171" t="b">
        <f t="shared" ca="1" si="12"/>
        <v>0</v>
      </c>
      <c r="J171" t="b">
        <f t="shared" ca="1" si="13"/>
        <v>0</v>
      </c>
      <c r="K171" t="b">
        <f t="shared" ca="1" si="14"/>
        <v>0</v>
      </c>
      <c r="L171" t="b">
        <f t="shared" ca="1" si="15"/>
        <v>0</v>
      </c>
      <c r="M171" t="b">
        <f t="shared" ca="1" si="16"/>
        <v>0</v>
      </c>
      <c r="N171" s="448"/>
      <c r="O171" s="464"/>
      <c r="R171" s="448"/>
      <c r="S171" s="464"/>
      <c r="V171" s="448"/>
      <c r="W171" s="464"/>
      <c r="Z171" s="448"/>
      <c r="AA171" s="464"/>
      <c r="AD171" s="448"/>
      <c r="AE171" s="464"/>
      <c r="AH171" s="448"/>
      <c r="AI171" s="464"/>
      <c r="AL171" s="448"/>
      <c r="AP171" s="448"/>
    </row>
    <row r="172" spans="1:42" ht="13">
      <c r="A172" s="462"/>
      <c r="B172" s="462"/>
      <c r="C172" t="str">
        <f ca="1">Filtered!I162</f>
        <v>The Journal of Physical Chemistry Letters</v>
      </c>
      <c r="D172" t="str">
        <f ca="1">Filtered!J162</f>
        <v>Physics &amp; Mathematics, Chemical &amp; Materials Sciences</v>
      </c>
      <c r="E172" t="str">
        <f ca="1">Filtered!AD162</f>
        <v>Unsure</v>
      </c>
      <c r="F172" t="b">
        <f t="shared" ca="1" si="9"/>
        <v>0</v>
      </c>
      <c r="G172" t="b">
        <f t="shared" ca="1" si="10"/>
        <v>1</v>
      </c>
      <c r="H172" t="b">
        <f t="shared" ca="1" si="11"/>
        <v>0</v>
      </c>
      <c r="I172" t="b">
        <f t="shared" ca="1" si="12"/>
        <v>0</v>
      </c>
      <c r="J172" t="b">
        <f t="shared" ca="1" si="13"/>
        <v>0</v>
      </c>
      <c r="K172" t="b">
        <f t="shared" ca="1" si="14"/>
        <v>0</v>
      </c>
      <c r="L172" t="b">
        <f t="shared" ca="1" si="15"/>
        <v>1</v>
      </c>
      <c r="M172" t="b">
        <f t="shared" ca="1" si="16"/>
        <v>0</v>
      </c>
      <c r="N172" s="448"/>
      <c r="O172" s="464"/>
      <c r="R172" s="448"/>
      <c r="S172" s="464"/>
      <c r="V172" s="448"/>
      <c r="W172" s="464"/>
      <c r="Z172" s="448"/>
      <c r="AA172" s="464"/>
      <c r="AD172" s="448"/>
      <c r="AE172" s="464"/>
      <c r="AH172" s="448"/>
      <c r="AI172" s="464"/>
      <c r="AL172" s="448"/>
      <c r="AP172" s="448"/>
    </row>
    <row r="173" spans="1:42" ht="13">
      <c r="A173" s="462"/>
      <c r="B173" s="462"/>
      <c r="C173" t="str">
        <f ca="1">Filtered!I163</f>
        <v>The Lancet</v>
      </c>
      <c r="D173" t="str">
        <f ca="1">Filtered!J163</f>
        <v>Health &amp; Medical Sciences</v>
      </c>
      <c r="E173" t="str">
        <f ca="1">Filtered!AD163</f>
        <v>Unsure</v>
      </c>
      <c r="F173" t="b">
        <f t="shared" ca="1" si="9"/>
        <v>0</v>
      </c>
      <c r="G173" t="b">
        <f t="shared" ca="1" si="10"/>
        <v>0</v>
      </c>
      <c r="H173" t="b">
        <f t="shared" ca="1" si="11"/>
        <v>0</v>
      </c>
      <c r="I173" t="b">
        <f t="shared" ca="1" si="12"/>
        <v>1</v>
      </c>
      <c r="J173" t="b">
        <f t="shared" ca="1" si="13"/>
        <v>0</v>
      </c>
      <c r="K173" t="b">
        <f t="shared" ca="1" si="14"/>
        <v>0</v>
      </c>
      <c r="L173" t="b">
        <f t="shared" ca="1" si="15"/>
        <v>0</v>
      </c>
      <c r="M173" t="b">
        <f t="shared" ca="1" si="16"/>
        <v>0</v>
      </c>
      <c r="N173" s="448"/>
      <c r="O173" s="464"/>
      <c r="R173" s="448"/>
      <c r="S173" s="464"/>
      <c r="V173" s="448"/>
      <c r="W173" s="464"/>
      <c r="Z173" s="448"/>
      <c r="AA173" s="464"/>
      <c r="AD173" s="448"/>
      <c r="AE173" s="464"/>
      <c r="AH173" s="448"/>
      <c r="AI173" s="464"/>
      <c r="AL173" s="448"/>
      <c r="AP173" s="448"/>
    </row>
    <row r="174" spans="1:42" ht="13">
      <c r="A174" s="462"/>
      <c r="B174" s="462"/>
      <c r="C174" t="str">
        <f ca="1">Filtered!I164</f>
        <v>The Lancet Neurology</v>
      </c>
      <c r="D174" t="str">
        <f ca="1">Filtered!J164</f>
        <v/>
      </c>
      <c r="E174" t="str">
        <f ca="1">Filtered!AD164</f>
        <v>Unsure</v>
      </c>
      <c r="F174" t="b">
        <f t="shared" ca="1" si="9"/>
        <v>0</v>
      </c>
      <c r="G174" t="b">
        <f t="shared" ca="1" si="10"/>
        <v>0</v>
      </c>
      <c r="H174" t="b">
        <f t="shared" ca="1" si="11"/>
        <v>0</v>
      </c>
      <c r="I174" t="b">
        <f t="shared" ca="1" si="12"/>
        <v>0</v>
      </c>
      <c r="J174" t="b">
        <f t="shared" ca="1" si="13"/>
        <v>0</v>
      </c>
      <c r="K174" t="b">
        <f t="shared" ca="1" si="14"/>
        <v>0</v>
      </c>
      <c r="L174" t="b">
        <f t="shared" ca="1" si="15"/>
        <v>0</v>
      </c>
      <c r="M174" t="b">
        <f t="shared" ca="1" si="16"/>
        <v>0</v>
      </c>
      <c r="N174" s="448"/>
      <c r="O174" s="464"/>
      <c r="R174" s="448"/>
      <c r="S174" s="464"/>
      <c r="V174" s="448"/>
      <c r="W174" s="464"/>
      <c r="Z174" s="448"/>
      <c r="AA174" s="464"/>
      <c r="AD174" s="448"/>
      <c r="AE174" s="464"/>
      <c r="AH174" s="448"/>
      <c r="AI174" s="464"/>
      <c r="AL174" s="448"/>
      <c r="AP174" s="448"/>
    </row>
    <row r="175" spans="1:42" ht="13">
      <c r="A175" s="462"/>
      <c r="B175" s="462"/>
      <c r="C175" t="str">
        <f ca="1">Filtered!I165</f>
        <v>The Lancet Oncology</v>
      </c>
      <c r="D175" t="str">
        <f ca="1">Filtered!J165</f>
        <v>Health &amp; Medical Sciences</v>
      </c>
      <c r="E175" t="str">
        <f ca="1">Filtered!AD165</f>
        <v>Unsure</v>
      </c>
      <c r="F175" t="b">
        <f t="shared" ca="1" si="9"/>
        <v>0</v>
      </c>
      <c r="G175" t="b">
        <f t="shared" ca="1" si="10"/>
        <v>0</v>
      </c>
      <c r="H175" t="b">
        <f t="shared" ca="1" si="11"/>
        <v>0</v>
      </c>
      <c r="I175" t="b">
        <f t="shared" ca="1" si="12"/>
        <v>1</v>
      </c>
      <c r="J175" t="b">
        <f t="shared" ca="1" si="13"/>
        <v>0</v>
      </c>
      <c r="K175" t="b">
        <f t="shared" ca="1" si="14"/>
        <v>0</v>
      </c>
      <c r="L175" t="b">
        <f t="shared" ca="1" si="15"/>
        <v>0</v>
      </c>
      <c r="M175" t="b">
        <f t="shared" ca="1" si="16"/>
        <v>0</v>
      </c>
      <c r="N175" s="448"/>
      <c r="O175" s="464"/>
      <c r="R175" s="448"/>
      <c r="S175" s="464"/>
      <c r="V175" s="448"/>
      <c r="W175" s="464"/>
      <c r="Z175" s="448"/>
      <c r="AA175" s="464"/>
      <c r="AD175" s="448"/>
      <c r="AE175" s="464"/>
      <c r="AH175" s="448"/>
      <c r="AI175" s="464"/>
      <c r="AL175" s="448"/>
      <c r="AP175" s="448"/>
    </row>
    <row r="176" spans="1:42" ht="13">
      <c r="A176" s="462"/>
      <c r="B176" s="462"/>
      <c r="C176" t="str">
        <f ca="1">Filtered!I166</f>
        <v>The Modern Language Journal</v>
      </c>
      <c r="D176" t="str">
        <f ca="1">Filtered!J166</f>
        <v>Humanities, Literature &amp; Arts</v>
      </c>
      <c r="E176" t="str">
        <f ca="1">Filtered!AD166</f>
        <v>Unsure</v>
      </c>
      <c r="F176" t="b">
        <f t="shared" ca="1" si="9"/>
        <v>0</v>
      </c>
      <c r="G176" t="b">
        <f t="shared" ca="1" si="10"/>
        <v>0</v>
      </c>
      <c r="H176" t="b">
        <f t="shared" ca="1" si="11"/>
        <v>0</v>
      </c>
      <c r="I176" t="b">
        <f t="shared" ca="1" si="12"/>
        <v>0</v>
      </c>
      <c r="J176" t="b">
        <f t="shared" ca="1" si="13"/>
        <v>1</v>
      </c>
      <c r="K176" t="b">
        <f t="shared" ca="1" si="14"/>
        <v>0</v>
      </c>
      <c r="L176" t="b">
        <f t="shared" ca="1" si="15"/>
        <v>0</v>
      </c>
      <c r="M176" t="b">
        <f t="shared" ca="1" si="16"/>
        <v>0</v>
      </c>
      <c r="N176" s="448"/>
      <c r="O176" s="464"/>
      <c r="R176" s="448"/>
      <c r="S176" s="464"/>
      <c r="V176" s="448"/>
      <c r="W176" s="464"/>
      <c r="Z176" s="448"/>
      <c r="AA176" s="464"/>
      <c r="AD176" s="448"/>
      <c r="AE176" s="464"/>
      <c r="AH176" s="448"/>
      <c r="AI176" s="464"/>
      <c r="AL176" s="448"/>
      <c r="AP176" s="448"/>
    </row>
    <row r="177" spans="1:42" ht="13">
      <c r="A177" s="462"/>
      <c r="B177" s="462"/>
      <c r="C177" t="str">
        <f ca="1">Filtered!I167</f>
        <v>The New England Journal of Medicine</v>
      </c>
      <c r="D177" t="str">
        <f ca="1">Filtered!J167</f>
        <v>Health &amp; Medical Sciences</v>
      </c>
      <c r="E177" t="str">
        <f ca="1">Filtered!AD167</f>
        <v>Unsure</v>
      </c>
      <c r="F177" t="b">
        <f t="shared" ca="1" si="9"/>
        <v>0</v>
      </c>
      <c r="G177" t="b">
        <f t="shared" ca="1" si="10"/>
        <v>0</v>
      </c>
      <c r="H177" t="b">
        <f t="shared" ca="1" si="11"/>
        <v>0</v>
      </c>
      <c r="I177" t="b">
        <f t="shared" ca="1" si="12"/>
        <v>1</v>
      </c>
      <c r="J177" t="b">
        <f t="shared" ca="1" si="13"/>
        <v>0</v>
      </c>
      <c r="K177" t="b">
        <f t="shared" ca="1" si="14"/>
        <v>0</v>
      </c>
      <c r="L177" t="b">
        <f t="shared" ca="1" si="15"/>
        <v>0</v>
      </c>
      <c r="M177" t="b">
        <f t="shared" ca="1" si="16"/>
        <v>0</v>
      </c>
      <c r="N177" s="448"/>
      <c r="O177" s="464"/>
      <c r="R177" s="448"/>
      <c r="S177" s="464"/>
      <c r="V177" s="448"/>
      <c r="W177" s="464"/>
      <c r="Z177" s="448"/>
      <c r="AA177" s="464"/>
      <c r="AD177" s="448"/>
      <c r="AE177" s="464"/>
      <c r="AH177" s="448"/>
      <c r="AI177" s="464"/>
      <c r="AL177" s="448"/>
      <c r="AP177" s="448"/>
    </row>
    <row r="178" spans="1:42" ht="13">
      <c r="A178" s="462"/>
      <c r="B178" s="462"/>
      <c r="C178" t="str">
        <f ca="1">Filtered!I168</f>
        <v>The Quarterly Journal of Economics</v>
      </c>
      <c r="D178" t="str">
        <f ca="1">Filtered!J168</f>
        <v>Business, Economics &amp; Management</v>
      </c>
      <c r="E178" t="str">
        <f ca="1">Filtered!AD168</f>
        <v>Unsure</v>
      </c>
      <c r="F178" t="b">
        <f t="shared" ca="1" si="9"/>
        <v>1</v>
      </c>
      <c r="G178" t="b">
        <f t="shared" ca="1" si="10"/>
        <v>0</v>
      </c>
      <c r="H178" t="b">
        <f t="shared" ca="1" si="11"/>
        <v>0</v>
      </c>
      <c r="I178" t="b">
        <f t="shared" ca="1" si="12"/>
        <v>0</v>
      </c>
      <c r="J178" t="b">
        <f t="shared" ca="1" si="13"/>
        <v>0</v>
      </c>
      <c r="K178" t="b">
        <f t="shared" ca="1" si="14"/>
        <v>0</v>
      </c>
      <c r="L178" t="b">
        <f t="shared" ca="1" si="15"/>
        <v>0</v>
      </c>
      <c r="M178" t="b">
        <f t="shared" ca="1" si="16"/>
        <v>0</v>
      </c>
      <c r="N178" s="448"/>
      <c r="O178" s="464"/>
      <c r="R178" s="448"/>
      <c r="S178" s="464"/>
      <c r="V178" s="448"/>
      <c r="W178" s="464"/>
      <c r="Z178" s="448"/>
      <c r="AA178" s="464"/>
      <c r="AD178" s="448"/>
      <c r="AE178" s="464"/>
      <c r="AH178" s="448"/>
      <c r="AI178" s="464"/>
      <c r="AL178" s="448"/>
      <c r="AP178" s="448"/>
    </row>
    <row r="179" spans="1:42" ht="13">
      <c r="A179" s="462"/>
      <c r="B179" s="462"/>
      <c r="C179" t="str">
        <f ca="1">Filtered!I169</f>
        <v>The Review of Economic Studies</v>
      </c>
      <c r="D179" t="str">
        <f ca="1">Filtered!J169</f>
        <v>Business, Economics &amp; Management</v>
      </c>
      <c r="E179" t="str">
        <f ca="1">Filtered!AD169</f>
        <v>Unsure</v>
      </c>
      <c r="F179" t="b">
        <f t="shared" ca="1" si="9"/>
        <v>1</v>
      </c>
      <c r="G179" t="b">
        <f t="shared" ca="1" si="10"/>
        <v>0</v>
      </c>
      <c r="H179" t="b">
        <f t="shared" ca="1" si="11"/>
        <v>0</v>
      </c>
      <c r="I179" t="b">
        <f t="shared" ca="1" si="12"/>
        <v>0</v>
      </c>
      <c r="J179" t="b">
        <f t="shared" ca="1" si="13"/>
        <v>0</v>
      </c>
      <c r="K179" t="b">
        <f t="shared" ca="1" si="14"/>
        <v>0</v>
      </c>
      <c r="L179" t="b">
        <f t="shared" ca="1" si="15"/>
        <v>0</v>
      </c>
      <c r="M179" t="b">
        <f t="shared" ca="1" si="16"/>
        <v>0</v>
      </c>
      <c r="N179" s="448"/>
      <c r="O179" s="464"/>
      <c r="R179" s="448"/>
      <c r="S179" s="464"/>
      <c r="V179" s="448"/>
      <c r="W179" s="464"/>
      <c r="Z179" s="448"/>
      <c r="AA179" s="464"/>
      <c r="AD179" s="448"/>
      <c r="AE179" s="464"/>
      <c r="AH179" s="448"/>
      <c r="AI179" s="464"/>
      <c r="AL179" s="448"/>
      <c r="AP179" s="448"/>
    </row>
    <row r="180" spans="1:42" ht="13">
      <c r="A180" s="462"/>
      <c r="B180" s="462"/>
      <c r="C180" t="str">
        <f ca="1">Filtered!I170</f>
        <v>The Review of Financial Studies</v>
      </c>
      <c r="D180" t="str">
        <f ca="1">Filtered!J170</f>
        <v>Business, Economics &amp; Management</v>
      </c>
      <c r="E180" t="str">
        <f ca="1">Filtered!AD170</f>
        <v>Unsure</v>
      </c>
      <c r="F180" t="b">
        <f t="shared" ca="1" si="9"/>
        <v>1</v>
      </c>
      <c r="G180" t="b">
        <f t="shared" ca="1" si="10"/>
        <v>0</v>
      </c>
      <c r="H180" t="b">
        <f t="shared" ca="1" si="11"/>
        <v>0</v>
      </c>
      <c r="I180" t="b">
        <f t="shared" ca="1" si="12"/>
        <v>0</v>
      </c>
      <c r="J180" t="b">
        <f t="shared" ca="1" si="13"/>
        <v>0</v>
      </c>
      <c r="K180" t="b">
        <f t="shared" ca="1" si="14"/>
        <v>0</v>
      </c>
      <c r="L180" t="b">
        <f t="shared" ca="1" si="15"/>
        <v>0</v>
      </c>
      <c r="M180" t="b">
        <f t="shared" ca="1" si="16"/>
        <v>0</v>
      </c>
      <c r="N180" s="448"/>
      <c r="O180" s="464"/>
      <c r="R180" s="448"/>
      <c r="S180" s="464"/>
      <c r="V180" s="448"/>
      <c r="W180" s="464"/>
      <c r="Z180" s="448"/>
      <c r="AA180" s="464"/>
      <c r="AD180" s="448"/>
      <c r="AE180" s="464"/>
      <c r="AH180" s="448"/>
      <c r="AI180" s="464"/>
      <c r="AL180" s="448"/>
      <c r="AP180" s="448"/>
    </row>
    <row r="181" spans="1:42" ht="13">
      <c r="A181" s="462"/>
      <c r="B181" s="462"/>
      <c r="C181" t="str">
        <f ca="1">Filtered!I171</f>
        <v>Tourism Management</v>
      </c>
      <c r="D181" t="str">
        <f ca="1">Filtered!J171</f>
        <v>Business, Economics &amp; Management</v>
      </c>
      <c r="E181" t="str">
        <f ca="1">Filtered!AD171</f>
        <v>Unsure</v>
      </c>
      <c r="F181" t="b">
        <f t="shared" ca="1" si="9"/>
        <v>1</v>
      </c>
      <c r="G181" t="b">
        <f t="shared" ca="1" si="10"/>
        <v>0</v>
      </c>
      <c r="H181" t="b">
        <f t="shared" ca="1" si="11"/>
        <v>0</v>
      </c>
      <c r="I181" t="b">
        <f t="shared" ca="1" si="12"/>
        <v>0</v>
      </c>
      <c r="J181" t="b">
        <f t="shared" ca="1" si="13"/>
        <v>0</v>
      </c>
      <c r="K181" t="b">
        <f t="shared" ca="1" si="14"/>
        <v>0</v>
      </c>
      <c r="L181" t="b">
        <f t="shared" ca="1" si="15"/>
        <v>0</v>
      </c>
      <c r="M181" t="b">
        <f t="shared" ca="1" si="16"/>
        <v>0</v>
      </c>
      <c r="N181" s="448"/>
      <c r="O181" s="464"/>
      <c r="R181" s="448"/>
      <c r="S181" s="464"/>
      <c r="V181" s="448"/>
      <c r="W181" s="464"/>
      <c r="Z181" s="448"/>
      <c r="AA181" s="464"/>
      <c r="AD181" s="448"/>
      <c r="AE181" s="464"/>
      <c r="AH181" s="448"/>
      <c r="AI181" s="464"/>
      <c r="AL181" s="448"/>
      <c r="AP181" s="448"/>
    </row>
    <row r="182" spans="1:42" ht="13">
      <c r="A182" s="462"/>
      <c r="B182" s="462"/>
      <c r="C182" t="str">
        <f ca="1">Filtered!I172</f>
        <v>World Development</v>
      </c>
      <c r="D182" t="str">
        <f ca="1">Filtered!J172</f>
        <v>Business, Economics &amp; Management</v>
      </c>
      <c r="E182" t="str">
        <f ca="1">Filtered!AD172</f>
        <v>Unsure</v>
      </c>
      <c r="F182" t="b">
        <f t="shared" ca="1" si="9"/>
        <v>1</v>
      </c>
      <c r="G182" t="b">
        <f t="shared" ca="1" si="10"/>
        <v>0</v>
      </c>
      <c r="H182" t="b">
        <f t="shared" ca="1" si="11"/>
        <v>0</v>
      </c>
      <c r="I182" t="b">
        <f t="shared" ca="1" si="12"/>
        <v>0</v>
      </c>
      <c r="J182" t="b">
        <f t="shared" ca="1" si="13"/>
        <v>0</v>
      </c>
      <c r="K182" t="b">
        <f t="shared" ca="1" si="14"/>
        <v>0</v>
      </c>
      <c r="L182" t="b">
        <f t="shared" ca="1" si="15"/>
        <v>0</v>
      </c>
      <c r="M182" t="b">
        <f t="shared" ca="1" si="16"/>
        <v>0</v>
      </c>
      <c r="N182" s="448"/>
      <c r="O182" s="464"/>
      <c r="R182" s="448"/>
      <c r="S182" s="464"/>
      <c r="V182" s="448"/>
      <c r="W182" s="464"/>
      <c r="Z182" s="448"/>
      <c r="AA182" s="464"/>
      <c r="AD182" s="448"/>
      <c r="AE182" s="464"/>
      <c r="AH182" s="448"/>
      <c r="AI182" s="464"/>
      <c r="AL182" s="448"/>
      <c r="AP182" s="448"/>
    </row>
    <row r="183" spans="1:42" ht="13">
      <c r="A183" s="462"/>
      <c r="B183" s="462"/>
      <c r="C183">
        <f>Filtered!I173</f>
        <v>0</v>
      </c>
      <c r="D183">
        <f>Filtered!J173</f>
        <v>0</v>
      </c>
      <c r="E183">
        <f>Filtered!AD173</f>
        <v>0</v>
      </c>
      <c r="N183" s="448"/>
      <c r="O183" s="464"/>
      <c r="R183" s="448"/>
      <c r="S183" s="464"/>
      <c r="V183" s="448"/>
      <c r="W183" s="464"/>
      <c r="Z183" s="448"/>
      <c r="AA183" s="464"/>
      <c r="AD183" s="448"/>
      <c r="AE183" s="464"/>
      <c r="AH183" s="448"/>
      <c r="AI183" s="464"/>
      <c r="AL183" s="448"/>
      <c r="AP183" s="448"/>
    </row>
    <row r="184" spans="1:42" ht="13">
      <c r="A184" s="462"/>
      <c r="B184" s="462"/>
      <c r="C184">
        <f>Filtered!I174</f>
        <v>0</v>
      </c>
      <c r="D184">
        <f>Filtered!J174</f>
        <v>0</v>
      </c>
      <c r="E184">
        <f>Filtered!AD174</f>
        <v>0</v>
      </c>
      <c r="N184" s="448"/>
      <c r="O184" s="464"/>
      <c r="R184" s="448"/>
      <c r="S184" s="464"/>
      <c r="V184" s="448"/>
      <c r="W184" s="464"/>
      <c r="Z184" s="448"/>
      <c r="AA184" s="464"/>
      <c r="AD184" s="448"/>
      <c r="AE184" s="464"/>
      <c r="AH184" s="448"/>
      <c r="AI184" s="464"/>
      <c r="AL184" s="448"/>
      <c r="AP184" s="448"/>
    </row>
    <row r="185" spans="1:42" ht="13">
      <c r="A185" s="462"/>
      <c r="B185" s="462"/>
      <c r="C185">
        <f>Filtered!I175</f>
        <v>0</v>
      </c>
      <c r="D185">
        <f>Filtered!J175</f>
        <v>0</v>
      </c>
      <c r="E185">
        <f>Filtered!AD175</f>
        <v>0</v>
      </c>
      <c r="N185" s="448"/>
      <c r="O185" s="464"/>
      <c r="R185" s="448"/>
      <c r="S185" s="464"/>
      <c r="V185" s="448"/>
      <c r="W185" s="464"/>
      <c r="Z185" s="448"/>
      <c r="AA185" s="464"/>
      <c r="AD185" s="448"/>
      <c r="AE185" s="464"/>
      <c r="AH185" s="448"/>
      <c r="AI185" s="464"/>
      <c r="AL185" s="448"/>
      <c r="AP185" s="448"/>
    </row>
    <row r="186" spans="1:42" ht="13">
      <c r="A186" s="462"/>
      <c r="B186" s="462"/>
      <c r="C186">
        <f>Filtered!I176</f>
        <v>0</v>
      </c>
      <c r="D186">
        <f>Filtered!J176</f>
        <v>0</v>
      </c>
      <c r="E186">
        <f>Filtered!AD176</f>
        <v>0</v>
      </c>
      <c r="N186" s="448"/>
      <c r="O186" s="464"/>
      <c r="R186" s="448"/>
      <c r="S186" s="464"/>
      <c r="V186" s="448"/>
      <c r="W186" s="464"/>
      <c r="Z186" s="448"/>
      <c r="AA186" s="464"/>
      <c r="AD186" s="448"/>
      <c r="AE186" s="464"/>
      <c r="AH186" s="448"/>
      <c r="AI186" s="464"/>
      <c r="AL186" s="448"/>
      <c r="AP186" s="448"/>
    </row>
    <row r="187" spans="1:42" ht="13">
      <c r="A187" s="462"/>
      <c r="B187" s="462"/>
      <c r="C187">
        <f>Filtered!I177</f>
        <v>0</v>
      </c>
      <c r="D187">
        <f>Filtered!J177</f>
        <v>0</v>
      </c>
      <c r="E187">
        <f>Filtered!AD177</f>
        <v>0</v>
      </c>
      <c r="N187" s="448"/>
      <c r="O187" s="464"/>
      <c r="R187" s="448"/>
      <c r="S187" s="464"/>
      <c r="V187" s="448"/>
      <c r="W187" s="464"/>
      <c r="Z187" s="448"/>
      <c r="AA187" s="464"/>
      <c r="AD187" s="448"/>
      <c r="AE187" s="464"/>
      <c r="AH187" s="448"/>
      <c r="AI187" s="464"/>
      <c r="AL187" s="448"/>
      <c r="AP187" s="448"/>
    </row>
    <row r="188" spans="1:42" ht="13">
      <c r="A188" s="462"/>
      <c r="B188" s="462"/>
      <c r="C188">
        <f>Filtered!I178</f>
        <v>0</v>
      </c>
      <c r="D188">
        <f>Filtered!J178</f>
        <v>0</v>
      </c>
      <c r="E188">
        <f>Filtered!AD178</f>
        <v>0</v>
      </c>
      <c r="N188" s="448"/>
      <c r="O188" s="464"/>
      <c r="R188" s="448"/>
      <c r="S188" s="464"/>
      <c r="V188" s="448"/>
      <c r="W188" s="464"/>
      <c r="Z188" s="448"/>
      <c r="AA188" s="464"/>
      <c r="AD188" s="448"/>
      <c r="AE188" s="464"/>
      <c r="AH188" s="448"/>
      <c r="AI188" s="464"/>
      <c r="AL188" s="448"/>
      <c r="AP188" s="448"/>
    </row>
    <row r="189" spans="1:42" ht="13">
      <c r="A189" s="462"/>
      <c r="B189" s="462"/>
      <c r="C189">
        <f>Filtered!I179</f>
        <v>0</v>
      </c>
      <c r="D189">
        <f>Filtered!J179</f>
        <v>0</v>
      </c>
      <c r="E189">
        <f>Filtered!AD179</f>
        <v>0</v>
      </c>
      <c r="N189" s="448"/>
      <c r="O189" s="464"/>
      <c r="R189" s="448"/>
      <c r="S189" s="464"/>
      <c r="V189" s="448"/>
      <c r="W189" s="464"/>
      <c r="Z189" s="448"/>
      <c r="AA189" s="464"/>
      <c r="AD189" s="448"/>
      <c r="AE189" s="464"/>
      <c r="AH189" s="448"/>
      <c r="AI189" s="464"/>
      <c r="AL189" s="448"/>
      <c r="AP189" s="448"/>
    </row>
    <row r="190" spans="1:42" ht="13">
      <c r="A190" s="462"/>
      <c r="B190" s="462"/>
      <c r="C190">
        <f>Filtered!I180</f>
        <v>0</v>
      </c>
      <c r="D190">
        <f>Filtered!J180</f>
        <v>0</v>
      </c>
      <c r="E190">
        <f>Filtered!AD180</f>
        <v>0</v>
      </c>
      <c r="N190" s="448"/>
      <c r="O190" s="464"/>
      <c r="R190" s="448"/>
      <c r="S190" s="464"/>
      <c r="V190" s="448"/>
      <c r="W190" s="464"/>
      <c r="Z190" s="448"/>
      <c r="AA190" s="464"/>
      <c r="AD190" s="448"/>
      <c r="AE190" s="464"/>
      <c r="AH190" s="448"/>
      <c r="AI190" s="464"/>
      <c r="AL190" s="448"/>
      <c r="AP190" s="448"/>
    </row>
    <row r="191" spans="1:42" ht="13">
      <c r="A191" s="462"/>
      <c r="B191" s="462"/>
      <c r="C191">
        <f>Filtered!I181</f>
        <v>0</v>
      </c>
      <c r="D191">
        <f>Filtered!J181</f>
        <v>0</v>
      </c>
      <c r="E191">
        <f>Filtered!AD181</f>
        <v>0</v>
      </c>
      <c r="N191" s="448"/>
      <c r="O191" s="464"/>
      <c r="R191" s="448"/>
      <c r="S191" s="464"/>
      <c r="V191" s="448"/>
      <c r="W191" s="464"/>
      <c r="Z191" s="448"/>
      <c r="AA191" s="464"/>
      <c r="AD191" s="448"/>
      <c r="AE191" s="464"/>
      <c r="AH191" s="448"/>
      <c r="AI191" s="464"/>
      <c r="AL191" s="448"/>
      <c r="AP191" s="448"/>
    </row>
    <row r="192" spans="1:42" ht="13">
      <c r="A192" s="462"/>
      <c r="B192" s="462"/>
      <c r="C192">
        <f>Filtered!I182</f>
        <v>0</v>
      </c>
      <c r="D192">
        <f>Filtered!J182</f>
        <v>0</v>
      </c>
      <c r="E192">
        <f>Filtered!AD182</f>
        <v>0</v>
      </c>
      <c r="N192" s="448"/>
      <c r="O192" s="464"/>
      <c r="R192" s="448"/>
      <c r="S192" s="464"/>
      <c r="V192" s="448"/>
      <c r="W192" s="464"/>
      <c r="Z192" s="448"/>
      <c r="AA192" s="464"/>
      <c r="AD192" s="448"/>
      <c r="AE192" s="464"/>
      <c r="AH192" s="448"/>
      <c r="AI192" s="464"/>
      <c r="AL192" s="448"/>
      <c r="AP192" s="448"/>
    </row>
    <row r="193" spans="1:42" ht="13">
      <c r="A193" s="462"/>
      <c r="B193" s="462"/>
      <c r="C193">
        <f>Filtered!I183</f>
        <v>0</v>
      </c>
      <c r="D193">
        <f>Filtered!J183</f>
        <v>0</v>
      </c>
      <c r="E193">
        <f>Filtered!AD183</f>
        <v>0</v>
      </c>
      <c r="N193" s="448"/>
      <c r="O193" s="464"/>
      <c r="R193" s="448"/>
      <c r="S193" s="464"/>
      <c r="V193" s="448"/>
      <c r="W193" s="464"/>
      <c r="Z193" s="448"/>
      <c r="AA193" s="464"/>
      <c r="AD193" s="448"/>
      <c r="AE193" s="464"/>
      <c r="AH193" s="448"/>
      <c r="AI193" s="464"/>
      <c r="AL193" s="448"/>
      <c r="AP193" s="448"/>
    </row>
    <row r="194" spans="1:42" ht="13">
      <c r="A194" s="462"/>
      <c r="B194" s="462"/>
      <c r="C194">
        <f>Filtered!I184</f>
        <v>0</v>
      </c>
      <c r="D194">
        <f>Filtered!J184</f>
        <v>0</v>
      </c>
      <c r="E194">
        <f>Filtered!AH184</f>
        <v>0</v>
      </c>
      <c r="N194" s="448"/>
      <c r="O194" s="464"/>
      <c r="R194" s="448"/>
      <c r="S194" s="464"/>
      <c r="V194" s="448"/>
      <c r="W194" s="464"/>
      <c r="Z194" s="448"/>
      <c r="AA194" s="464"/>
      <c r="AD194" s="448"/>
      <c r="AE194" s="464"/>
      <c r="AH194" s="448"/>
      <c r="AI194" s="464"/>
      <c r="AL194" s="448"/>
      <c r="AP194" s="448"/>
    </row>
    <row r="195" spans="1:42" ht="13">
      <c r="A195" s="462"/>
      <c r="B195" s="462"/>
      <c r="C195">
        <f>Filtered!I185</f>
        <v>0</v>
      </c>
      <c r="D195">
        <f>Filtered!J185</f>
        <v>0</v>
      </c>
      <c r="E195">
        <f>Filtered!AI185</f>
        <v>0</v>
      </c>
      <c r="N195" s="448"/>
      <c r="O195" s="464"/>
      <c r="R195" s="448"/>
      <c r="S195" s="464"/>
      <c r="V195" s="448"/>
      <c r="W195" s="464"/>
      <c r="Z195" s="448"/>
      <c r="AA195" s="464"/>
      <c r="AD195" s="448"/>
      <c r="AE195" s="464"/>
      <c r="AH195" s="448"/>
      <c r="AI195" s="464"/>
      <c r="AL195" s="448"/>
      <c r="AP195" s="448"/>
    </row>
    <row r="196" spans="1:42" ht="13">
      <c r="A196" s="462"/>
      <c r="B196" s="462"/>
      <c r="C196">
        <f>Filtered!I186</f>
        <v>0</v>
      </c>
      <c r="D196">
        <f>Filtered!J186</f>
        <v>0</v>
      </c>
      <c r="E196">
        <f>Filtered!L186</f>
        <v>0</v>
      </c>
      <c r="N196" s="448"/>
      <c r="O196" s="464"/>
      <c r="R196" s="448"/>
      <c r="S196" s="464"/>
      <c r="V196" s="448"/>
      <c r="W196" s="464"/>
      <c r="Z196" s="448"/>
      <c r="AA196" s="464"/>
      <c r="AD196" s="448"/>
      <c r="AE196" s="464"/>
      <c r="AH196" s="448"/>
      <c r="AI196" s="464"/>
      <c r="AL196" s="448"/>
      <c r="AP196" s="448"/>
    </row>
    <row r="197" spans="1:42" ht="13">
      <c r="A197" s="462"/>
      <c r="B197" s="462"/>
      <c r="N197" s="448"/>
      <c r="O197" s="464"/>
      <c r="R197" s="448"/>
      <c r="S197" s="464"/>
      <c r="V197" s="448"/>
      <c r="W197" s="464"/>
      <c r="Z197" s="448"/>
      <c r="AA197" s="464"/>
      <c r="AD197" s="448"/>
      <c r="AE197" s="464"/>
      <c r="AH197" s="448"/>
      <c r="AI197" s="464"/>
      <c r="AL197" s="448"/>
      <c r="AP197" s="448"/>
    </row>
    <row r="198" spans="1:42" ht="13">
      <c r="A198" s="462"/>
      <c r="B198" s="462"/>
      <c r="N198" s="448"/>
      <c r="O198" s="464"/>
      <c r="R198" s="448"/>
      <c r="S198" s="464"/>
      <c r="V198" s="448"/>
      <c r="W198" s="464"/>
      <c r="Z198" s="448"/>
      <c r="AA198" s="464"/>
      <c r="AD198" s="448"/>
      <c r="AE198" s="464"/>
      <c r="AH198" s="448"/>
      <c r="AI198" s="464"/>
      <c r="AL198" s="448"/>
      <c r="AP198" s="448"/>
    </row>
    <row r="199" spans="1:42" ht="13">
      <c r="A199" s="462"/>
      <c r="B199" s="462"/>
      <c r="N199" s="448"/>
      <c r="O199" s="464"/>
      <c r="R199" s="448"/>
      <c r="S199" s="464"/>
      <c r="V199" s="448"/>
      <c r="W199" s="464"/>
      <c r="Z199" s="448"/>
      <c r="AA199" s="464"/>
      <c r="AD199" s="448"/>
      <c r="AE199" s="464"/>
      <c r="AH199" s="448"/>
      <c r="AI199" s="464"/>
      <c r="AL199" s="448"/>
      <c r="AP199" s="448"/>
    </row>
    <row r="200" spans="1:42" ht="13">
      <c r="A200" s="462"/>
      <c r="B200" s="462"/>
      <c r="N200" s="448"/>
      <c r="O200" s="464"/>
      <c r="R200" s="448"/>
      <c r="S200" s="464"/>
      <c r="V200" s="448"/>
      <c r="W200" s="464"/>
      <c r="Z200" s="448"/>
      <c r="AA200" s="464"/>
      <c r="AD200" s="448"/>
      <c r="AE200" s="464"/>
      <c r="AH200" s="448"/>
      <c r="AI200" s="464"/>
      <c r="AL200" s="448"/>
      <c r="AP200" s="448"/>
    </row>
    <row r="201" spans="1:42" ht="13">
      <c r="A201" s="462"/>
      <c r="B201" s="462"/>
      <c r="N201" s="448"/>
      <c r="O201" s="464"/>
      <c r="R201" s="448"/>
      <c r="S201" s="464"/>
      <c r="V201" s="448"/>
      <c r="W201" s="464"/>
      <c r="Z201" s="448"/>
      <c r="AA201" s="464"/>
      <c r="AD201" s="448"/>
      <c r="AE201" s="464"/>
      <c r="AH201" s="448"/>
      <c r="AI201" s="464"/>
      <c r="AL201" s="448"/>
      <c r="AP201" s="448"/>
    </row>
    <row r="202" spans="1:42" ht="13">
      <c r="A202" s="462"/>
      <c r="B202" s="462"/>
      <c r="N202" s="448"/>
      <c r="O202" s="464"/>
      <c r="R202" s="448"/>
      <c r="S202" s="464"/>
      <c r="V202" s="448"/>
      <c r="W202" s="464"/>
      <c r="Z202" s="448"/>
      <c r="AA202" s="464"/>
      <c r="AD202" s="448"/>
      <c r="AE202" s="464"/>
      <c r="AH202" s="448"/>
      <c r="AI202" s="464"/>
      <c r="AL202" s="448"/>
      <c r="AP202" s="448"/>
    </row>
    <row r="203" spans="1:42" ht="13">
      <c r="A203" s="462"/>
      <c r="B203" s="462"/>
      <c r="N203" s="448"/>
      <c r="O203" s="464"/>
      <c r="R203" s="448"/>
      <c r="S203" s="464"/>
      <c r="V203" s="448"/>
      <c r="W203" s="464"/>
      <c r="Z203" s="448"/>
      <c r="AA203" s="464"/>
      <c r="AD203" s="448"/>
      <c r="AE203" s="464"/>
      <c r="AH203" s="448"/>
      <c r="AI203" s="464"/>
      <c r="AL203" s="448"/>
      <c r="AP203" s="448"/>
    </row>
    <row r="204" spans="1:42" ht="13">
      <c r="A204" s="462"/>
      <c r="B204" s="462"/>
      <c r="N204" s="448"/>
      <c r="O204" s="464"/>
      <c r="R204" s="448"/>
      <c r="S204" s="464"/>
      <c r="V204" s="448"/>
      <c r="W204" s="464"/>
      <c r="Z204" s="448"/>
      <c r="AA204" s="464"/>
      <c r="AD204" s="448"/>
      <c r="AE204" s="464"/>
      <c r="AH204" s="448"/>
      <c r="AI204" s="464"/>
      <c r="AL204" s="448"/>
      <c r="AP204" s="448"/>
    </row>
    <row r="205" spans="1:42" ht="13">
      <c r="A205" s="462"/>
      <c r="B205" s="462"/>
      <c r="N205" s="448"/>
      <c r="O205" s="464"/>
      <c r="R205" s="448"/>
      <c r="S205" s="464"/>
      <c r="V205" s="448"/>
      <c r="W205" s="464"/>
      <c r="Z205" s="448"/>
      <c r="AA205" s="464"/>
      <c r="AD205" s="448"/>
      <c r="AE205" s="464"/>
      <c r="AH205" s="448"/>
      <c r="AI205" s="464"/>
      <c r="AL205" s="448"/>
      <c r="AP205" s="448"/>
    </row>
    <row r="206" spans="1:42" ht="13">
      <c r="A206" s="462"/>
      <c r="B206" s="462"/>
      <c r="N206" s="448"/>
      <c r="O206" s="464"/>
      <c r="R206" s="448"/>
      <c r="S206" s="464"/>
      <c r="V206" s="448"/>
      <c r="W206" s="464"/>
      <c r="Z206" s="448"/>
      <c r="AA206" s="464"/>
      <c r="AD206" s="448"/>
      <c r="AE206" s="464"/>
      <c r="AH206" s="448"/>
      <c r="AI206" s="464"/>
      <c r="AL206" s="448"/>
      <c r="AP206" s="448"/>
    </row>
    <row r="207" spans="1:42" ht="13">
      <c r="A207" s="462"/>
      <c r="B207" s="462"/>
      <c r="N207" s="448"/>
      <c r="O207" s="464"/>
      <c r="R207" s="448"/>
      <c r="S207" s="464"/>
      <c r="V207" s="448"/>
      <c r="W207" s="464"/>
      <c r="Z207" s="448"/>
      <c r="AA207" s="464"/>
      <c r="AD207" s="448"/>
      <c r="AE207" s="464"/>
      <c r="AH207" s="448"/>
      <c r="AI207" s="464"/>
      <c r="AL207" s="448"/>
      <c r="AP207" s="448"/>
    </row>
    <row r="208" spans="1:42" ht="13">
      <c r="A208" s="462"/>
      <c r="B208" s="462"/>
      <c r="N208" s="448"/>
      <c r="O208" s="464"/>
      <c r="R208" s="448"/>
      <c r="S208" s="464"/>
      <c r="V208" s="448"/>
      <c r="W208" s="464"/>
      <c r="Z208" s="448"/>
      <c r="AA208" s="464"/>
      <c r="AD208" s="448"/>
      <c r="AE208" s="464"/>
      <c r="AH208" s="448"/>
      <c r="AI208" s="464"/>
      <c r="AL208" s="448"/>
      <c r="AP208" s="448"/>
    </row>
    <row r="209" spans="1:42" ht="13">
      <c r="A209" s="462"/>
      <c r="B209" s="462"/>
      <c r="N209" s="448"/>
      <c r="O209" s="464"/>
      <c r="R209" s="448"/>
      <c r="S209" s="464"/>
      <c r="V209" s="448"/>
      <c r="W209" s="464"/>
      <c r="Z209" s="448"/>
      <c r="AA209" s="464"/>
      <c r="AD209" s="448"/>
      <c r="AE209" s="464"/>
      <c r="AH209" s="448"/>
      <c r="AI209" s="464"/>
      <c r="AL209" s="448"/>
      <c r="AP209" s="448"/>
    </row>
    <row r="210" spans="1:42" ht="13">
      <c r="A210" s="462"/>
      <c r="B210" s="462"/>
      <c r="N210" s="448"/>
      <c r="O210" s="464"/>
      <c r="R210" s="448"/>
      <c r="S210" s="464"/>
      <c r="V210" s="448"/>
      <c r="W210" s="464"/>
      <c r="Z210" s="448"/>
      <c r="AA210" s="464"/>
      <c r="AD210" s="448"/>
      <c r="AE210" s="464"/>
      <c r="AH210" s="448"/>
      <c r="AI210" s="464"/>
      <c r="AL210" s="448"/>
      <c r="AP210" s="448"/>
    </row>
    <row r="211" spans="1:42" ht="13">
      <c r="A211" s="462"/>
      <c r="B211" s="462"/>
      <c r="N211" s="448"/>
      <c r="O211" s="464"/>
      <c r="R211" s="448"/>
      <c r="S211" s="464"/>
      <c r="V211" s="448"/>
      <c r="W211" s="464"/>
      <c r="Z211" s="448"/>
      <c r="AA211" s="464"/>
      <c r="AD211" s="448"/>
      <c r="AE211" s="464"/>
      <c r="AH211" s="448"/>
      <c r="AI211" s="464"/>
      <c r="AL211" s="448"/>
      <c r="AP211" s="448"/>
    </row>
    <row r="212" spans="1:42" ht="13">
      <c r="A212" s="462"/>
      <c r="B212" s="462"/>
      <c r="N212" s="448"/>
      <c r="O212" s="464"/>
      <c r="R212" s="448"/>
      <c r="S212" s="464"/>
      <c r="V212" s="448"/>
      <c r="W212" s="464"/>
      <c r="Z212" s="448"/>
      <c r="AA212" s="464"/>
      <c r="AD212" s="448"/>
      <c r="AE212" s="464"/>
      <c r="AH212" s="448"/>
      <c r="AI212" s="464"/>
      <c r="AL212" s="448"/>
      <c r="AP212" s="448"/>
    </row>
    <row r="213" spans="1:42" ht="13">
      <c r="A213" s="462"/>
      <c r="B213" s="462"/>
      <c r="N213" s="448"/>
      <c r="O213" s="464"/>
      <c r="R213" s="448"/>
      <c r="S213" s="464"/>
      <c r="V213" s="448"/>
      <c r="W213" s="464"/>
      <c r="Z213" s="448"/>
      <c r="AA213" s="464"/>
      <c r="AD213" s="448"/>
      <c r="AE213" s="464"/>
      <c r="AH213" s="448"/>
      <c r="AI213" s="464"/>
      <c r="AL213" s="448"/>
      <c r="AP213" s="448"/>
    </row>
    <row r="214" spans="1:42" ht="13">
      <c r="A214" s="462"/>
      <c r="B214" s="462"/>
      <c r="N214" s="448"/>
      <c r="O214" s="464"/>
      <c r="R214" s="448"/>
      <c r="S214" s="464"/>
      <c r="V214" s="448"/>
      <c r="W214" s="464"/>
      <c r="Z214" s="448"/>
      <c r="AA214" s="464"/>
      <c r="AD214" s="448"/>
      <c r="AE214" s="464"/>
      <c r="AH214" s="448"/>
      <c r="AI214" s="464"/>
      <c r="AL214" s="448"/>
      <c r="AP214" s="448"/>
    </row>
    <row r="215" spans="1:42" ht="13">
      <c r="A215" s="462"/>
      <c r="B215" s="462"/>
      <c r="N215" s="448"/>
      <c r="O215" s="464"/>
      <c r="R215" s="448"/>
      <c r="S215" s="464"/>
      <c r="V215" s="448"/>
      <c r="W215" s="464"/>
      <c r="Z215" s="448"/>
      <c r="AA215" s="464"/>
      <c r="AD215" s="448"/>
      <c r="AE215" s="464"/>
      <c r="AH215" s="448"/>
      <c r="AI215" s="464"/>
      <c r="AL215" s="448"/>
      <c r="AP215" s="448"/>
    </row>
    <row r="216" spans="1:42" ht="13">
      <c r="A216" s="462"/>
      <c r="B216" s="462"/>
      <c r="N216" s="448"/>
      <c r="O216" s="464"/>
      <c r="R216" s="448"/>
      <c r="S216" s="464"/>
      <c r="V216" s="448"/>
      <c r="W216" s="464"/>
      <c r="Z216" s="448"/>
      <c r="AA216" s="464"/>
      <c r="AD216" s="448"/>
      <c r="AE216" s="464"/>
      <c r="AH216" s="448"/>
      <c r="AI216" s="464"/>
      <c r="AL216" s="448"/>
      <c r="AP216" s="448"/>
    </row>
    <row r="217" spans="1:42" ht="13">
      <c r="A217" s="462"/>
      <c r="B217" s="462"/>
      <c r="N217" s="448"/>
      <c r="O217" s="464"/>
      <c r="R217" s="448"/>
      <c r="S217" s="464"/>
      <c r="V217" s="448"/>
      <c r="W217" s="464"/>
      <c r="Z217" s="448"/>
      <c r="AA217" s="464"/>
      <c r="AD217" s="448"/>
      <c r="AE217" s="464"/>
      <c r="AH217" s="448"/>
      <c r="AI217" s="464"/>
      <c r="AL217" s="448"/>
      <c r="AP217" s="448"/>
    </row>
    <row r="218" spans="1:42" ht="13">
      <c r="A218" s="462"/>
      <c r="B218" s="462"/>
      <c r="N218" s="448"/>
      <c r="O218" s="464"/>
      <c r="R218" s="448"/>
      <c r="S218" s="464"/>
      <c r="V218" s="448"/>
      <c r="W218" s="464"/>
      <c r="Z218" s="448"/>
      <c r="AA218" s="464"/>
      <c r="AD218" s="448"/>
      <c r="AE218" s="464"/>
      <c r="AH218" s="448"/>
      <c r="AI218" s="464"/>
      <c r="AL218" s="448"/>
      <c r="AP218" s="448"/>
    </row>
    <row r="219" spans="1:42" ht="13">
      <c r="A219" s="462"/>
      <c r="B219" s="462"/>
      <c r="N219" s="448"/>
      <c r="O219" s="464"/>
      <c r="R219" s="448"/>
      <c r="S219" s="464"/>
      <c r="V219" s="448"/>
      <c r="W219" s="464"/>
      <c r="Z219" s="448"/>
      <c r="AA219" s="464"/>
      <c r="AD219" s="448"/>
      <c r="AE219" s="464"/>
      <c r="AH219" s="448"/>
      <c r="AI219" s="464"/>
      <c r="AL219" s="448"/>
      <c r="AP219" s="448"/>
    </row>
    <row r="220" spans="1:42" ht="13">
      <c r="A220" s="462"/>
      <c r="B220" s="462"/>
      <c r="N220" s="448"/>
      <c r="O220" s="464"/>
      <c r="R220" s="448"/>
      <c r="S220" s="464"/>
      <c r="V220" s="448"/>
      <c r="W220" s="464"/>
      <c r="Z220" s="448"/>
      <c r="AA220" s="464"/>
      <c r="AD220" s="448"/>
      <c r="AE220" s="464"/>
      <c r="AH220" s="448"/>
      <c r="AI220" s="464"/>
      <c r="AL220" s="448"/>
      <c r="AP220" s="448"/>
    </row>
    <row r="221" spans="1:42" ht="13">
      <c r="A221" s="462"/>
      <c r="B221" s="462"/>
      <c r="N221" s="448"/>
      <c r="O221" s="464"/>
      <c r="R221" s="448"/>
      <c r="S221" s="464"/>
      <c r="V221" s="448"/>
      <c r="W221" s="464"/>
      <c r="Z221" s="448"/>
      <c r="AA221" s="464"/>
      <c r="AD221" s="448"/>
      <c r="AE221" s="464"/>
      <c r="AH221" s="448"/>
      <c r="AI221" s="464"/>
      <c r="AL221" s="448"/>
      <c r="AP221" s="448"/>
    </row>
    <row r="222" spans="1:42" ht="13">
      <c r="A222" s="462"/>
      <c r="B222" s="462"/>
      <c r="N222" s="448"/>
      <c r="O222" s="464"/>
      <c r="R222" s="448"/>
      <c r="S222" s="464"/>
      <c r="V222" s="448"/>
      <c r="W222" s="464"/>
      <c r="Z222" s="448"/>
      <c r="AA222" s="464"/>
      <c r="AD222" s="448"/>
      <c r="AE222" s="464"/>
      <c r="AH222" s="448"/>
      <c r="AI222" s="464"/>
      <c r="AL222" s="448"/>
      <c r="AP222" s="448"/>
    </row>
    <row r="223" spans="1:42" ht="13">
      <c r="A223" s="462"/>
      <c r="B223" s="462"/>
      <c r="N223" s="448"/>
      <c r="O223" s="464"/>
      <c r="R223" s="448"/>
      <c r="S223" s="464"/>
      <c r="V223" s="448"/>
      <c r="W223" s="464"/>
      <c r="Z223" s="448"/>
      <c r="AA223" s="464"/>
      <c r="AD223" s="448"/>
      <c r="AE223" s="464"/>
      <c r="AH223" s="448"/>
      <c r="AI223" s="464"/>
      <c r="AL223" s="448"/>
      <c r="AP223" s="448"/>
    </row>
    <row r="224" spans="1:42" ht="13">
      <c r="A224" s="462"/>
      <c r="B224" s="462"/>
      <c r="N224" s="448"/>
      <c r="O224" s="464"/>
      <c r="R224" s="448"/>
      <c r="S224" s="464"/>
      <c r="V224" s="448"/>
      <c r="W224" s="464"/>
      <c r="Z224" s="448"/>
      <c r="AA224" s="464"/>
      <c r="AD224" s="448"/>
      <c r="AE224" s="464"/>
      <c r="AH224" s="448"/>
      <c r="AI224" s="464"/>
      <c r="AL224" s="448"/>
      <c r="AP224" s="448"/>
    </row>
    <row r="225" spans="1:42" ht="13">
      <c r="A225" s="462"/>
      <c r="B225" s="462"/>
      <c r="N225" s="448"/>
      <c r="O225" s="464"/>
      <c r="R225" s="448"/>
      <c r="S225" s="464"/>
      <c r="V225" s="448"/>
      <c r="W225" s="464"/>
      <c r="Z225" s="448"/>
      <c r="AA225" s="464"/>
      <c r="AD225" s="448"/>
      <c r="AE225" s="464"/>
      <c r="AH225" s="448"/>
      <c r="AI225" s="464"/>
      <c r="AL225" s="448"/>
      <c r="AP225" s="448"/>
    </row>
    <row r="226" spans="1:42" ht="13">
      <c r="A226" s="462"/>
      <c r="B226" s="462"/>
      <c r="N226" s="448"/>
      <c r="O226" s="464"/>
      <c r="R226" s="448"/>
      <c r="S226" s="464"/>
      <c r="V226" s="448"/>
      <c r="W226" s="464"/>
      <c r="Z226" s="448"/>
      <c r="AA226" s="464"/>
      <c r="AD226" s="448"/>
      <c r="AE226" s="464"/>
      <c r="AH226" s="448"/>
      <c r="AI226" s="464"/>
      <c r="AL226" s="448"/>
      <c r="AP226" s="448"/>
    </row>
    <row r="227" spans="1:42" ht="13">
      <c r="A227" s="462"/>
      <c r="B227" s="462"/>
      <c r="N227" s="448"/>
      <c r="O227" s="464"/>
      <c r="R227" s="448"/>
      <c r="S227" s="464"/>
      <c r="V227" s="448"/>
      <c r="W227" s="464"/>
      <c r="Z227" s="448"/>
      <c r="AA227" s="464"/>
      <c r="AD227" s="448"/>
      <c r="AE227" s="464"/>
      <c r="AH227" s="448"/>
      <c r="AI227" s="464"/>
      <c r="AL227" s="448"/>
      <c r="AP227" s="448"/>
    </row>
    <row r="228" spans="1:42" ht="13">
      <c r="A228" s="462"/>
      <c r="B228" s="462"/>
      <c r="N228" s="448"/>
      <c r="O228" s="464"/>
      <c r="R228" s="448"/>
      <c r="S228" s="464"/>
      <c r="V228" s="448"/>
      <c r="W228" s="464"/>
      <c r="Z228" s="448"/>
      <c r="AA228" s="464"/>
      <c r="AD228" s="448"/>
      <c r="AE228" s="464"/>
      <c r="AH228" s="448"/>
      <c r="AI228" s="464"/>
      <c r="AL228" s="448"/>
      <c r="AP228" s="448"/>
    </row>
    <row r="229" spans="1:42" ht="13">
      <c r="A229" s="462"/>
      <c r="B229" s="462"/>
      <c r="N229" s="448"/>
      <c r="O229" s="464"/>
      <c r="R229" s="448"/>
      <c r="S229" s="464"/>
      <c r="V229" s="448"/>
      <c r="W229" s="464"/>
      <c r="Z229" s="448"/>
      <c r="AA229" s="464"/>
      <c r="AD229" s="448"/>
      <c r="AE229" s="464"/>
      <c r="AH229" s="448"/>
      <c r="AI229" s="464"/>
      <c r="AL229" s="448"/>
      <c r="AP229" s="448"/>
    </row>
    <row r="230" spans="1:42" ht="13">
      <c r="A230" s="462"/>
      <c r="B230" s="462"/>
      <c r="N230" s="448"/>
      <c r="O230" s="464"/>
      <c r="R230" s="448"/>
      <c r="S230" s="464"/>
      <c r="V230" s="448"/>
      <c r="W230" s="464"/>
      <c r="Z230" s="448"/>
      <c r="AA230" s="464"/>
      <c r="AD230" s="448"/>
      <c r="AE230" s="464"/>
      <c r="AH230" s="448"/>
      <c r="AI230" s="464"/>
      <c r="AL230" s="448"/>
      <c r="AP230" s="448"/>
    </row>
    <row r="231" spans="1:42" ht="13">
      <c r="A231" s="462"/>
      <c r="B231" s="462"/>
      <c r="N231" s="448"/>
      <c r="O231" s="464"/>
      <c r="R231" s="448"/>
      <c r="S231" s="464"/>
      <c r="V231" s="448"/>
      <c r="W231" s="464"/>
      <c r="Z231" s="448"/>
      <c r="AA231" s="464"/>
      <c r="AD231" s="448"/>
      <c r="AE231" s="464"/>
      <c r="AH231" s="448"/>
      <c r="AI231" s="464"/>
      <c r="AL231" s="448"/>
      <c r="AP231" s="448"/>
    </row>
    <row r="232" spans="1:42" ht="13">
      <c r="A232" s="462"/>
      <c r="B232" s="462"/>
      <c r="N232" s="448"/>
      <c r="O232" s="464"/>
      <c r="R232" s="448"/>
      <c r="S232" s="464"/>
      <c r="V232" s="448"/>
      <c r="W232" s="464"/>
      <c r="Z232" s="448"/>
      <c r="AA232" s="464"/>
      <c r="AD232" s="448"/>
      <c r="AE232" s="464"/>
      <c r="AH232" s="448"/>
      <c r="AI232" s="464"/>
      <c r="AL232" s="448"/>
      <c r="AP232" s="448"/>
    </row>
    <row r="233" spans="1:42" ht="13">
      <c r="A233" s="462"/>
      <c r="B233" s="462"/>
      <c r="N233" s="448"/>
      <c r="O233" s="464"/>
      <c r="R233" s="448"/>
      <c r="S233" s="464"/>
      <c r="V233" s="448"/>
      <c r="W233" s="464"/>
      <c r="Z233" s="448"/>
      <c r="AA233" s="464"/>
      <c r="AD233" s="448"/>
      <c r="AE233" s="464"/>
      <c r="AH233" s="448"/>
      <c r="AI233" s="464"/>
      <c r="AL233" s="448"/>
      <c r="AP233" s="448"/>
    </row>
    <row r="234" spans="1:42" ht="13">
      <c r="A234" s="462"/>
      <c r="B234" s="462"/>
      <c r="N234" s="448"/>
      <c r="O234" s="464"/>
      <c r="R234" s="448"/>
      <c r="S234" s="464"/>
      <c r="V234" s="448"/>
      <c r="W234" s="464"/>
      <c r="Z234" s="448"/>
      <c r="AA234" s="464"/>
      <c r="AD234" s="448"/>
      <c r="AE234" s="464"/>
      <c r="AH234" s="448"/>
      <c r="AI234" s="464"/>
      <c r="AL234" s="448"/>
      <c r="AP234" s="448"/>
    </row>
    <row r="235" spans="1:42" ht="13">
      <c r="A235" s="462"/>
      <c r="B235" s="462"/>
      <c r="N235" s="448"/>
      <c r="O235" s="464"/>
      <c r="R235" s="448"/>
      <c r="S235" s="464"/>
      <c r="V235" s="448"/>
      <c r="W235" s="464"/>
      <c r="Z235" s="448"/>
      <c r="AA235" s="464"/>
      <c r="AD235" s="448"/>
      <c r="AE235" s="464"/>
      <c r="AH235" s="448"/>
      <c r="AI235" s="464"/>
      <c r="AL235" s="448"/>
      <c r="AP235" s="448"/>
    </row>
    <row r="236" spans="1:42" ht="13">
      <c r="A236" s="462"/>
      <c r="B236" s="462"/>
      <c r="N236" s="448"/>
      <c r="O236" s="464"/>
      <c r="R236" s="448"/>
      <c r="S236" s="464"/>
      <c r="V236" s="448"/>
      <c r="W236" s="464"/>
      <c r="Z236" s="448"/>
      <c r="AA236" s="464"/>
      <c r="AD236" s="448"/>
      <c r="AE236" s="464"/>
      <c r="AH236" s="448"/>
      <c r="AI236" s="464"/>
      <c r="AL236" s="448"/>
      <c r="AP236" s="448"/>
    </row>
    <row r="237" spans="1:42" ht="13">
      <c r="A237" s="462"/>
      <c r="B237" s="462"/>
      <c r="N237" s="448"/>
      <c r="O237" s="464"/>
      <c r="R237" s="448"/>
      <c r="S237" s="464"/>
      <c r="V237" s="448"/>
      <c r="W237" s="464"/>
      <c r="Z237" s="448"/>
      <c r="AA237" s="464"/>
      <c r="AD237" s="448"/>
      <c r="AE237" s="464"/>
      <c r="AH237" s="448"/>
      <c r="AI237" s="464"/>
      <c r="AL237" s="448"/>
      <c r="AP237" s="448"/>
    </row>
    <row r="238" spans="1:42" ht="13">
      <c r="A238" s="462"/>
      <c r="B238" s="462"/>
      <c r="N238" s="448"/>
      <c r="O238" s="464"/>
      <c r="R238" s="448"/>
      <c r="S238" s="464"/>
      <c r="V238" s="448"/>
      <c r="W238" s="464"/>
      <c r="Z238" s="448"/>
      <c r="AA238" s="464"/>
      <c r="AD238" s="448"/>
      <c r="AE238" s="464"/>
      <c r="AH238" s="448"/>
      <c r="AI238" s="464"/>
      <c r="AL238" s="448"/>
      <c r="AP238" s="448"/>
    </row>
    <row r="239" spans="1:42" ht="13">
      <c r="A239" s="462"/>
      <c r="B239" s="462"/>
      <c r="N239" s="448"/>
      <c r="O239" s="464"/>
      <c r="R239" s="448"/>
      <c r="S239" s="464"/>
      <c r="V239" s="448"/>
      <c r="W239" s="464"/>
      <c r="Z239" s="448"/>
      <c r="AA239" s="464"/>
      <c r="AD239" s="448"/>
      <c r="AE239" s="464"/>
      <c r="AH239" s="448"/>
      <c r="AI239" s="464"/>
      <c r="AL239" s="448"/>
      <c r="AP239" s="448"/>
    </row>
    <row r="240" spans="1:42" ht="13">
      <c r="A240" s="462"/>
      <c r="B240" s="462"/>
      <c r="N240" s="448"/>
      <c r="O240" s="464"/>
      <c r="R240" s="448"/>
      <c r="S240" s="464"/>
      <c r="V240" s="448"/>
      <c r="W240" s="464"/>
      <c r="Z240" s="448"/>
      <c r="AA240" s="464"/>
      <c r="AD240" s="448"/>
      <c r="AE240" s="464"/>
      <c r="AH240" s="448"/>
      <c r="AI240" s="464"/>
      <c r="AL240" s="448"/>
      <c r="AP240" s="448"/>
    </row>
    <row r="241" spans="1:42" ht="13">
      <c r="A241" s="462"/>
      <c r="B241" s="462"/>
      <c r="N241" s="448"/>
      <c r="O241" s="464"/>
      <c r="R241" s="448"/>
      <c r="S241" s="464"/>
      <c r="V241" s="448"/>
      <c r="W241" s="464"/>
      <c r="Z241" s="448"/>
      <c r="AA241" s="464"/>
      <c r="AD241" s="448"/>
      <c r="AE241" s="464"/>
      <c r="AH241" s="448"/>
      <c r="AI241" s="464"/>
      <c r="AL241" s="448"/>
      <c r="AP241" s="448"/>
    </row>
    <row r="242" spans="1:42" ht="13">
      <c r="A242" s="462"/>
      <c r="B242" s="462"/>
      <c r="N242" s="448"/>
      <c r="O242" s="464"/>
      <c r="R242" s="448"/>
      <c r="S242" s="464"/>
      <c r="V242" s="448"/>
      <c r="W242" s="464"/>
      <c r="Z242" s="448"/>
      <c r="AA242" s="464"/>
      <c r="AD242" s="448"/>
      <c r="AE242" s="464"/>
      <c r="AH242" s="448"/>
      <c r="AI242" s="464"/>
      <c r="AL242" s="448"/>
      <c r="AP242" s="448"/>
    </row>
    <row r="243" spans="1:42" ht="13">
      <c r="A243" s="462"/>
      <c r="B243" s="462"/>
      <c r="N243" s="448"/>
      <c r="O243" s="464"/>
      <c r="R243" s="448"/>
      <c r="S243" s="464"/>
      <c r="V243" s="448"/>
      <c r="W243" s="464"/>
      <c r="Z243" s="448"/>
      <c r="AA243" s="464"/>
      <c r="AD243" s="448"/>
      <c r="AE243" s="464"/>
      <c r="AH243" s="448"/>
      <c r="AI243" s="464"/>
      <c r="AL243" s="448"/>
      <c r="AP243" s="448"/>
    </row>
    <row r="244" spans="1:42" ht="13">
      <c r="A244" s="462"/>
      <c r="B244" s="462"/>
      <c r="N244" s="448"/>
      <c r="O244" s="464"/>
      <c r="R244" s="448"/>
      <c r="S244" s="464"/>
      <c r="V244" s="448"/>
      <c r="W244" s="464"/>
      <c r="Z244" s="448"/>
      <c r="AA244" s="464"/>
      <c r="AD244" s="448"/>
      <c r="AE244" s="464"/>
      <c r="AH244" s="448"/>
      <c r="AI244" s="464"/>
      <c r="AL244" s="448"/>
      <c r="AP244" s="448"/>
    </row>
    <row r="245" spans="1:42" ht="13">
      <c r="A245" s="462"/>
      <c r="B245" s="462"/>
      <c r="N245" s="448"/>
      <c r="O245" s="464"/>
      <c r="R245" s="448"/>
      <c r="S245" s="464"/>
      <c r="V245" s="448"/>
      <c r="W245" s="464"/>
      <c r="Z245" s="448"/>
      <c r="AA245" s="464"/>
      <c r="AD245" s="448"/>
      <c r="AE245" s="464"/>
      <c r="AH245" s="448"/>
      <c r="AI245" s="464"/>
      <c r="AL245" s="448"/>
      <c r="AP245" s="448"/>
    </row>
    <row r="246" spans="1:42" ht="13">
      <c r="A246" s="462"/>
      <c r="B246" s="462"/>
      <c r="N246" s="448"/>
      <c r="O246" s="464"/>
      <c r="R246" s="448"/>
      <c r="S246" s="464"/>
      <c r="V246" s="448"/>
      <c r="W246" s="464"/>
      <c r="Z246" s="448"/>
      <c r="AA246" s="464"/>
      <c r="AD246" s="448"/>
      <c r="AE246" s="464"/>
      <c r="AH246" s="448"/>
      <c r="AI246" s="464"/>
      <c r="AL246" s="448"/>
      <c r="AP246" s="448"/>
    </row>
    <row r="247" spans="1:42" ht="13">
      <c r="A247" s="462"/>
      <c r="B247" s="462"/>
      <c r="N247" s="448"/>
      <c r="O247" s="464"/>
      <c r="R247" s="448"/>
      <c r="S247" s="464"/>
      <c r="V247" s="448"/>
      <c r="W247" s="464"/>
      <c r="Z247" s="448"/>
      <c r="AA247" s="464"/>
      <c r="AD247" s="448"/>
      <c r="AE247" s="464"/>
      <c r="AH247" s="448"/>
      <c r="AI247" s="464"/>
      <c r="AL247" s="448"/>
      <c r="AP247" s="448"/>
    </row>
    <row r="248" spans="1:42" ht="13">
      <c r="A248" s="462"/>
      <c r="B248" s="462"/>
      <c r="N248" s="448"/>
      <c r="O248" s="464"/>
      <c r="R248" s="448"/>
      <c r="S248" s="464"/>
      <c r="V248" s="448"/>
      <c r="W248" s="464"/>
      <c r="Z248" s="448"/>
      <c r="AA248" s="464"/>
      <c r="AD248" s="448"/>
      <c r="AE248" s="464"/>
      <c r="AH248" s="448"/>
      <c r="AI248" s="464"/>
      <c r="AL248" s="448"/>
      <c r="AP248" s="448"/>
    </row>
    <row r="249" spans="1:42" ht="13">
      <c r="A249" s="462"/>
      <c r="B249" s="462"/>
      <c r="N249" s="448"/>
      <c r="O249" s="464"/>
      <c r="R249" s="448"/>
      <c r="S249" s="464"/>
      <c r="V249" s="448"/>
      <c r="W249" s="464"/>
      <c r="Z249" s="448"/>
      <c r="AA249" s="464"/>
      <c r="AD249" s="448"/>
      <c r="AE249" s="464"/>
      <c r="AH249" s="448"/>
      <c r="AI249" s="464"/>
      <c r="AL249" s="448"/>
      <c r="AP249" s="448"/>
    </row>
    <row r="250" spans="1:42" ht="13">
      <c r="A250" s="462"/>
      <c r="B250" s="462"/>
      <c r="N250" s="448"/>
      <c r="O250" s="464"/>
      <c r="R250" s="448"/>
      <c r="S250" s="464"/>
      <c r="V250" s="448"/>
      <c r="W250" s="464"/>
      <c r="Z250" s="448"/>
      <c r="AA250" s="464"/>
      <c r="AD250" s="448"/>
      <c r="AE250" s="464"/>
      <c r="AH250" s="448"/>
      <c r="AI250" s="464"/>
      <c r="AL250" s="448"/>
      <c r="AP250" s="448"/>
    </row>
    <row r="251" spans="1:42" ht="13">
      <c r="A251" s="462"/>
      <c r="B251" s="462"/>
      <c r="N251" s="448"/>
      <c r="O251" s="464"/>
      <c r="R251" s="448"/>
      <c r="S251" s="464"/>
      <c r="V251" s="448"/>
      <c r="W251" s="464"/>
      <c r="Z251" s="448"/>
      <c r="AA251" s="464"/>
      <c r="AD251" s="448"/>
      <c r="AE251" s="464"/>
      <c r="AH251" s="448"/>
      <c r="AI251" s="464"/>
      <c r="AL251" s="448"/>
      <c r="AP251" s="448"/>
    </row>
    <row r="252" spans="1:42" ht="13">
      <c r="A252" s="462"/>
      <c r="B252" s="462"/>
      <c r="N252" s="448"/>
      <c r="O252" s="464"/>
      <c r="R252" s="448"/>
      <c r="S252" s="464"/>
      <c r="V252" s="448"/>
      <c r="W252" s="464"/>
      <c r="Z252" s="448"/>
      <c r="AA252" s="464"/>
      <c r="AD252" s="448"/>
      <c r="AE252" s="464"/>
      <c r="AH252" s="448"/>
      <c r="AI252" s="464"/>
      <c r="AL252" s="448"/>
      <c r="AP252" s="448"/>
    </row>
    <row r="253" spans="1:42" ht="13">
      <c r="A253" s="462"/>
      <c r="B253" s="462"/>
      <c r="N253" s="448"/>
      <c r="O253" s="464"/>
      <c r="R253" s="448"/>
      <c r="S253" s="464"/>
      <c r="V253" s="448"/>
      <c r="W253" s="464"/>
      <c r="Z253" s="448"/>
      <c r="AA253" s="464"/>
      <c r="AD253" s="448"/>
      <c r="AE253" s="464"/>
      <c r="AH253" s="448"/>
      <c r="AI253" s="464"/>
      <c r="AL253" s="448"/>
      <c r="AP253" s="448"/>
    </row>
    <row r="254" spans="1:42" ht="13">
      <c r="A254" s="462"/>
      <c r="B254" s="462"/>
      <c r="N254" s="448"/>
      <c r="O254" s="464"/>
      <c r="R254" s="448"/>
      <c r="S254" s="464"/>
      <c r="V254" s="448"/>
      <c r="W254" s="464"/>
      <c r="Z254" s="448"/>
      <c r="AA254" s="464"/>
      <c r="AD254" s="448"/>
      <c r="AE254" s="464"/>
      <c r="AH254" s="448"/>
      <c r="AI254" s="464"/>
      <c r="AL254" s="448"/>
      <c r="AP254" s="448"/>
    </row>
    <row r="255" spans="1:42" ht="13">
      <c r="A255" s="462"/>
      <c r="B255" s="462"/>
      <c r="N255" s="448"/>
      <c r="O255" s="464"/>
      <c r="R255" s="448"/>
      <c r="S255" s="464"/>
      <c r="V255" s="448"/>
      <c r="W255" s="464"/>
      <c r="Z255" s="448"/>
      <c r="AA255" s="464"/>
      <c r="AD255" s="448"/>
      <c r="AE255" s="464"/>
      <c r="AH255" s="448"/>
      <c r="AI255" s="464"/>
      <c r="AL255" s="448"/>
      <c r="AP255" s="448"/>
    </row>
    <row r="256" spans="1:42" ht="13">
      <c r="A256" s="462"/>
      <c r="B256" s="462"/>
      <c r="N256" s="448"/>
      <c r="O256" s="464"/>
      <c r="R256" s="448"/>
      <c r="S256" s="464"/>
      <c r="V256" s="448"/>
      <c r="W256" s="464"/>
      <c r="Z256" s="448"/>
      <c r="AA256" s="464"/>
      <c r="AD256" s="448"/>
      <c r="AE256" s="464"/>
      <c r="AH256" s="448"/>
      <c r="AI256" s="464"/>
      <c r="AL256" s="448"/>
      <c r="AP256" s="448"/>
    </row>
    <row r="257" spans="1:42" ht="13">
      <c r="A257" s="462"/>
      <c r="B257" s="462"/>
      <c r="N257" s="448"/>
      <c r="O257" s="464"/>
      <c r="R257" s="448"/>
      <c r="S257" s="464"/>
      <c r="V257" s="448"/>
      <c r="W257" s="464"/>
      <c r="Z257" s="448"/>
      <c r="AA257" s="464"/>
      <c r="AD257" s="448"/>
      <c r="AE257" s="464"/>
      <c r="AH257" s="448"/>
      <c r="AI257" s="464"/>
      <c r="AL257" s="448"/>
      <c r="AP257" s="448"/>
    </row>
    <row r="258" spans="1:42" ht="13">
      <c r="A258" s="462"/>
      <c r="B258" s="462"/>
      <c r="N258" s="448"/>
      <c r="O258" s="464"/>
      <c r="R258" s="448"/>
      <c r="S258" s="464"/>
      <c r="V258" s="448"/>
      <c r="W258" s="464"/>
      <c r="Z258" s="448"/>
      <c r="AA258" s="464"/>
      <c r="AD258" s="448"/>
      <c r="AE258" s="464"/>
      <c r="AH258" s="448"/>
      <c r="AI258" s="464"/>
      <c r="AL258" s="448"/>
      <c r="AP258" s="448"/>
    </row>
    <row r="259" spans="1:42" ht="13">
      <c r="A259" s="462"/>
      <c r="B259" s="462"/>
      <c r="N259" s="448"/>
      <c r="O259" s="464"/>
      <c r="R259" s="448"/>
      <c r="S259" s="464"/>
      <c r="V259" s="448"/>
      <c r="W259" s="464"/>
      <c r="Z259" s="448"/>
      <c r="AA259" s="464"/>
      <c r="AD259" s="448"/>
      <c r="AE259" s="464"/>
      <c r="AH259" s="448"/>
      <c r="AI259" s="464"/>
      <c r="AL259" s="448"/>
      <c r="AP259" s="448"/>
    </row>
    <row r="260" spans="1:42" ht="13">
      <c r="A260" s="462"/>
      <c r="B260" s="462"/>
      <c r="N260" s="448"/>
      <c r="O260" s="464"/>
      <c r="R260" s="448"/>
      <c r="S260" s="464"/>
      <c r="V260" s="448"/>
      <c r="W260" s="464"/>
      <c r="Z260" s="448"/>
      <c r="AA260" s="464"/>
      <c r="AD260" s="448"/>
      <c r="AE260" s="464"/>
      <c r="AH260" s="448"/>
      <c r="AI260" s="464"/>
      <c r="AL260" s="448"/>
      <c r="AP260" s="448"/>
    </row>
    <row r="261" spans="1:42" ht="13">
      <c r="A261" s="462"/>
      <c r="B261" s="462"/>
      <c r="N261" s="448"/>
      <c r="O261" s="464"/>
      <c r="R261" s="448"/>
      <c r="S261" s="464"/>
      <c r="V261" s="448"/>
      <c r="W261" s="464"/>
      <c r="Z261" s="448"/>
      <c r="AA261" s="464"/>
      <c r="AD261" s="448"/>
      <c r="AE261" s="464"/>
      <c r="AH261" s="448"/>
      <c r="AI261" s="464"/>
      <c r="AL261" s="448"/>
      <c r="AP261" s="448"/>
    </row>
    <row r="262" spans="1:42" ht="13">
      <c r="A262" s="462"/>
      <c r="B262" s="462"/>
      <c r="N262" s="448"/>
      <c r="O262" s="464"/>
      <c r="R262" s="448"/>
      <c r="S262" s="464"/>
      <c r="V262" s="448"/>
      <c r="W262" s="464"/>
      <c r="Z262" s="448"/>
      <c r="AA262" s="464"/>
      <c r="AD262" s="448"/>
      <c r="AE262" s="464"/>
      <c r="AH262" s="448"/>
      <c r="AI262" s="464"/>
      <c r="AL262" s="448"/>
      <c r="AP262" s="448"/>
    </row>
    <row r="263" spans="1:42" ht="13">
      <c r="A263" s="462"/>
      <c r="B263" s="462"/>
      <c r="N263" s="448"/>
      <c r="O263" s="464"/>
      <c r="R263" s="448"/>
      <c r="S263" s="464"/>
      <c r="V263" s="448"/>
      <c r="W263" s="464"/>
      <c r="Z263" s="448"/>
      <c r="AA263" s="464"/>
      <c r="AD263" s="448"/>
      <c r="AE263" s="464"/>
      <c r="AH263" s="448"/>
      <c r="AI263" s="464"/>
      <c r="AL263" s="448"/>
      <c r="AP263" s="448"/>
    </row>
    <row r="264" spans="1:42" ht="13">
      <c r="A264" s="462"/>
      <c r="B264" s="462"/>
      <c r="N264" s="448"/>
      <c r="O264" s="464"/>
      <c r="R264" s="448"/>
      <c r="S264" s="464"/>
      <c r="V264" s="448"/>
      <c r="W264" s="464"/>
      <c r="Z264" s="448"/>
      <c r="AA264" s="464"/>
      <c r="AD264" s="448"/>
      <c r="AE264" s="464"/>
      <c r="AH264" s="448"/>
      <c r="AI264" s="464"/>
      <c r="AL264" s="448"/>
      <c r="AP264" s="448"/>
    </row>
    <row r="265" spans="1:42" ht="13">
      <c r="A265" s="462"/>
      <c r="B265" s="462"/>
      <c r="N265" s="448"/>
      <c r="O265" s="464"/>
      <c r="R265" s="448"/>
      <c r="S265" s="464"/>
      <c r="V265" s="448"/>
      <c r="W265" s="464"/>
      <c r="Z265" s="448"/>
      <c r="AA265" s="464"/>
      <c r="AD265" s="448"/>
      <c r="AE265" s="464"/>
      <c r="AH265" s="448"/>
      <c r="AI265" s="464"/>
      <c r="AL265" s="448"/>
      <c r="AP265" s="448"/>
    </row>
    <row r="266" spans="1:42" ht="13">
      <c r="A266" s="462"/>
      <c r="B266" s="462"/>
      <c r="N266" s="448"/>
      <c r="O266" s="464"/>
      <c r="R266" s="448"/>
      <c r="S266" s="464"/>
      <c r="V266" s="448"/>
      <c r="W266" s="464"/>
      <c r="Z266" s="448"/>
      <c r="AA266" s="464"/>
      <c r="AD266" s="448"/>
      <c r="AE266" s="464"/>
      <c r="AH266" s="448"/>
      <c r="AI266" s="464"/>
      <c r="AL266" s="448"/>
      <c r="AP266" s="448"/>
    </row>
    <row r="267" spans="1:42" ht="13">
      <c r="A267" s="462"/>
      <c r="B267" s="462"/>
      <c r="N267" s="448"/>
      <c r="O267" s="464"/>
      <c r="R267" s="448"/>
      <c r="S267" s="464"/>
      <c r="V267" s="448"/>
      <c r="W267" s="464"/>
      <c r="Z267" s="448"/>
      <c r="AA267" s="464"/>
      <c r="AD267" s="448"/>
      <c r="AE267" s="464"/>
      <c r="AH267" s="448"/>
      <c r="AI267" s="464"/>
      <c r="AL267" s="448"/>
      <c r="AP267" s="448"/>
    </row>
    <row r="268" spans="1:42" ht="13">
      <c r="A268" s="462"/>
      <c r="B268" s="462"/>
      <c r="N268" s="448"/>
      <c r="O268" s="464"/>
      <c r="R268" s="448"/>
      <c r="S268" s="464"/>
      <c r="V268" s="448"/>
      <c r="W268" s="464"/>
      <c r="Z268" s="448"/>
      <c r="AA268" s="464"/>
      <c r="AD268" s="448"/>
      <c r="AE268" s="464"/>
      <c r="AH268" s="448"/>
      <c r="AI268" s="464"/>
      <c r="AL268" s="448"/>
      <c r="AP268" s="448"/>
    </row>
    <row r="269" spans="1:42" ht="13">
      <c r="A269" s="462"/>
      <c r="B269" s="462"/>
      <c r="N269" s="448"/>
      <c r="O269" s="464"/>
      <c r="R269" s="448"/>
      <c r="S269" s="464"/>
      <c r="V269" s="448"/>
      <c r="W269" s="464"/>
      <c r="Z269" s="448"/>
      <c r="AA269" s="464"/>
      <c r="AD269" s="448"/>
      <c r="AE269" s="464"/>
      <c r="AH269" s="448"/>
      <c r="AI269" s="464"/>
      <c r="AL269" s="448"/>
      <c r="AP269" s="448"/>
    </row>
    <row r="270" spans="1:42" ht="13">
      <c r="A270" s="462"/>
      <c r="B270" s="462"/>
      <c r="N270" s="448"/>
      <c r="O270" s="464"/>
      <c r="R270" s="448"/>
      <c r="S270" s="464"/>
      <c r="V270" s="448"/>
      <c r="W270" s="464"/>
      <c r="Z270" s="448"/>
      <c r="AA270" s="464"/>
      <c r="AD270" s="448"/>
      <c r="AE270" s="464"/>
      <c r="AH270" s="448"/>
      <c r="AI270" s="464"/>
      <c r="AL270" s="448"/>
      <c r="AP270" s="448"/>
    </row>
    <row r="271" spans="1:42" ht="13">
      <c r="A271" s="462"/>
      <c r="B271" s="462"/>
      <c r="N271" s="448"/>
      <c r="O271" s="464"/>
      <c r="R271" s="448"/>
      <c r="S271" s="464"/>
      <c r="V271" s="448"/>
      <c r="W271" s="464"/>
      <c r="Z271" s="448"/>
      <c r="AA271" s="464"/>
      <c r="AD271" s="448"/>
      <c r="AE271" s="464"/>
      <c r="AH271" s="448"/>
      <c r="AI271" s="464"/>
      <c r="AL271" s="448"/>
      <c r="AP271" s="448"/>
    </row>
    <row r="272" spans="1:42" ht="13">
      <c r="A272" s="462"/>
      <c r="B272" s="462"/>
      <c r="N272" s="448"/>
      <c r="O272" s="464"/>
      <c r="R272" s="448"/>
      <c r="S272" s="464"/>
      <c r="V272" s="448"/>
      <c r="W272" s="464"/>
      <c r="Z272" s="448"/>
      <c r="AA272" s="464"/>
      <c r="AD272" s="448"/>
      <c r="AE272" s="464"/>
      <c r="AH272" s="448"/>
      <c r="AI272" s="464"/>
      <c r="AL272" s="448"/>
      <c r="AP272" s="448"/>
    </row>
    <row r="273" spans="1:42" ht="13">
      <c r="A273" s="462"/>
      <c r="B273" s="462"/>
      <c r="N273" s="448"/>
      <c r="O273" s="464"/>
      <c r="R273" s="448"/>
      <c r="S273" s="464"/>
      <c r="V273" s="448"/>
      <c r="W273" s="464"/>
      <c r="Z273" s="448"/>
      <c r="AA273" s="464"/>
      <c r="AD273" s="448"/>
      <c r="AE273" s="464"/>
      <c r="AH273" s="448"/>
      <c r="AI273" s="464"/>
      <c r="AL273" s="448"/>
      <c r="AP273" s="448"/>
    </row>
    <row r="274" spans="1:42" ht="13">
      <c r="A274" s="462"/>
      <c r="B274" s="462"/>
      <c r="N274" s="448"/>
      <c r="O274" s="464"/>
      <c r="R274" s="448"/>
      <c r="S274" s="464"/>
      <c r="V274" s="448"/>
      <c r="W274" s="464"/>
      <c r="Z274" s="448"/>
      <c r="AA274" s="464"/>
      <c r="AD274" s="448"/>
      <c r="AE274" s="464"/>
      <c r="AH274" s="448"/>
      <c r="AI274" s="464"/>
      <c r="AL274" s="448"/>
      <c r="AP274" s="448"/>
    </row>
    <row r="275" spans="1:42" ht="13">
      <c r="A275" s="462"/>
      <c r="B275" s="462"/>
      <c r="N275" s="448"/>
      <c r="O275" s="464"/>
      <c r="R275" s="448"/>
      <c r="S275" s="464"/>
      <c r="V275" s="448"/>
      <c r="W275" s="464"/>
      <c r="Z275" s="448"/>
      <c r="AA275" s="464"/>
      <c r="AD275" s="448"/>
      <c r="AE275" s="464"/>
      <c r="AH275" s="448"/>
      <c r="AI275" s="464"/>
      <c r="AL275" s="448"/>
      <c r="AP275" s="448"/>
    </row>
    <row r="276" spans="1:42" ht="13">
      <c r="A276" s="462"/>
      <c r="B276" s="462"/>
      <c r="N276" s="448"/>
      <c r="O276" s="464"/>
      <c r="R276" s="448"/>
      <c r="S276" s="464"/>
      <c r="V276" s="448"/>
      <c r="W276" s="464"/>
      <c r="Z276" s="448"/>
      <c r="AA276" s="464"/>
      <c r="AD276" s="448"/>
      <c r="AE276" s="464"/>
      <c r="AH276" s="448"/>
      <c r="AI276" s="464"/>
      <c r="AL276" s="448"/>
      <c r="AP276" s="448"/>
    </row>
    <row r="277" spans="1:42" ht="13">
      <c r="A277" s="462"/>
      <c r="B277" s="462"/>
      <c r="N277" s="448"/>
      <c r="O277" s="464"/>
      <c r="R277" s="448"/>
      <c r="S277" s="464"/>
      <c r="V277" s="448"/>
      <c r="W277" s="464"/>
      <c r="Z277" s="448"/>
      <c r="AA277" s="464"/>
      <c r="AD277" s="448"/>
      <c r="AE277" s="464"/>
      <c r="AH277" s="448"/>
      <c r="AI277" s="464"/>
      <c r="AL277" s="448"/>
      <c r="AP277" s="448"/>
    </row>
    <row r="278" spans="1:42" ht="13">
      <c r="A278" s="462"/>
      <c r="B278" s="462"/>
      <c r="N278" s="448"/>
      <c r="O278" s="464"/>
      <c r="R278" s="448"/>
      <c r="S278" s="464"/>
      <c r="V278" s="448"/>
      <c r="W278" s="464"/>
      <c r="Z278" s="448"/>
      <c r="AA278" s="464"/>
      <c r="AD278" s="448"/>
      <c r="AE278" s="464"/>
      <c r="AH278" s="448"/>
      <c r="AI278" s="464"/>
      <c r="AL278" s="448"/>
      <c r="AP278" s="448"/>
    </row>
    <row r="279" spans="1:42" ht="13">
      <c r="A279" s="462"/>
      <c r="B279" s="462"/>
      <c r="N279" s="448"/>
      <c r="O279" s="464"/>
      <c r="R279" s="448"/>
      <c r="S279" s="464"/>
      <c r="V279" s="448"/>
      <c r="W279" s="464"/>
      <c r="Z279" s="448"/>
      <c r="AA279" s="464"/>
      <c r="AD279" s="448"/>
      <c r="AE279" s="464"/>
      <c r="AH279" s="448"/>
      <c r="AI279" s="464"/>
      <c r="AL279" s="448"/>
      <c r="AP279" s="448"/>
    </row>
    <row r="280" spans="1:42" ht="13">
      <c r="A280" s="462"/>
      <c r="B280" s="462"/>
      <c r="N280" s="448"/>
      <c r="O280" s="464"/>
      <c r="R280" s="448"/>
      <c r="S280" s="464"/>
      <c r="V280" s="448"/>
      <c r="W280" s="464"/>
      <c r="Z280" s="448"/>
      <c r="AA280" s="464"/>
      <c r="AD280" s="448"/>
      <c r="AE280" s="464"/>
      <c r="AH280" s="448"/>
      <c r="AI280" s="464"/>
      <c r="AL280" s="448"/>
      <c r="AP280" s="448"/>
    </row>
    <row r="281" spans="1:42" ht="13">
      <c r="A281" s="462"/>
      <c r="B281" s="462"/>
      <c r="N281" s="448"/>
      <c r="O281" s="464"/>
      <c r="R281" s="448"/>
      <c r="S281" s="464"/>
      <c r="V281" s="448"/>
      <c r="W281" s="464"/>
      <c r="Z281" s="448"/>
      <c r="AA281" s="464"/>
      <c r="AD281" s="448"/>
      <c r="AE281" s="464"/>
      <c r="AH281" s="448"/>
      <c r="AI281" s="464"/>
      <c r="AL281" s="448"/>
      <c r="AP281" s="448"/>
    </row>
    <row r="282" spans="1:42" ht="13">
      <c r="A282" s="462"/>
      <c r="B282" s="462"/>
      <c r="N282" s="448"/>
      <c r="O282" s="464"/>
      <c r="R282" s="448"/>
      <c r="S282" s="464"/>
      <c r="V282" s="448"/>
      <c r="W282" s="464"/>
      <c r="Z282" s="448"/>
      <c r="AA282" s="464"/>
      <c r="AD282" s="448"/>
      <c r="AE282" s="464"/>
      <c r="AH282" s="448"/>
      <c r="AI282" s="464"/>
      <c r="AL282" s="448"/>
      <c r="AP282" s="448"/>
    </row>
    <row r="283" spans="1:42" ht="13">
      <c r="A283" s="462"/>
      <c r="B283" s="462"/>
      <c r="N283" s="448"/>
      <c r="O283" s="464"/>
      <c r="R283" s="448"/>
      <c r="S283" s="464"/>
      <c r="V283" s="448"/>
      <c r="W283" s="464"/>
      <c r="Z283" s="448"/>
      <c r="AA283" s="464"/>
      <c r="AD283" s="448"/>
      <c r="AE283" s="464"/>
      <c r="AH283" s="448"/>
      <c r="AI283" s="464"/>
      <c r="AL283" s="448"/>
      <c r="AP283" s="448"/>
    </row>
    <row r="284" spans="1:42" ht="13">
      <c r="A284" s="462"/>
      <c r="B284" s="462"/>
      <c r="N284" s="448"/>
      <c r="O284" s="464"/>
      <c r="R284" s="448"/>
      <c r="S284" s="464"/>
      <c r="V284" s="448"/>
      <c r="W284" s="464"/>
      <c r="Z284" s="448"/>
      <c r="AA284" s="464"/>
      <c r="AD284" s="448"/>
      <c r="AE284" s="464"/>
      <c r="AH284" s="448"/>
      <c r="AI284" s="464"/>
      <c r="AL284" s="448"/>
      <c r="AP284" s="448"/>
    </row>
    <row r="285" spans="1:42" ht="13">
      <c r="A285" s="462"/>
      <c r="B285" s="462"/>
      <c r="N285" s="448"/>
      <c r="O285" s="464"/>
      <c r="R285" s="448"/>
      <c r="S285" s="464"/>
      <c r="V285" s="448"/>
      <c r="W285" s="464"/>
      <c r="Z285" s="448"/>
      <c r="AA285" s="464"/>
      <c r="AD285" s="448"/>
      <c r="AE285" s="464"/>
      <c r="AH285" s="448"/>
      <c r="AI285" s="464"/>
      <c r="AL285" s="448"/>
      <c r="AP285" s="448"/>
    </row>
    <row r="286" spans="1:42" ht="13">
      <c r="A286" s="462"/>
      <c r="B286" s="462"/>
      <c r="N286" s="448"/>
      <c r="O286" s="464"/>
      <c r="R286" s="448"/>
      <c r="S286" s="464"/>
      <c r="V286" s="448"/>
      <c r="W286" s="464"/>
      <c r="Z286" s="448"/>
      <c r="AA286" s="464"/>
      <c r="AD286" s="448"/>
      <c r="AE286" s="464"/>
      <c r="AH286" s="448"/>
      <c r="AI286" s="464"/>
      <c r="AL286" s="448"/>
      <c r="AP286" s="448"/>
    </row>
    <row r="287" spans="1:42" ht="13">
      <c r="A287" s="462"/>
      <c r="B287" s="462"/>
      <c r="N287" s="448"/>
      <c r="O287" s="464"/>
      <c r="R287" s="448"/>
      <c r="S287" s="464"/>
      <c r="V287" s="448"/>
      <c r="W287" s="464"/>
      <c r="Z287" s="448"/>
      <c r="AA287" s="464"/>
      <c r="AD287" s="448"/>
      <c r="AE287" s="464"/>
      <c r="AH287" s="448"/>
      <c r="AI287" s="464"/>
      <c r="AL287" s="448"/>
      <c r="AP287" s="448"/>
    </row>
    <row r="288" spans="1:42" ht="13">
      <c r="A288" s="462"/>
      <c r="B288" s="462"/>
      <c r="N288" s="448"/>
      <c r="O288" s="464"/>
      <c r="R288" s="448"/>
      <c r="S288" s="464"/>
      <c r="V288" s="448"/>
      <c r="W288" s="464"/>
      <c r="Z288" s="448"/>
      <c r="AA288" s="464"/>
      <c r="AD288" s="448"/>
      <c r="AE288" s="464"/>
      <c r="AH288" s="448"/>
      <c r="AI288" s="464"/>
      <c r="AL288" s="448"/>
      <c r="AP288" s="448"/>
    </row>
    <row r="289" spans="1:42" ht="13">
      <c r="A289" s="462"/>
      <c r="B289" s="462"/>
      <c r="N289" s="448"/>
      <c r="O289" s="464"/>
      <c r="R289" s="448"/>
      <c r="S289" s="464"/>
      <c r="V289" s="448"/>
      <c r="W289" s="464"/>
      <c r="Z289" s="448"/>
      <c r="AA289" s="464"/>
      <c r="AD289" s="448"/>
      <c r="AE289" s="464"/>
      <c r="AH289" s="448"/>
      <c r="AI289" s="464"/>
      <c r="AL289" s="448"/>
      <c r="AP289" s="448"/>
    </row>
    <row r="290" spans="1:42" ht="13">
      <c r="A290" s="462"/>
      <c r="B290" s="462"/>
      <c r="N290" s="448"/>
      <c r="O290" s="464"/>
      <c r="R290" s="448"/>
      <c r="S290" s="464"/>
      <c r="V290" s="448"/>
      <c r="W290" s="464"/>
      <c r="Z290" s="448"/>
      <c r="AA290" s="464"/>
      <c r="AD290" s="448"/>
      <c r="AE290" s="464"/>
      <c r="AH290" s="448"/>
      <c r="AI290" s="464"/>
      <c r="AL290" s="448"/>
      <c r="AP290" s="448"/>
    </row>
    <row r="291" spans="1:42" ht="13">
      <c r="A291" s="462"/>
      <c r="B291" s="462"/>
      <c r="N291" s="448"/>
      <c r="O291" s="464"/>
      <c r="R291" s="448"/>
      <c r="S291" s="464"/>
      <c r="V291" s="448"/>
      <c r="W291" s="464"/>
      <c r="Z291" s="448"/>
      <c r="AA291" s="464"/>
      <c r="AD291" s="448"/>
      <c r="AE291" s="464"/>
      <c r="AH291" s="448"/>
      <c r="AI291" s="464"/>
      <c r="AL291" s="448"/>
      <c r="AP291" s="448"/>
    </row>
    <row r="292" spans="1:42" ht="13">
      <c r="A292" s="462"/>
      <c r="B292" s="462"/>
      <c r="N292" s="448"/>
      <c r="O292" s="464"/>
      <c r="R292" s="448"/>
      <c r="S292" s="464"/>
      <c r="V292" s="448"/>
      <c r="W292" s="464"/>
      <c r="Z292" s="448"/>
      <c r="AA292" s="464"/>
      <c r="AD292" s="448"/>
      <c r="AE292" s="464"/>
      <c r="AH292" s="448"/>
      <c r="AI292" s="464"/>
      <c r="AL292" s="448"/>
      <c r="AP292" s="448"/>
    </row>
    <row r="293" spans="1:42" ht="13">
      <c r="A293" s="462"/>
      <c r="B293" s="462"/>
      <c r="N293" s="448"/>
      <c r="O293" s="464"/>
      <c r="R293" s="448"/>
      <c r="S293" s="464"/>
      <c r="V293" s="448"/>
      <c r="W293" s="464"/>
      <c r="Z293" s="448"/>
      <c r="AA293" s="464"/>
      <c r="AD293" s="448"/>
      <c r="AE293" s="464"/>
      <c r="AH293" s="448"/>
      <c r="AI293" s="464"/>
      <c r="AL293" s="448"/>
      <c r="AP293" s="448"/>
    </row>
    <row r="294" spans="1:42" ht="13">
      <c r="A294" s="462"/>
      <c r="B294" s="462"/>
      <c r="N294" s="448"/>
      <c r="O294" s="464"/>
      <c r="R294" s="448"/>
      <c r="S294" s="464"/>
      <c r="V294" s="448"/>
      <c r="W294" s="464"/>
      <c r="Z294" s="448"/>
      <c r="AA294" s="464"/>
      <c r="AD294" s="448"/>
      <c r="AE294" s="464"/>
      <c r="AH294" s="448"/>
      <c r="AI294" s="464"/>
      <c r="AL294" s="448"/>
      <c r="AP294" s="448"/>
    </row>
    <row r="295" spans="1:42" ht="13">
      <c r="A295" s="462"/>
      <c r="B295" s="462"/>
      <c r="N295" s="448"/>
      <c r="O295" s="464"/>
      <c r="R295" s="448"/>
      <c r="S295" s="464"/>
      <c r="V295" s="448"/>
      <c r="W295" s="464"/>
      <c r="Z295" s="448"/>
      <c r="AA295" s="464"/>
      <c r="AD295" s="448"/>
      <c r="AE295" s="464"/>
      <c r="AH295" s="448"/>
      <c r="AI295" s="464"/>
      <c r="AL295" s="448"/>
      <c r="AP295" s="448"/>
    </row>
    <row r="296" spans="1:42" ht="13">
      <c r="A296" s="462"/>
      <c r="B296" s="462"/>
      <c r="N296" s="448"/>
      <c r="O296" s="464"/>
      <c r="R296" s="448"/>
      <c r="S296" s="464"/>
      <c r="V296" s="448"/>
      <c r="W296" s="464"/>
      <c r="Z296" s="448"/>
      <c r="AA296" s="464"/>
      <c r="AD296" s="448"/>
      <c r="AE296" s="464"/>
      <c r="AH296" s="448"/>
      <c r="AI296" s="464"/>
      <c r="AL296" s="448"/>
      <c r="AP296" s="448"/>
    </row>
    <row r="297" spans="1:42" ht="13">
      <c r="A297" s="462"/>
      <c r="B297" s="462"/>
      <c r="N297" s="448"/>
      <c r="O297" s="464"/>
      <c r="R297" s="448"/>
      <c r="S297" s="464"/>
      <c r="V297" s="448"/>
      <c r="W297" s="464"/>
      <c r="Z297" s="448"/>
      <c r="AA297" s="464"/>
      <c r="AD297" s="448"/>
      <c r="AE297" s="464"/>
      <c r="AH297" s="448"/>
      <c r="AI297" s="464"/>
      <c r="AL297" s="448"/>
      <c r="AP297" s="448"/>
    </row>
    <row r="298" spans="1:42" ht="13">
      <c r="A298" s="462"/>
      <c r="B298" s="462"/>
      <c r="N298" s="448"/>
      <c r="O298" s="464"/>
      <c r="R298" s="448"/>
      <c r="S298" s="464"/>
      <c r="V298" s="448"/>
      <c r="W298" s="464"/>
      <c r="Z298" s="448"/>
      <c r="AA298" s="464"/>
      <c r="AD298" s="448"/>
      <c r="AE298" s="464"/>
      <c r="AH298" s="448"/>
      <c r="AI298" s="464"/>
      <c r="AL298" s="448"/>
      <c r="AP298" s="448"/>
    </row>
    <row r="299" spans="1:42" ht="13">
      <c r="A299" s="462"/>
      <c r="B299" s="462"/>
      <c r="N299" s="448"/>
      <c r="O299" s="464"/>
      <c r="R299" s="448"/>
      <c r="S299" s="464"/>
      <c r="V299" s="448"/>
      <c r="W299" s="464"/>
      <c r="Z299" s="448"/>
      <c r="AA299" s="464"/>
      <c r="AD299" s="448"/>
      <c r="AE299" s="464"/>
      <c r="AH299" s="448"/>
      <c r="AI299" s="464"/>
      <c r="AL299" s="448"/>
      <c r="AP299" s="448"/>
    </row>
    <row r="300" spans="1:42" ht="13">
      <c r="A300" s="462"/>
      <c r="B300" s="462"/>
      <c r="N300" s="448"/>
      <c r="O300" s="464"/>
      <c r="R300" s="448"/>
      <c r="S300" s="464"/>
      <c r="V300" s="448"/>
      <c r="W300" s="464"/>
      <c r="Z300" s="448"/>
      <c r="AA300" s="464"/>
      <c r="AD300" s="448"/>
      <c r="AE300" s="464"/>
      <c r="AH300" s="448"/>
      <c r="AI300" s="464"/>
      <c r="AL300" s="448"/>
      <c r="AP300" s="448"/>
    </row>
    <row r="301" spans="1:42" ht="13">
      <c r="A301" s="462"/>
      <c r="B301" s="462"/>
      <c r="N301" s="448"/>
      <c r="O301" s="464"/>
      <c r="R301" s="448"/>
      <c r="S301" s="464"/>
      <c r="V301" s="448"/>
      <c r="W301" s="464"/>
      <c r="Z301" s="448"/>
      <c r="AA301" s="464"/>
      <c r="AD301" s="448"/>
      <c r="AE301" s="464"/>
      <c r="AH301" s="448"/>
      <c r="AI301" s="464"/>
      <c r="AL301" s="448"/>
      <c r="AP301" s="448"/>
    </row>
    <row r="302" spans="1:42" ht="13">
      <c r="A302" s="462"/>
      <c r="B302" s="462"/>
      <c r="N302" s="448"/>
      <c r="O302" s="464"/>
      <c r="R302" s="448"/>
      <c r="S302" s="464"/>
      <c r="V302" s="448"/>
      <c r="W302" s="464"/>
      <c r="Z302" s="448"/>
      <c r="AA302" s="464"/>
      <c r="AD302" s="448"/>
      <c r="AE302" s="464"/>
      <c r="AH302" s="448"/>
      <c r="AI302" s="464"/>
      <c r="AL302" s="448"/>
      <c r="AP302" s="448"/>
    </row>
    <row r="303" spans="1:42" ht="13">
      <c r="A303" s="462"/>
      <c r="B303" s="462"/>
      <c r="N303" s="448"/>
      <c r="O303" s="464"/>
      <c r="R303" s="448"/>
      <c r="S303" s="464"/>
      <c r="V303" s="448"/>
      <c r="W303" s="464"/>
      <c r="Z303" s="448"/>
      <c r="AA303" s="464"/>
      <c r="AD303" s="448"/>
      <c r="AE303" s="464"/>
      <c r="AH303" s="448"/>
      <c r="AI303" s="464"/>
      <c r="AL303" s="448"/>
      <c r="AP303" s="448"/>
    </row>
    <row r="304" spans="1:42" ht="13">
      <c r="A304" s="462"/>
      <c r="B304" s="462"/>
      <c r="N304" s="448"/>
      <c r="O304" s="464"/>
      <c r="R304" s="448"/>
      <c r="S304" s="464"/>
      <c r="V304" s="448"/>
      <c r="W304" s="464"/>
      <c r="Z304" s="448"/>
      <c r="AA304" s="464"/>
      <c r="AD304" s="448"/>
      <c r="AE304" s="464"/>
      <c r="AH304" s="448"/>
      <c r="AI304" s="464"/>
      <c r="AL304" s="448"/>
      <c r="AP304" s="448"/>
    </row>
    <row r="305" spans="1:42" ht="13">
      <c r="A305" s="462"/>
      <c r="B305" s="462"/>
      <c r="N305" s="448"/>
      <c r="O305" s="464"/>
      <c r="R305" s="448"/>
      <c r="S305" s="464"/>
      <c r="V305" s="448"/>
      <c r="W305" s="464"/>
      <c r="Z305" s="448"/>
      <c r="AA305" s="464"/>
      <c r="AD305" s="448"/>
      <c r="AE305" s="464"/>
      <c r="AH305" s="448"/>
      <c r="AI305" s="464"/>
      <c r="AL305" s="448"/>
      <c r="AP305" s="448"/>
    </row>
    <row r="306" spans="1:42" ht="13">
      <c r="A306" s="462"/>
      <c r="B306" s="462"/>
      <c r="N306" s="448"/>
      <c r="O306" s="464"/>
      <c r="R306" s="448"/>
      <c r="S306" s="464"/>
      <c r="V306" s="448"/>
      <c r="W306" s="464"/>
      <c r="Z306" s="448"/>
      <c r="AA306" s="464"/>
      <c r="AD306" s="448"/>
      <c r="AE306" s="464"/>
      <c r="AH306" s="448"/>
      <c r="AI306" s="464"/>
      <c r="AL306" s="448"/>
      <c r="AP306" s="448"/>
    </row>
    <row r="307" spans="1:42" ht="13">
      <c r="A307" s="462"/>
      <c r="B307" s="462"/>
      <c r="N307" s="448"/>
      <c r="O307" s="464"/>
      <c r="R307" s="448"/>
      <c r="S307" s="464"/>
      <c r="V307" s="448"/>
      <c r="W307" s="464"/>
      <c r="Z307" s="448"/>
      <c r="AA307" s="464"/>
      <c r="AD307" s="448"/>
      <c r="AE307" s="464"/>
      <c r="AH307" s="448"/>
      <c r="AI307" s="464"/>
      <c r="AL307" s="448"/>
      <c r="AP307" s="448"/>
    </row>
    <row r="308" spans="1:42" ht="13">
      <c r="A308" s="462"/>
      <c r="B308" s="462"/>
      <c r="N308" s="448"/>
      <c r="O308" s="464"/>
      <c r="R308" s="448"/>
      <c r="S308" s="464"/>
      <c r="V308" s="448"/>
      <c r="W308" s="464"/>
      <c r="Z308" s="448"/>
      <c r="AA308" s="464"/>
      <c r="AD308" s="448"/>
      <c r="AE308" s="464"/>
      <c r="AH308" s="448"/>
      <c r="AI308" s="464"/>
      <c r="AL308" s="448"/>
      <c r="AP308" s="448"/>
    </row>
    <row r="309" spans="1:42" ht="13">
      <c r="A309" s="462"/>
      <c r="B309" s="462"/>
      <c r="N309" s="448"/>
      <c r="O309" s="464"/>
      <c r="R309" s="448"/>
      <c r="S309" s="464"/>
      <c r="V309" s="448"/>
      <c r="W309" s="464"/>
      <c r="Z309" s="448"/>
      <c r="AA309" s="464"/>
      <c r="AD309" s="448"/>
      <c r="AE309" s="464"/>
      <c r="AH309" s="448"/>
      <c r="AI309" s="464"/>
      <c r="AL309" s="448"/>
      <c r="AP309" s="448"/>
    </row>
    <row r="310" spans="1:42" ht="13">
      <c r="A310" s="462"/>
      <c r="B310" s="462"/>
      <c r="N310" s="448"/>
      <c r="O310" s="464"/>
      <c r="R310" s="448"/>
      <c r="S310" s="464"/>
      <c r="V310" s="448"/>
      <c r="W310" s="464"/>
      <c r="Z310" s="448"/>
      <c r="AA310" s="464"/>
      <c r="AD310" s="448"/>
      <c r="AE310" s="464"/>
      <c r="AH310" s="448"/>
      <c r="AI310" s="464"/>
      <c r="AL310" s="448"/>
      <c r="AP310" s="448"/>
    </row>
    <row r="311" spans="1:42" ht="13">
      <c r="A311" s="462"/>
      <c r="B311" s="462"/>
      <c r="N311" s="448"/>
      <c r="O311" s="464"/>
      <c r="R311" s="448"/>
      <c r="S311" s="464"/>
      <c r="V311" s="448"/>
      <c r="W311" s="464"/>
      <c r="Z311" s="448"/>
      <c r="AA311" s="464"/>
      <c r="AD311" s="448"/>
      <c r="AE311" s="464"/>
      <c r="AH311" s="448"/>
      <c r="AI311" s="464"/>
      <c r="AL311" s="448"/>
      <c r="AP311" s="448"/>
    </row>
    <row r="312" spans="1:42" ht="13">
      <c r="A312" s="462"/>
      <c r="B312" s="462"/>
      <c r="N312" s="448"/>
      <c r="O312" s="464"/>
      <c r="R312" s="448"/>
      <c r="S312" s="464"/>
      <c r="V312" s="448"/>
      <c r="W312" s="464"/>
      <c r="Z312" s="448"/>
      <c r="AA312" s="464"/>
      <c r="AD312" s="448"/>
      <c r="AE312" s="464"/>
      <c r="AH312" s="448"/>
      <c r="AI312" s="464"/>
      <c r="AL312" s="448"/>
      <c r="AP312" s="448"/>
    </row>
    <row r="313" spans="1:42" ht="13">
      <c r="A313" s="462"/>
      <c r="B313" s="462"/>
      <c r="N313" s="448"/>
      <c r="O313" s="464"/>
      <c r="R313" s="448"/>
      <c r="S313" s="464"/>
      <c r="V313" s="448"/>
      <c r="W313" s="464"/>
      <c r="Z313" s="448"/>
      <c r="AA313" s="464"/>
      <c r="AD313" s="448"/>
      <c r="AE313" s="464"/>
      <c r="AH313" s="448"/>
      <c r="AI313" s="464"/>
      <c r="AL313" s="448"/>
      <c r="AP313" s="448"/>
    </row>
    <row r="314" spans="1:42" ht="13">
      <c r="A314" s="462"/>
      <c r="B314" s="462"/>
      <c r="N314" s="448"/>
      <c r="O314" s="464"/>
      <c r="R314" s="448"/>
      <c r="S314" s="464"/>
      <c r="V314" s="448"/>
      <c r="W314" s="464"/>
      <c r="Z314" s="448"/>
      <c r="AA314" s="464"/>
      <c r="AD314" s="448"/>
      <c r="AE314" s="464"/>
      <c r="AH314" s="448"/>
      <c r="AI314" s="464"/>
      <c r="AL314" s="448"/>
      <c r="AP314" s="448"/>
    </row>
    <row r="315" spans="1:42" ht="13">
      <c r="A315" s="462"/>
      <c r="B315" s="462"/>
      <c r="N315" s="448"/>
      <c r="O315" s="464"/>
      <c r="R315" s="448"/>
      <c r="S315" s="464"/>
      <c r="V315" s="448"/>
      <c r="W315" s="464"/>
      <c r="Z315" s="448"/>
      <c r="AA315" s="464"/>
      <c r="AD315" s="448"/>
      <c r="AE315" s="464"/>
      <c r="AH315" s="448"/>
      <c r="AI315" s="464"/>
      <c r="AL315" s="448"/>
      <c r="AP315" s="448"/>
    </row>
    <row r="316" spans="1:42" ht="13">
      <c r="A316" s="462"/>
      <c r="B316" s="462"/>
      <c r="N316" s="448"/>
      <c r="O316" s="464"/>
      <c r="R316" s="448"/>
      <c r="S316" s="464"/>
      <c r="V316" s="448"/>
      <c r="W316" s="464"/>
      <c r="Z316" s="448"/>
      <c r="AA316" s="464"/>
      <c r="AD316" s="448"/>
      <c r="AE316" s="464"/>
      <c r="AH316" s="448"/>
      <c r="AI316" s="464"/>
      <c r="AL316" s="448"/>
      <c r="AP316" s="448"/>
    </row>
    <row r="317" spans="1:42" ht="13">
      <c r="A317" s="462"/>
      <c r="B317" s="462"/>
      <c r="N317" s="448"/>
      <c r="O317" s="464"/>
      <c r="R317" s="448"/>
      <c r="S317" s="464"/>
      <c r="V317" s="448"/>
      <c r="W317" s="464"/>
      <c r="Z317" s="448"/>
      <c r="AA317" s="464"/>
      <c r="AD317" s="448"/>
      <c r="AE317" s="464"/>
      <c r="AH317" s="448"/>
      <c r="AI317" s="464"/>
      <c r="AL317" s="448"/>
      <c r="AP317" s="448"/>
    </row>
    <row r="318" spans="1:42" ht="13">
      <c r="A318" s="462"/>
      <c r="B318" s="462"/>
      <c r="N318" s="448"/>
      <c r="O318" s="464"/>
      <c r="R318" s="448"/>
      <c r="S318" s="464"/>
      <c r="V318" s="448"/>
      <c r="W318" s="464"/>
      <c r="Z318" s="448"/>
      <c r="AA318" s="464"/>
      <c r="AD318" s="448"/>
      <c r="AE318" s="464"/>
      <c r="AH318" s="448"/>
      <c r="AI318" s="464"/>
      <c r="AL318" s="448"/>
      <c r="AP318" s="448"/>
    </row>
    <row r="319" spans="1:42" ht="13">
      <c r="A319" s="462"/>
      <c r="B319" s="462"/>
      <c r="N319" s="448"/>
      <c r="O319" s="464"/>
      <c r="R319" s="448"/>
      <c r="S319" s="464"/>
      <c r="V319" s="448"/>
      <c r="W319" s="464"/>
      <c r="Z319" s="448"/>
      <c r="AA319" s="464"/>
      <c r="AD319" s="448"/>
      <c r="AE319" s="464"/>
      <c r="AH319" s="448"/>
      <c r="AI319" s="464"/>
      <c r="AL319" s="448"/>
      <c r="AP319" s="448"/>
    </row>
    <row r="320" spans="1:42" ht="13">
      <c r="A320" s="462"/>
      <c r="B320" s="462"/>
      <c r="N320" s="448"/>
      <c r="O320" s="464"/>
      <c r="R320" s="448"/>
      <c r="S320" s="464"/>
      <c r="V320" s="448"/>
      <c r="W320" s="464"/>
      <c r="Z320" s="448"/>
      <c r="AA320" s="464"/>
      <c r="AD320" s="448"/>
      <c r="AE320" s="464"/>
      <c r="AH320" s="448"/>
      <c r="AI320" s="464"/>
      <c r="AL320" s="448"/>
      <c r="AP320" s="448"/>
    </row>
    <row r="321" spans="1:42" ht="13">
      <c r="A321" s="462"/>
      <c r="B321" s="462"/>
      <c r="N321" s="448"/>
      <c r="O321" s="464"/>
      <c r="R321" s="448"/>
      <c r="S321" s="464"/>
      <c r="V321" s="448"/>
      <c r="W321" s="464"/>
      <c r="Z321" s="448"/>
      <c r="AA321" s="464"/>
      <c r="AD321" s="448"/>
      <c r="AE321" s="464"/>
      <c r="AH321" s="448"/>
      <c r="AI321" s="464"/>
      <c r="AL321" s="448"/>
      <c r="AP321" s="448"/>
    </row>
    <row r="322" spans="1:42" ht="13">
      <c r="A322" s="462"/>
      <c r="B322" s="462"/>
      <c r="N322" s="448"/>
      <c r="O322" s="464"/>
      <c r="R322" s="448"/>
      <c r="S322" s="464"/>
      <c r="V322" s="448"/>
      <c r="W322" s="464"/>
      <c r="Z322" s="448"/>
      <c r="AA322" s="464"/>
      <c r="AD322" s="448"/>
      <c r="AE322" s="464"/>
      <c r="AH322" s="448"/>
      <c r="AI322" s="464"/>
      <c r="AL322" s="448"/>
      <c r="AP322" s="448"/>
    </row>
    <row r="323" spans="1:42" ht="13">
      <c r="A323" s="462"/>
      <c r="B323" s="462"/>
      <c r="N323" s="448"/>
      <c r="O323" s="464"/>
      <c r="R323" s="448"/>
      <c r="S323" s="464"/>
      <c r="V323" s="448"/>
      <c r="W323" s="464"/>
      <c r="Z323" s="448"/>
      <c r="AA323" s="464"/>
      <c r="AD323" s="448"/>
      <c r="AE323" s="464"/>
      <c r="AH323" s="448"/>
      <c r="AI323" s="464"/>
      <c r="AL323" s="448"/>
      <c r="AP323" s="448"/>
    </row>
    <row r="324" spans="1:42" ht="13">
      <c r="A324" s="462"/>
      <c r="B324" s="462"/>
      <c r="N324" s="448"/>
      <c r="O324" s="464"/>
      <c r="R324" s="448"/>
      <c r="S324" s="464"/>
      <c r="V324" s="448"/>
      <c r="W324" s="464"/>
      <c r="Z324" s="448"/>
      <c r="AA324" s="464"/>
      <c r="AD324" s="448"/>
      <c r="AE324" s="464"/>
      <c r="AH324" s="448"/>
      <c r="AI324" s="464"/>
      <c r="AL324" s="448"/>
      <c r="AP324" s="448"/>
    </row>
    <row r="325" spans="1:42" ht="13">
      <c r="A325" s="462"/>
      <c r="B325" s="462"/>
      <c r="N325" s="448"/>
      <c r="O325" s="464"/>
      <c r="R325" s="448"/>
      <c r="S325" s="464"/>
      <c r="V325" s="448"/>
      <c r="W325" s="464"/>
      <c r="Z325" s="448"/>
      <c r="AA325" s="464"/>
      <c r="AD325" s="448"/>
      <c r="AE325" s="464"/>
      <c r="AH325" s="448"/>
      <c r="AI325" s="464"/>
      <c r="AL325" s="448"/>
      <c r="AP325" s="448"/>
    </row>
    <row r="326" spans="1:42" ht="13">
      <c r="A326" s="462"/>
      <c r="B326" s="462"/>
      <c r="N326" s="448"/>
      <c r="O326" s="464"/>
      <c r="R326" s="448"/>
      <c r="S326" s="464"/>
      <c r="V326" s="448"/>
      <c r="W326" s="464"/>
      <c r="Z326" s="448"/>
      <c r="AA326" s="464"/>
      <c r="AD326" s="448"/>
      <c r="AE326" s="464"/>
      <c r="AH326" s="448"/>
      <c r="AI326" s="464"/>
      <c r="AL326" s="448"/>
      <c r="AP326" s="448"/>
    </row>
    <row r="327" spans="1:42" ht="13">
      <c r="A327" s="462"/>
      <c r="B327" s="462"/>
      <c r="N327" s="448"/>
      <c r="O327" s="464"/>
      <c r="R327" s="448"/>
      <c r="S327" s="464"/>
      <c r="V327" s="448"/>
      <c r="W327" s="464"/>
      <c r="Z327" s="448"/>
      <c r="AA327" s="464"/>
      <c r="AD327" s="448"/>
      <c r="AE327" s="464"/>
      <c r="AH327" s="448"/>
      <c r="AI327" s="464"/>
      <c r="AL327" s="448"/>
      <c r="AP327" s="448"/>
    </row>
    <row r="328" spans="1:42" ht="13">
      <c r="A328" s="462"/>
      <c r="B328" s="462"/>
      <c r="N328" s="448"/>
      <c r="O328" s="464"/>
      <c r="R328" s="448"/>
      <c r="S328" s="464"/>
      <c r="V328" s="448"/>
      <c r="W328" s="464"/>
      <c r="Z328" s="448"/>
      <c r="AA328" s="464"/>
      <c r="AD328" s="448"/>
      <c r="AE328" s="464"/>
      <c r="AH328" s="448"/>
      <c r="AI328" s="464"/>
      <c r="AL328" s="448"/>
      <c r="AP328" s="448"/>
    </row>
    <row r="329" spans="1:42" ht="13">
      <c r="A329" s="462"/>
      <c r="B329" s="462"/>
      <c r="N329" s="448"/>
      <c r="O329" s="464"/>
      <c r="R329" s="448"/>
      <c r="S329" s="464"/>
      <c r="V329" s="448"/>
      <c r="W329" s="464"/>
      <c r="Z329" s="448"/>
      <c r="AA329" s="464"/>
      <c r="AD329" s="448"/>
      <c r="AE329" s="464"/>
      <c r="AH329" s="448"/>
      <c r="AI329" s="464"/>
      <c r="AL329" s="448"/>
      <c r="AP329" s="448"/>
    </row>
    <row r="330" spans="1:42" ht="13">
      <c r="A330" s="462"/>
      <c r="B330" s="462"/>
      <c r="N330" s="448"/>
      <c r="O330" s="464"/>
      <c r="R330" s="448"/>
      <c r="S330" s="464"/>
      <c r="V330" s="448"/>
      <c r="W330" s="464"/>
      <c r="Z330" s="448"/>
      <c r="AA330" s="464"/>
      <c r="AD330" s="448"/>
      <c r="AE330" s="464"/>
      <c r="AH330" s="448"/>
      <c r="AI330" s="464"/>
      <c r="AL330" s="448"/>
      <c r="AP330" s="448"/>
    </row>
    <row r="331" spans="1:42" ht="13">
      <c r="A331" s="462"/>
      <c r="B331" s="462"/>
      <c r="N331" s="448"/>
      <c r="O331" s="464"/>
      <c r="R331" s="448"/>
      <c r="S331" s="464"/>
      <c r="V331" s="448"/>
      <c r="W331" s="464"/>
      <c r="Z331" s="448"/>
      <c r="AA331" s="464"/>
      <c r="AD331" s="448"/>
      <c r="AE331" s="464"/>
      <c r="AH331" s="448"/>
      <c r="AI331" s="464"/>
      <c r="AL331" s="448"/>
      <c r="AP331" s="448"/>
    </row>
    <row r="332" spans="1:42" ht="13">
      <c r="A332" s="462"/>
      <c r="B332" s="462"/>
      <c r="N332" s="448"/>
      <c r="O332" s="464"/>
      <c r="R332" s="448"/>
      <c r="S332" s="464"/>
      <c r="V332" s="448"/>
      <c r="W332" s="464"/>
      <c r="Z332" s="448"/>
      <c r="AA332" s="464"/>
      <c r="AD332" s="448"/>
      <c r="AE332" s="464"/>
      <c r="AH332" s="448"/>
      <c r="AI332" s="464"/>
      <c r="AL332" s="448"/>
      <c r="AP332" s="448"/>
    </row>
    <row r="333" spans="1:42" ht="13">
      <c r="A333" s="462"/>
      <c r="B333" s="462"/>
      <c r="N333" s="448"/>
      <c r="O333" s="464"/>
      <c r="R333" s="448"/>
      <c r="S333" s="464"/>
      <c r="V333" s="448"/>
      <c r="W333" s="464"/>
      <c r="Z333" s="448"/>
      <c r="AA333" s="464"/>
      <c r="AD333" s="448"/>
      <c r="AE333" s="464"/>
      <c r="AH333" s="448"/>
      <c r="AI333" s="464"/>
      <c r="AL333" s="448"/>
      <c r="AP333" s="448"/>
    </row>
    <row r="334" spans="1:42" ht="13">
      <c r="A334" s="462"/>
      <c r="B334" s="462"/>
      <c r="N334" s="448"/>
      <c r="O334" s="464"/>
      <c r="R334" s="448"/>
      <c r="S334" s="464"/>
      <c r="V334" s="448"/>
      <c r="W334" s="464"/>
      <c r="Z334" s="448"/>
      <c r="AA334" s="464"/>
      <c r="AD334" s="448"/>
      <c r="AE334" s="464"/>
      <c r="AH334" s="448"/>
      <c r="AI334" s="464"/>
      <c r="AL334" s="448"/>
      <c r="AP334" s="448"/>
    </row>
    <row r="335" spans="1:42" ht="13">
      <c r="A335" s="462"/>
      <c r="B335" s="462"/>
      <c r="N335" s="448"/>
      <c r="O335" s="464"/>
      <c r="R335" s="448"/>
      <c r="S335" s="464"/>
      <c r="V335" s="448"/>
      <c r="W335" s="464"/>
      <c r="Z335" s="448"/>
      <c r="AA335" s="464"/>
      <c r="AD335" s="448"/>
      <c r="AE335" s="464"/>
      <c r="AH335" s="448"/>
      <c r="AI335" s="464"/>
      <c r="AL335" s="448"/>
      <c r="AP335" s="448"/>
    </row>
    <row r="336" spans="1:42" ht="13">
      <c r="A336" s="462"/>
      <c r="B336" s="462"/>
      <c r="N336" s="448"/>
      <c r="O336" s="464"/>
      <c r="R336" s="448"/>
      <c r="S336" s="464"/>
      <c r="V336" s="448"/>
      <c r="W336" s="464"/>
      <c r="Z336" s="448"/>
      <c r="AA336" s="464"/>
      <c r="AD336" s="448"/>
      <c r="AE336" s="464"/>
      <c r="AH336" s="448"/>
      <c r="AI336" s="464"/>
      <c r="AL336" s="448"/>
      <c r="AP336" s="448"/>
    </row>
    <row r="337" spans="1:42" ht="13">
      <c r="A337" s="462"/>
      <c r="B337" s="462"/>
      <c r="N337" s="448"/>
      <c r="O337" s="464"/>
      <c r="R337" s="448"/>
      <c r="S337" s="464"/>
      <c r="V337" s="448"/>
      <c r="W337" s="464"/>
      <c r="Z337" s="448"/>
      <c r="AA337" s="464"/>
      <c r="AD337" s="448"/>
      <c r="AE337" s="464"/>
      <c r="AH337" s="448"/>
      <c r="AI337" s="464"/>
      <c r="AL337" s="448"/>
      <c r="AP337" s="448"/>
    </row>
    <row r="338" spans="1:42" ht="13">
      <c r="A338" s="462"/>
      <c r="B338" s="462"/>
      <c r="N338" s="448"/>
      <c r="O338" s="464"/>
      <c r="R338" s="448"/>
      <c r="S338" s="464"/>
      <c r="V338" s="448"/>
      <c r="W338" s="464"/>
      <c r="Z338" s="448"/>
      <c r="AA338" s="464"/>
      <c r="AD338" s="448"/>
      <c r="AE338" s="464"/>
      <c r="AH338" s="448"/>
      <c r="AI338" s="464"/>
      <c r="AL338" s="448"/>
      <c r="AP338" s="448"/>
    </row>
    <row r="339" spans="1:42" ht="13">
      <c r="A339" s="462"/>
      <c r="B339" s="462"/>
      <c r="N339" s="448"/>
      <c r="O339" s="464"/>
      <c r="R339" s="448"/>
      <c r="S339" s="464"/>
      <c r="V339" s="448"/>
      <c r="W339" s="464"/>
      <c r="Z339" s="448"/>
      <c r="AA339" s="464"/>
      <c r="AD339" s="448"/>
      <c r="AE339" s="464"/>
      <c r="AH339" s="448"/>
      <c r="AI339" s="464"/>
      <c r="AL339" s="448"/>
      <c r="AP339" s="448"/>
    </row>
    <row r="340" spans="1:42" ht="13">
      <c r="A340" s="462"/>
      <c r="B340" s="462"/>
      <c r="N340" s="448"/>
      <c r="O340" s="464"/>
      <c r="R340" s="448"/>
      <c r="S340" s="464"/>
      <c r="V340" s="448"/>
      <c r="W340" s="464"/>
      <c r="Z340" s="448"/>
      <c r="AA340" s="464"/>
      <c r="AD340" s="448"/>
      <c r="AE340" s="464"/>
      <c r="AH340" s="448"/>
      <c r="AI340" s="464"/>
      <c r="AL340" s="448"/>
      <c r="AP340" s="448"/>
    </row>
    <row r="341" spans="1:42" ht="13">
      <c r="A341" s="462"/>
      <c r="B341" s="462"/>
      <c r="N341" s="448"/>
      <c r="O341" s="464"/>
      <c r="R341" s="448"/>
      <c r="S341" s="464"/>
      <c r="V341" s="448"/>
      <c r="W341" s="464"/>
      <c r="Z341" s="448"/>
      <c r="AA341" s="464"/>
      <c r="AD341" s="448"/>
      <c r="AE341" s="464"/>
      <c r="AH341" s="448"/>
      <c r="AI341" s="464"/>
      <c r="AL341" s="448"/>
      <c r="AP341" s="448"/>
    </row>
    <row r="342" spans="1:42" ht="13">
      <c r="A342" s="462"/>
      <c r="B342" s="462"/>
      <c r="N342" s="448"/>
      <c r="O342" s="464"/>
      <c r="R342" s="448"/>
      <c r="S342" s="464"/>
      <c r="V342" s="448"/>
      <c r="W342" s="464"/>
      <c r="Z342" s="448"/>
      <c r="AA342" s="464"/>
      <c r="AD342" s="448"/>
      <c r="AE342" s="464"/>
      <c r="AH342" s="448"/>
      <c r="AI342" s="464"/>
      <c r="AL342" s="448"/>
      <c r="AP342" s="448"/>
    </row>
    <row r="343" spans="1:42" ht="13">
      <c r="A343" s="462"/>
      <c r="B343" s="462"/>
      <c r="N343" s="448"/>
      <c r="O343" s="464"/>
      <c r="R343" s="448"/>
      <c r="S343" s="464"/>
      <c r="V343" s="448"/>
      <c r="W343" s="464"/>
      <c r="Z343" s="448"/>
      <c r="AA343" s="464"/>
      <c r="AD343" s="448"/>
      <c r="AE343" s="464"/>
      <c r="AH343" s="448"/>
      <c r="AI343" s="464"/>
      <c r="AL343" s="448"/>
      <c r="AP343" s="448"/>
    </row>
    <row r="344" spans="1:42" ht="13">
      <c r="A344" s="462"/>
      <c r="B344" s="462"/>
      <c r="N344" s="448"/>
      <c r="O344" s="464"/>
      <c r="R344" s="448"/>
      <c r="S344" s="464"/>
      <c r="V344" s="448"/>
      <c r="W344" s="464"/>
      <c r="Z344" s="448"/>
      <c r="AA344" s="464"/>
      <c r="AD344" s="448"/>
      <c r="AE344" s="464"/>
      <c r="AH344" s="448"/>
      <c r="AI344" s="464"/>
      <c r="AL344" s="448"/>
      <c r="AP344" s="448"/>
    </row>
    <row r="345" spans="1:42" ht="13">
      <c r="A345" s="462"/>
      <c r="B345" s="462"/>
      <c r="N345" s="448"/>
      <c r="O345" s="464"/>
      <c r="R345" s="448"/>
      <c r="S345" s="464"/>
      <c r="V345" s="448"/>
      <c r="W345" s="464"/>
      <c r="Z345" s="448"/>
      <c r="AA345" s="464"/>
      <c r="AD345" s="448"/>
      <c r="AE345" s="464"/>
      <c r="AH345" s="448"/>
      <c r="AI345" s="464"/>
      <c r="AL345" s="448"/>
      <c r="AP345" s="448"/>
    </row>
    <row r="346" spans="1:42" ht="13">
      <c r="A346" s="462"/>
      <c r="B346" s="462"/>
      <c r="N346" s="448"/>
      <c r="O346" s="464"/>
      <c r="R346" s="448"/>
      <c r="S346" s="464"/>
      <c r="V346" s="448"/>
      <c r="W346" s="464"/>
      <c r="Z346" s="448"/>
      <c r="AA346" s="464"/>
      <c r="AD346" s="448"/>
      <c r="AE346" s="464"/>
      <c r="AH346" s="448"/>
      <c r="AI346" s="464"/>
      <c r="AL346" s="448"/>
      <c r="AP346" s="448"/>
    </row>
    <row r="347" spans="1:42" ht="13">
      <c r="A347" s="462"/>
      <c r="B347" s="462"/>
      <c r="N347" s="448"/>
      <c r="O347" s="464"/>
      <c r="R347" s="448"/>
      <c r="S347" s="464"/>
      <c r="V347" s="448"/>
      <c r="W347" s="464"/>
      <c r="Z347" s="448"/>
      <c r="AA347" s="464"/>
      <c r="AD347" s="448"/>
      <c r="AE347" s="464"/>
      <c r="AH347" s="448"/>
      <c r="AI347" s="464"/>
      <c r="AL347" s="448"/>
      <c r="AP347" s="448"/>
    </row>
    <row r="348" spans="1:42" ht="13">
      <c r="A348" s="462"/>
      <c r="B348" s="462"/>
      <c r="N348" s="448"/>
      <c r="O348" s="464"/>
      <c r="R348" s="448"/>
      <c r="S348" s="464"/>
      <c r="V348" s="448"/>
      <c r="W348" s="464"/>
      <c r="Z348" s="448"/>
      <c r="AA348" s="464"/>
      <c r="AD348" s="448"/>
      <c r="AE348" s="464"/>
      <c r="AH348" s="448"/>
      <c r="AI348" s="464"/>
      <c r="AL348" s="448"/>
      <c r="AP348" s="448"/>
    </row>
    <row r="349" spans="1:42" ht="13">
      <c r="A349" s="462"/>
      <c r="B349" s="462"/>
      <c r="N349" s="448"/>
      <c r="O349" s="464"/>
      <c r="R349" s="448"/>
      <c r="S349" s="464"/>
      <c r="V349" s="448"/>
      <c r="W349" s="464"/>
      <c r="Z349" s="448"/>
      <c r="AA349" s="464"/>
      <c r="AD349" s="448"/>
      <c r="AE349" s="464"/>
      <c r="AH349" s="448"/>
      <c r="AI349" s="464"/>
      <c r="AL349" s="448"/>
      <c r="AP349" s="448"/>
    </row>
    <row r="350" spans="1:42" ht="13">
      <c r="A350" s="462"/>
      <c r="B350" s="462"/>
      <c r="N350" s="448"/>
      <c r="O350" s="464"/>
      <c r="R350" s="448"/>
      <c r="S350" s="464"/>
      <c r="V350" s="448"/>
      <c r="W350" s="464"/>
      <c r="Z350" s="448"/>
      <c r="AA350" s="464"/>
      <c r="AD350" s="448"/>
      <c r="AE350" s="464"/>
      <c r="AH350" s="448"/>
      <c r="AI350" s="464"/>
      <c r="AL350" s="448"/>
      <c r="AP350" s="448"/>
    </row>
    <row r="351" spans="1:42" ht="13">
      <c r="A351" s="462"/>
      <c r="B351" s="462"/>
      <c r="N351" s="448"/>
      <c r="O351" s="464"/>
      <c r="R351" s="448"/>
      <c r="S351" s="464"/>
      <c r="V351" s="448"/>
      <c r="W351" s="464"/>
      <c r="Z351" s="448"/>
      <c r="AA351" s="464"/>
      <c r="AD351" s="448"/>
      <c r="AE351" s="464"/>
      <c r="AH351" s="448"/>
      <c r="AI351" s="464"/>
      <c r="AL351" s="448"/>
      <c r="AP351" s="448"/>
    </row>
    <row r="352" spans="1:42" ht="13">
      <c r="A352" s="462"/>
      <c r="B352" s="462"/>
      <c r="N352" s="448"/>
      <c r="O352" s="464"/>
      <c r="R352" s="448"/>
      <c r="S352" s="464"/>
      <c r="V352" s="448"/>
      <c r="W352" s="464"/>
      <c r="Z352" s="448"/>
      <c r="AA352" s="464"/>
      <c r="AD352" s="448"/>
      <c r="AE352" s="464"/>
      <c r="AH352" s="448"/>
      <c r="AI352" s="464"/>
      <c r="AL352" s="448"/>
      <c r="AP352" s="448"/>
    </row>
    <row r="353" spans="1:42" ht="13">
      <c r="A353" s="462"/>
      <c r="B353" s="462"/>
      <c r="N353" s="448"/>
      <c r="O353" s="464"/>
      <c r="R353" s="448"/>
      <c r="S353" s="464"/>
      <c r="V353" s="448"/>
      <c r="W353" s="464"/>
      <c r="Z353" s="448"/>
      <c r="AA353" s="464"/>
      <c r="AD353" s="448"/>
      <c r="AE353" s="464"/>
      <c r="AH353" s="448"/>
      <c r="AI353" s="464"/>
      <c r="AL353" s="448"/>
      <c r="AP353" s="448"/>
    </row>
    <row r="354" spans="1:42" ht="13">
      <c r="A354" s="462"/>
      <c r="B354" s="462"/>
      <c r="N354" s="448"/>
      <c r="O354" s="464"/>
      <c r="R354" s="448"/>
      <c r="S354" s="464"/>
      <c r="V354" s="448"/>
      <c r="W354" s="464"/>
      <c r="Z354" s="448"/>
      <c r="AA354" s="464"/>
      <c r="AD354" s="448"/>
      <c r="AE354" s="464"/>
      <c r="AH354" s="448"/>
      <c r="AI354" s="464"/>
      <c r="AL354" s="448"/>
      <c r="AP354" s="448"/>
    </row>
    <row r="355" spans="1:42" ht="13">
      <c r="A355" s="462"/>
      <c r="B355" s="462"/>
      <c r="N355" s="448"/>
      <c r="O355" s="464"/>
      <c r="R355" s="448"/>
      <c r="S355" s="464"/>
      <c r="V355" s="448"/>
      <c r="W355" s="464"/>
      <c r="Z355" s="448"/>
      <c r="AA355" s="464"/>
      <c r="AD355" s="448"/>
      <c r="AE355" s="464"/>
      <c r="AH355" s="448"/>
      <c r="AI355" s="464"/>
      <c r="AL355" s="448"/>
      <c r="AP355" s="448"/>
    </row>
    <row r="356" spans="1:42" ht="13">
      <c r="A356" s="462"/>
      <c r="B356" s="462"/>
      <c r="N356" s="448"/>
      <c r="O356" s="464"/>
      <c r="R356" s="448"/>
      <c r="S356" s="464"/>
      <c r="V356" s="448"/>
      <c r="W356" s="464"/>
      <c r="Z356" s="448"/>
      <c r="AA356" s="464"/>
      <c r="AD356" s="448"/>
      <c r="AE356" s="464"/>
      <c r="AH356" s="448"/>
      <c r="AI356" s="464"/>
      <c r="AL356" s="448"/>
      <c r="AP356" s="448"/>
    </row>
    <row r="357" spans="1:42" ht="13">
      <c r="A357" s="462"/>
      <c r="B357" s="462"/>
      <c r="N357" s="448"/>
      <c r="O357" s="464"/>
      <c r="R357" s="448"/>
      <c r="S357" s="464"/>
      <c r="V357" s="448"/>
      <c r="W357" s="464"/>
      <c r="Z357" s="448"/>
      <c r="AA357" s="464"/>
      <c r="AD357" s="448"/>
      <c r="AE357" s="464"/>
      <c r="AH357" s="448"/>
      <c r="AI357" s="464"/>
      <c r="AL357" s="448"/>
      <c r="AP357" s="448"/>
    </row>
    <row r="358" spans="1:42" ht="13">
      <c r="A358" s="462"/>
      <c r="B358" s="462"/>
      <c r="N358" s="448"/>
      <c r="O358" s="464"/>
      <c r="R358" s="448"/>
      <c r="S358" s="464"/>
      <c r="V358" s="448"/>
      <c r="W358" s="464"/>
      <c r="Z358" s="448"/>
      <c r="AA358" s="464"/>
      <c r="AD358" s="448"/>
      <c r="AE358" s="464"/>
      <c r="AH358" s="448"/>
      <c r="AI358" s="464"/>
      <c r="AL358" s="448"/>
      <c r="AP358" s="448"/>
    </row>
    <row r="359" spans="1:42" ht="13">
      <c r="A359" s="462"/>
      <c r="B359" s="462"/>
      <c r="N359" s="448"/>
      <c r="O359" s="464"/>
      <c r="R359" s="448"/>
      <c r="S359" s="464"/>
      <c r="V359" s="448"/>
      <c r="W359" s="464"/>
      <c r="Z359" s="448"/>
      <c r="AA359" s="464"/>
      <c r="AD359" s="448"/>
      <c r="AE359" s="464"/>
      <c r="AH359" s="448"/>
      <c r="AI359" s="464"/>
      <c r="AL359" s="448"/>
      <c r="AP359" s="448"/>
    </row>
    <row r="360" spans="1:42" ht="13">
      <c r="A360" s="462"/>
      <c r="B360" s="462"/>
      <c r="N360" s="448"/>
      <c r="O360" s="464"/>
      <c r="R360" s="448"/>
      <c r="S360" s="464"/>
      <c r="V360" s="448"/>
      <c r="W360" s="464"/>
      <c r="Z360" s="448"/>
      <c r="AA360" s="464"/>
      <c r="AD360" s="448"/>
      <c r="AE360" s="464"/>
      <c r="AH360" s="448"/>
      <c r="AI360" s="464"/>
      <c r="AL360" s="448"/>
      <c r="AP360" s="448"/>
    </row>
    <row r="361" spans="1:42" ht="13">
      <c r="A361" s="462"/>
      <c r="B361" s="462"/>
      <c r="N361" s="448"/>
      <c r="O361" s="464"/>
      <c r="R361" s="448"/>
      <c r="S361" s="464"/>
      <c r="V361" s="448"/>
      <c r="W361" s="464"/>
      <c r="Z361" s="448"/>
      <c r="AA361" s="464"/>
      <c r="AD361" s="448"/>
      <c r="AE361" s="464"/>
      <c r="AH361" s="448"/>
      <c r="AI361" s="464"/>
      <c r="AL361" s="448"/>
      <c r="AP361" s="448"/>
    </row>
    <row r="362" spans="1:42" ht="13">
      <c r="A362" s="462"/>
      <c r="B362" s="462"/>
      <c r="N362" s="448"/>
      <c r="O362" s="464"/>
      <c r="R362" s="448"/>
      <c r="S362" s="464"/>
      <c r="V362" s="448"/>
      <c r="W362" s="464"/>
      <c r="Z362" s="448"/>
      <c r="AA362" s="464"/>
      <c r="AD362" s="448"/>
      <c r="AE362" s="464"/>
      <c r="AH362" s="448"/>
      <c r="AI362" s="464"/>
      <c r="AL362" s="448"/>
      <c r="AP362" s="448"/>
    </row>
    <row r="363" spans="1:42" ht="13">
      <c r="A363" s="462"/>
      <c r="B363" s="462"/>
      <c r="N363" s="448"/>
      <c r="O363" s="464"/>
      <c r="R363" s="448"/>
      <c r="S363" s="464"/>
      <c r="V363" s="448"/>
      <c r="W363" s="464"/>
      <c r="Z363" s="448"/>
      <c r="AA363" s="464"/>
      <c r="AD363" s="448"/>
      <c r="AE363" s="464"/>
      <c r="AH363" s="448"/>
      <c r="AI363" s="464"/>
      <c r="AL363" s="448"/>
      <c r="AP363" s="448"/>
    </row>
    <row r="364" spans="1:42" ht="13">
      <c r="A364" s="462"/>
      <c r="B364" s="462"/>
      <c r="N364" s="448"/>
      <c r="O364" s="464"/>
      <c r="R364" s="448"/>
      <c r="S364" s="464"/>
      <c r="V364" s="448"/>
      <c r="W364" s="464"/>
      <c r="Z364" s="448"/>
      <c r="AA364" s="464"/>
      <c r="AD364" s="448"/>
      <c r="AE364" s="464"/>
      <c r="AH364" s="448"/>
      <c r="AI364" s="464"/>
      <c r="AL364" s="448"/>
      <c r="AP364" s="448"/>
    </row>
    <row r="365" spans="1:42" ht="13">
      <c r="A365" s="462"/>
      <c r="B365" s="462"/>
      <c r="N365" s="448"/>
      <c r="O365" s="464"/>
      <c r="R365" s="448"/>
      <c r="S365" s="464"/>
      <c r="V365" s="448"/>
      <c r="W365" s="464"/>
      <c r="Z365" s="448"/>
      <c r="AA365" s="464"/>
      <c r="AD365" s="448"/>
      <c r="AE365" s="464"/>
      <c r="AH365" s="448"/>
      <c r="AI365" s="464"/>
      <c r="AL365" s="448"/>
      <c r="AP365" s="448"/>
    </row>
    <row r="366" spans="1:42" ht="13">
      <c r="A366" s="462"/>
      <c r="B366" s="462"/>
      <c r="N366" s="448"/>
      <c r="O366" s="464"/>
      <c r="R366" s="448"/>
      <c r="S366" s="464"/>
      <c r="V366" s="448"/>
      <c r="W366" s="464"/>
      <c r="Z366" s="448"/>
      <c r="AA366" s="464"/>
      <c r="AD366" s="448"/>
      <c r="AE366" s="464"/>
      <c r="AH366" s="448"/>
      <c r="AI366" s="464"/>
      <c r="AL366" s="448"/>
      <c r="AP366" s="448"/>
    </row>
    <row r="367" spans="1:42" ht="13">
      <c r="A367" s="462"/>
      <c r="B367" s="462"/>
      <c r="N367" s="448"/>
      <c r="O367" s="464"/>
      <c r="R367" s="448"/>
      <c r="S367" s="464"/>
      <c r="V367" s="448"/>
      <c r="W367" s="464"/>
      <c r="Z367" s="448"/>
      <c r="AA367" s="464"/>
      <c r="AD367" s="448"/>
      <c r="AE367" s="464"/>
      <c r="AH367" s="448"/>
      <c r="AI367" s="464"/>
      <c r="AL367" s="448"/>
      <c r="AP367" s="448"/>
    </row>
    <row r="368" spans="1:42" ht="13">
      <c r="A368" s="462"/>
      <c r="B368" s="462"/>
      <c r="N368" s="448"/>
      <c r="O368" s="464"/>
      <c r="R368" s="448"/>
      <c r="S368" s="464"/>
      <c r="V368" s="448"/>
      <c r="W368" s="464"/>
      <c r="Z368" s="448"/>
      <c r="AA368" s="464"/>
      <c r="AD368" s="448"/>
      <c r="AE368" s="464"/>
      <c r="AH368" s="448"/>
      <c r="AI368" s="464"/>
      <c r="AL368" s="448"/>
      <c r="AP368" s="448"/>
    </row>
    <row r="369" spans="1:42" ht="13">
      <c r="A369" s="462"/>
      <c r="B369" s="462"/>
      <c r="N369" s="448"/>
      <c r="O369" s="464"/>
      <c r="R369" s="448"/>
      <c r="S369" s="464"/>
      <c r="V369" s="448"/>
      <c r="W369" s="464"/>
      <c r="Z369" s="448"/>
      <c r="AA369" s="464"/>
      <c r="AD369" s="448"/>
      <c r="AE369" s="464"/>
      <c r="AH369" s="448"/>
      <c r="AI369" s="464"/>
      <c r="AL369" s="448"/>
      <c r="AP369" s="448"/>
    </row>
    <row r="370" spans="1:42" ht="13">
      <c r="A370" s="462"/>
      <c r="B370" s="462"/>
      <c r="N370" s="448"/>
      <c r="O370" s="464"/>
      <c r="R370" s="448"/>
      <c r="S370" s="464"/>
      <c r="V370" s="448"/>
      <c r="W370" s="464"/>
      <c r="Z370" s="448"/>
      <c r="AA370" s="464"/>
      <c r="AD370" s="448"/>
      <c r="AE370" s="464"/>
      <c r="AH370" s="448"/>
      <c r="AI370" s="464"/>
      <c r="AL370" s="448"/>
      <c r="AP370" s="448"/>
    </row>
    <row r="371" spans="1:42" ht="13">
      <c r="A371" s="462"/>
      <c r="B371" s="462"/>
      <c r="N371" s="448"/>
      <c r="O371" s="464"/>
      <c r="R371" s="448"/>
      <c r="S371" s="464"/>
      <c r="V371" s="448"/>
      <c r="W371" s="464"/>
      <c r="Z371" s="448"/>
      <c r="AA371" s="464"/>
      <c r="AD371" s="448"/>
      <c r="AE371" s="464"/>
      <c r="AH371" s="448"/>
      <c r="AI371" s="464"/>
      <c r="AL371" s="448"/>
      <c r="AP371" s="448"/>
    </row>
    <row r="372" spans="1:42" ht="13">
      <c r="A372" s="462"/>
      <c r="B372" s="462"/>
      <c r="N372" s="448"/>
      <c r="O372" s="464"/>
      <c r="R372" s="448"/>
      <c r="S372" s="464"/>
      <c r="V372" s="448"/>
      <c r="W372" s="464"/>
      <c r="Z372" s="448"/>
      <c r="AA372" s="464"/>
      <c r="AD372" s="448"/>
      <c r="AE372" s="464"/>
      <c r="AH372" s="448"/>
      <c r="AI372" s="464"/>
      <c r="AL372" s="448"/>
      <c r="AP372" s="448"/>
    </row>
    <row r="373" spans="1:42" ht="13">
      <c r="A373" s="462"/>
      <c r="B373" s="462"/>
      <c r="N373" s="448"/>
      <c r="O373" s="464"/>
      <c r="R373" s="448"/>
      <c r="S373" s="464"/>
      <c r="V373" s="448"/>
      <c r="W373" s="464"/>
      <c r="Z373" s="448"/>
      <c r="AA373" s="464"/>
      <c r="AD373" s="448"/>
      <c r="AE373" s="464"/>
      <c r="AH373" s="448"/>
      <c r="AI373" s="464"/>
      <c r="AL373" s="448"/>
      <c r="AP373" s="448"/>
    </row>
    <row r="374" spans="1:42" ht="13">
      <c r="A374" s="462"/>
      <c r="B374" s="462"/>
      <c r="N374" s="448"/>
      <c r="O374" s="464"/>
      <c r="R374" s="448"/>
      <c r="S374" s="464"/>
      <c r="V374" s="448"/>
      <c r="W374" s="464"/>
      <c r="Z374" s="448"/>
      <c r="AA374" s="464"/>
      <c r="AD374" s="448"/>
      <c r="AE374" s="464"/>
      <c r="AH374" s="448"/>
      <c r="AI374" s="464"/>
      <c r="AL374" s="448"/>
      <c r="AP374" s="448"/>
    </row>
    <row r="375" spans="1:42" ht="13">
      <c r="A375" s="462"/>
      <c r="B375" s="462"/>
      <c r="N375" s="448"/>
      <c r="O375" s="464"/>
      <c r="R375" s="448"/>
      <c r="S375" s="464"/>
      <c r="V375" s="448"/>
      <c r="W375" s="464"/>
      <c r="Z375" s="448"/>
      <c r="AA375" s="464"/>
      <c r="AD375" s="448"/>
      <c r="AE375" s="464"/>
      <c r="AH375" s="448"/>
      <c r="AI375" s="464"/>
      <c r="AL375" s="448"/>
      <c r="AP375" s="448"/>
    </row>
    <row r="376" spans="1:42" ht="13">
      <c r="A376" s="462"/>
      <c r="B376" s="462"/>
      <c r="N376" s="448"/>
      <c r="O376" s="464"/>
      <c r="R376" s="448"/>
      <c r="S376" s="464"/>
      <c r="V376" s="448"/>
      <c r="W376" s="464"/>
      <c r="Z376" s="448"/>
      <c r="AA376" s="464"/>
      <c r="AD376" s="448"/>
      <c r="AE376" s="464"/>
      <c r="AH376" s="448"/>
      <c r="AI376" s="464"/>
      <c r="AL376" s="448"/>
      <c r="AP376" s="448"/>
    </row>
    <row r="377" spans="1:42" ht="13">
      <c r="A377" s="462"/>
      <c r="B377" s="462"/>
      <c r="N377" s="448"/>
      <c r="O377" s="464"/>
      <c r="R377" s="448"/>
      <c r="S377" s="464"/>
      <c r="V377" s="448"/>
      <c r="W377" s="464"/>
      <c r="Z377" s="448"/>
      <c r="AA377" s="464"/>
      <c r="AD377" s="448"/>
      <c r="AE377" s="464"/>
      <c r="AH377" s="448"/>
      <c r="AI377" s="464"/>
      <c r="AL377" s="448"/>
      <c r="AP377" s="448"/>
    </row>
    <row r="378" spans="1:42" ht="13">
      <c r="A378" s="462"/>
      <c r="B378" s="462"/>
      <c r="N378" s="448"/>
      <c r="O378" s="464"/>
      <c r="R378" s="448"/>
      <c r="S378" s="464"/>
      <c r="V378" s="448"/>
      <c r="W378" s="464"/>
      <c r="Z378" s="448"/>
      <c r="AA378" s="464"/>
      <c r="AD378" s="448"/>
      <c r="AE378" s="464"/>
      <c r="AH378" s="448"/>
      <c r="AI378" s="464"/>
      <c r="AL378" s="448"/>
      <c r="AP378" s="448"/>
    </row>
    <row r="379" spans="1:42" ht="13">
      <c r="A379" s="462"/>
      <c r="B379" s="462"/>
      <c r="N379" s="448"/>
      <c r="O379" s="464"/>
      <c r="R379" s="448"/>
      <c r="S379" s="464"/>
      <c r="V379" s="448"/>
      <c r="W379" s="464"/>
      <c r="Z379" s="448"/>
      <c r="AA379" s="464"/>
      <c r="AD379" s="448"/>
      <c r="AE379" s="464"/>
      <c r="AH379" s="448"/>
      <c r="AI379" s="464"/>
      <c r="AL379" s="448"/>
      <c r="AP379" s="448"/>
    </row>
    <row r="380" spans="1:42" ht="13">
      <c r="A380" s="462"/>
      <c r="B380" s="462"/>
      <c r="N380" s="448"/>
      <c r="O380" s="464"/>
      <c r="R380" s="448"/>
      <c r="S380" s="464"/>
      <c r="V380" s="448"/>
      <c r="W380" s="464"/>
      <c r="Z380" s="448"/>
      <c r="AA380" s="464"/>
      <c r="AD380" s="448"/>
      <c r="AE380" s="464"/>
      <c r="AH380" s="448"/>
      <c r="AI380" s="464"/>
      <c r="AL380" s="448"/>
      <c r="AP380" s="448"/>
    </row>
    <row r="381" spans="1:42" ht="13">
      <c r="A381" s="462"/>
      <c r="B381" s="462"/>
      <c r="N381" s="448"/>
      <c r="O381" s="464"/>
      <c r="R381" s="448"/>
      <c r="S381" s="464"/>
      <c r="V381" s="448"/>
      <c r="W381" s="464"/>
      <c r="Z381" s="448"/>
      <c r="AA381" s="464"/>
      <c r="AD381" s="448"/>
      <c r="AE381" s="464"/>
      <c r="AH381" s="448"/>
      <c r="AI381" s="464"/>
      <c r="AL381" s="448"/>
      <c r="AP381" s="448"/>
    </row>
    <row r="382" spans="1:42" ht="13">
      <c r="A382" s="462"/>
      <c r="B382" s="462"/>
      <c r="N382" s="448"/>
      <c r="O382" s="464"/>
      <c r="R382" s="448"/>
      <c r="S382" s="464"/>
      <c r="V382" s="448"/>
      <c r="W382" s="464"/>
      <c r="Z382" s="448"/>
      <c r="AA382" s="464"/>
      <c r="AD382" s="448"/>
      <c r="AE382" s="464"/>
      <c r="AH382" s="448"/>
      <c r="AI382" s="464"/>
      <c r="AL382" s="448"/>
      <c r="AP382" s="448"/>
    </row>
    <row r="383" spans="1:42" ht="13">
      <c r="A383" s="462"/>
      <c r="B383" s="462"/>
      <c r="N383" s="448"/>
      <c r="O383" s="464"/>
      <c r="R383" s="448"/>
      <c r="S383" s="464"/>
      <c r="V383" s="448"/>
      <c r="W383" s="464"/>
      <c r="Z383" s="448"/>
      <c r="AA383" s="464"/>
      <c r="AD383" s="448"/>
      <c r="AE383" s="464"/>
      <c r="AH383" s="448"/>
      <c r="AI383" s="464"/>
      <c r="AL383" s="448"/>
      <c r="AP383" s="448"/>
    </row>
    <row r="384" spans="1:42" ht="13">
      <c r="A384" s="462"/>
      <c r="B384" s="462"/>
      <c r="N384" s="448"/>
      <c r="O384" s="464"/>
      <c r="R384" s="448"/>
      <c r="S384" s="464"/>
      <c r="V384" s="448"/>
      <c r="W384" s="464"/>
      <c r="Z384" s="448"/>
      <c r="AA384" s="464"/>
      <c r="AD384" s="448"/>
      <c r="AE384" s="464"/>
      <c r="AH384" s="448"/>
      <c r="AI384" s="464"/>
      <c r="AL384" s="448"/>
      <c r="AP384" s="448"/>
    </row>
    <row r="385" spans="1:42" ht="13">
      <c r="A385" s="462"/>
      <c r="B385" s="462"/>
      <c r="N385" s="448"/>
      <c r="O385" s="464"/>
      <c r="R385" s="448"/>
      <c r="S385" s="464"/>
      <c r="V385" s="448"/>
      <c r="W385" s="464"/>
      <c r="Z385" s="448"/>
      <c r="AA385" s="464"/>
      <c r="AD385" s="448"/>
      <c r="AE385" s="464"/>
      <c r="AH385" s="448"/>
      <c r="AI385" s="464"/>
      <c r="AL385" s="448"/>
      <c r="AP385" s="448"/>
    </row>
    <row r="386" spans="1:42" ht="13">
      <c r="A386" s="462"/>
      <c r="B386" s="462"/>
      <c r="N386" s="448"/>
      <c r="O386" s="464"/>
      <c r="R386" s="448"/>
      <c r="S386" s="464"/>
      <c r="V386" s="448"/>
      <c r="W386" s="464"/>
      <c r="Z386" s="448"/>
      <c r="AA386" s="464"/>
      <c r="AD386" s="448"/>
      <c r="AE386" s="464"/>
      <c r="AH386" s="448"/>
      <c r="AI386" s="464"/>
      <c r="AL386" s="448"/>
      <c r="AP386" s="448"/>
    </row>
    <row r="387" spans="1:42" ht="13">
      <c r="A387" s="462"/>
      <c r="B387" s="462"/>
      <c r="N387" s="448"/>
      <c r="O387" s="464"/>
      <c r="R387" s="448"/>
      <c r="S387" s="464"/>
      <c r="V387" s="448"/>
      <c r="W387" s="464"/>
      <c r="Z387" s="448"/>
      <c r="AA387" s="464"/>
      <c r="AD387" s="448"/>
      <c r="AE387" s="464"/>
      <c r="AH387" s="448"/>
      <c r="AI387" s="464"/>
      <c r="AL387" s="448"/>
      <c r="AP387" s="448"/>
    </row>
    <row r="388" spans="1:42" ht="13">
      <c r="A388" s="462"/>
      <c r="B388" s="462"/>
      <c r="N388" s="448"/>
      <c r="O388" s="464"/>
      <c r="R388" s="448"/>
      <c r="S388" s="464"/>
      <c r="V388" s="448"/>
      <c r="W388" s="464"/>
      <c r="Z388" s="448"/>
      <c r="AA388" s="464"/>
      <c r="AD388" s="448"/>
      <c r="AE388" s="464"/>
      <c r="AH388" s="448"/>
      <c r="AI388" s="464"/>
      <c r="AL388" s="448"/>
      <c r="AP388" s="448"/>
    </row>
    <row r="389" spans="1:42" ht="13">
      <c r="A389" s="462"/>
      <c r="B389" s="462"/>
      <c r="N389" s="448"/>
      <c r="O389" s="464"/>
      <c r="R389" s="448"/>
      <c r="S389" s="464"/>
      <c r="V389" s="448"/>
      <c r="W389" s="464"/>
      <c r="Z389" s="448"/>
      <c r="AA389" s="464"/>
      <c r="AD389" s="448"/>
      <c r="AE389" s="464"/>
      <c r="AH389" s="448"/>
      <c r="AI389" s="464"/>
      <c r="AL389" s="448"/>
      <c r="AP389" s="448"/>
    </row>
    <row r="390" spans="1:42" ht="13">
      <c r="A390" s="462"/>
      <c r="B390" s="462"/>
      <c r="N390" s="448"/>
      <c r="O390" s="464"/>
      <c r="R390" s="448"/>
      <c r="S390" s="464"/>
      <c r="V390" s="448"/>
      <c r="W390" s="464"/>
      <c r="Z390" s="448"/>
      <c r="AA390" s="464"/>
      <c r="AD390" s="448"/>
      <c r="AE390" s="464"/>
      <c r="AH390" s="448"/>
      <c r="AI390" s="464"/>
      <c r="AL390" s="448"/>
      <c r="AP390" s="448"/>
    </row>
    <row r="391" spans="1:42" ht="13">
      <c r="A391" s="462"/>
      <c r="B391" s="462"/>
      <c r="N391" s="448"/>
      <c r="O391" s="464"/>
      <c r="R391" s="448"/>
      <c r="S391" s="464"/>
      <c r="V391" s="448"/>
      <c r="W391" s="464"/>
      <c r="Z391" s="448"/>
      <c r="AA391" s="464"/>
      <c r="AD391" s="448"/>
      <c r="AE391" s="464"/>
      <c r="AH391" s="448"/>
      <c r="AI391" s="464"/>
      <c r="AL391" s="448"/>
      <c r="AP391" s="448"/>
    </row>
    <row r="392" spans="1:42" ht="13">
      <c r="A392" s="462"/>
      <c r="B392" s="462"/>
      <c r="N392" s="448"/>
      <c r="O392" s="464"/>
      <c r="R392" s="448"/>
      <c r="S392" s="464"/>
      <c r="V392" s="448"/>
      <c r="W392" s="464"/>
      <c r="Z392" s="448"/>
      <c r="AA392" s="464"/>
      <c r="AD392" s="448"/>
      <c r="AE392" s="464"/>
      <c r="AH392" s="448"/>
      <c r="AI392" s="464"/>
      <c r="AL392" s="448"/>
      <c r="AP392" s="448"/>
    </row>
    <row r="393" spans="1:42" ht="13">
      <c r="A393" s="462"/>
      <c r="B393" s="462"/>
      <c r="N393" s="448"/>
      <c r="O393" s="464"/>
      <c r="R393" s="448"/>
      <c r="S393" s="464"/>
      <c r="V393" s="448"/>
      <c r="W393" s="464"/>
      <c r="Z393" s="448"/>
      <c r="AA393" s="464"/>
      <c r="AD393" s="448"/>
      <c r="AE393" s="464"/>
      <c r="AH393" s="448"/>
      <c r="AI393" s="464"/>
      <c r="AL393" s="448"/>
      <c r="AP393" s="448"/>
    </row>
    <row r="394" spans="1:42" ht="13">
      <c r="A394" s="462"/>
      <c r="B394" s="462"/>
      <c r="N394" s="448"/>
      <c r="O394" s="464"/>
      <c r="R394" s="448"/>
      <c r="S394" s="464"/>
      <c r="V394" s="448"/>
      <c r="W394" s="464"/>
      <c r="Z394" s="448"/>
      <c r="AA394" s="464"/>
      <c r="AD394" s="448"/>
      <c r="AE394" s="464"/>
      <c r="AH394" s="448"/>
      <c r="AI394" s="464"/>
      <c r="AL394" s="448"/>
      <c r="AP394" s="448"/>
    </row>
    <row r="395" spans="1:42" ht="13">
      <c r="A395" s="462"/>
      <c r="B395" s="462"/>
      <c r="N395" s="448"/>
      <c r="O395" s="464"/>
      <c r="R395" s="448"/>
      <c r="S395" s="464"/>
      <c r="V395" s="448"/>
      <c r="W395" s="464"/>
      <c r="Z395" s="448"/>
      <c r="AA395" s="464"/>
      <c r="AD395" s="448"/>
      <c r="AE395" s="464"/>
      <c r="AH395" s="448"/>
      <c r="AI395" s="464"/>
      <c r="AL395" s="448"/>
      <c r="AP395" s="448"/>
    </row>
    <row r="396" spans="1:42" ht="13">
      <c r="A396" s="462"/>
      <c r="B396" s="462"/>
      <c r="N396" s="448"/>
      <c r="O396" s="464"/>
      <c r="R396" s="448"/>
      <c r="S396" s="464"/>
      <c r="V396" s="448"/>
      <c r="W396" s="464"/>
      <c r="Z396" s="448"/>
      <c r="AA396" s="464"/>
      <c r="AD396" s="448"/>
      <c r="AE396" s="464"/>
      <c r="AH396" s="448"/>
      <c r="AI396" s="464"/>
      <c r="AL396" s="448"/>
      <c r="AP396" s="448"/>
    </row>
    <row r="397" spans="1:42" ht="13">
      <c r="A397" s="462"/>
      <c r="B397" s="462"/>
      <c r="N397" s="448"/>
      <c r="O397" s="464"/>
      <c r="R397" s="448"/>
      <c r="S397" s="464"/>
      <c r="V397" s="448"/>
      <c r="W397" s="464"/>
      <c r="Z397" s="448"/>
      <c r="AA397" s="464"/>
      <c r="AD397" s="448"/>
      <c r="AE397" s="464"/>
      <c r="AH397" s="448"/>
      <c r="AI397" s="464"/>
      <c r="AL397" s="448"/>
      <c r="AP397" s="448"/>
    </row>
    <row r="398" spans="1:42" ht="13">
      <c r="A398" s="462"/>
      <c r="B398" s="462"/>
      <c r="N398" s="448"/>
      <c r="O398" s="464"/>
      <c r="R398" s="448"/>
      <c r="S398" s="464"/>
      <c r="V398" s="448"/>
      <c r="W398" s="464"/>
      <c r="Z398" s="448"/>
      <c r="AA398" s="464"/>
      <c r="AD398" s="448"/>
      <c r="AE398" s="464"/>
      <c r="AH398" s="448"/>
      <c r="AI398" s="464"/>
      <c r="AL398" s="448"/>
      <c r="AP398" s="448"/>
    </row>
    <row r="399" spans="1:42" ht="13">
      <c r="A399" s="462"/>
      <c r="B399" s="462"/>
      <c r="N399" s="448"/>
      <c r="O399" s="464"/>
      <c r="R399" s="448"/>
      <c r="S399" s="464"/>
      <c r="V399" s="448"/>
      <c r="W399" s="464"/>
      <c r="Z399" s="448"/>
      <c r="AA399" s="464"/>
      <c r="AD399" s="448"/>
      <c r="AE399" s="464"/>
      <c r="AH399" s="448"/>
      <c r="AI399" s="464"/>
      <c r="AL399" s="448"/>
      <c r="AP399" s="448"/>
    </row>
    <row r="400" spans="1:42" ht="13">
      <c r="A400" s="462"/>
      <c r="B400" s="462"/>
      <c r="N400" s="448"/>
      <c r="O400" s="464"/>
      <c r="R400" s="448"/>
      <c r="S400" s="464"/>
      <c r="V400" s="448"/>
      <c r="W400" s="464"/>
      <c r="Z400" s="448"/>
      <c r="AA400" s="464"/>
      <c r="AD400" s="448"/>
      <c r="AE400" s="464"/>
      <c r="AH400" s="448"/>
      <c r="AI400" s="464"/>
      <c r="AL400" s="448"/>
      <c r="AP400" s="448"/>
    </row>
    <row r="401" spans="1:42" ht="13">
      <c r="A401" s="462"/>
      <c r="B401" s="462"/>
      <c r="N401" s="448"/>
      <c r="O401" s="464"/>
      <c r="R401" s="448"/>
      <c r="S401" s="464"/>
      <c r="V401" s="448"/>
      <c r="W401" s="464"/>
      <c r="Z401" s="448"/>
      <c r="AA401" s="464"/>
      <c r="AD401" s="448"/>
      <c r="AE401" s="464"/>
      <c r="AH401" s="448"/>
      <c r="AI401" s="464"/>
      <c r="AL401" s="448"/>
      <c r="AP401" s="448"/>
    </row>
    <row r="402" spans="1:42" ht="13">
      <c r="A402" s="462"/>
      <c r="B402" s="462"/>
      <c r="N402" s="448"/>
      <c r="O402" s="464"/>
      <c r="R402" s="448"/>
      <c r="S402" s="464"/>
      <c r="V402" s="448"/>
      <c r="W402" s="464"/>
      <c r="Z402" s="448"/>
      <c r="AA402" s="464"/>
      <c r="AD402" s="448"/>
      <c r="AE402" s="464"/>
      <c r="AH402" s="448"/>
      <c r="AI402" s="464"/>
      <c r="AL402" s="448"/>
      <c r="AP402" s="448"/>
    </row>
    <row r="403" spans="1:42" ht="13">
      <c r="A403" s="462"/>
      <c r="B403" s="462"/>
      <c r="N403" s="448"/>
      <c r="O403" s="464"/>
      <c r="R403" s="448"/>
      <c r="S403" s="464"/>
      <c r="V403" s="448"/>
      <c r="W403" s="464"/>
      <c r="Z403" s="448"/>
      <c r="AA403" s="464"/>
      <c r="AD403" s="448"/>
      <c r="AE403" s="464"/>
      <c r="AH403" s="448"/>
      <c r="AI403" s="464"/>
      <c r="AL403" s="448"/>
      <c r="AP403" s="448"/>
    </row>
    <row r="404" spans="1:42" ht="13">
      <c r="A404" s="462"/>
      <c r="B404" s="462"/>
      <c r="N404" s="448"/>
      <c r="O404" s="464"/>
      <c r="R404" s="448"/>
      <c r="S404" s="464"/>
      <c r="V404" s="448"/>
      <c r="W404" s="464"/>
      <c r="Z404" s="448"/>
      <c r="AA404" s="464"/>
      <c r="AD404" s="448"/>
      <c r="AE404" s="464"/>
      <c r="AH404" s="448"/>
      <c r="AI404" s="464"/>
      <c r="AL404" s="448"/>
      <c r="AP404" s="448"/>
    </row>
    <row r="405" spans="1:42" ht="13">
      <c r="A405" s="462"/>
      <c r="B405" s="462"/>
      <c r="N405" s="448"/>
      <c r="O405" s="464"/>
      <c r="R405" s="448"/>
      <c r="S405" s="464"/>
      <c r="V405" s="448"/>
      <c r="W405" s="464"/>
      <c r="Z405" s="448"/>
      <c r="AA405" s="464"/>
      <c r="AD405" s="448"/>
      <c r="AE405" s="464"/>
      <c r="AH405" s="448"/>
      <c r="AI405" s="464"/>
      <c r="AL405" s="448"/>
      <c r="AP405" s="448"/>
    </row>
    <row r="406" spans="1:42" ht="13">
      <c r="A406" s="462"/>
      <c r="B406" s="462"/>
      <c r="N406" s="448"/>
      <c r="O406" s="464"/>
      <c r="R406" s="448"/>
      <c r="S406" s="464"/>
      <c r="V406" s="448"/>
      <c r="W406" s="464"/>
      <c r="Z406" s="448"/>
      <c r="AA406" s="464"/>
      <c r="AD406" s="448"/>
      <c r="AE406" s="464"/>
      <c r="AH406" s="448"/>
      <c r="AI406" s="464"/>
      <c r="AL406" s="448"/>
      <c r="AP406" s="448"/>
    </row>
    <row r="407" spans="1:42" ht="13">
      <c r="A407" s="462"/>
      <c r="B407" s="462"/>
      <c r="N407" s="448"/>
      <c r="O407" s="464"/>
      <c r="R407" s="448"/>
      <c r="S407" s="464"/>
      <c r="V407" s="448"/>
      <c r="W407" s="464"/>
      <c r="Z407" s="448"/>
      <c r="AA407" s="464"/>
      <c r="AD407" s="448"/>
      <c r="AE407" s="464"/>
      <c r="AH407" s="448"/>
      <c r="AI407" s="464"/>
      <c r="AL407" s="448"/>
      <c r="AP407" s="448"/>
    </row>
    <row r="408" spans="1:42" ht="13">
      <c r="A408" s="462"/>
      <c r="B408" s="462"/>
      <c r="N408" s="448"/>
      <c r="O408" s="464"/>
      <c r="R408" s="448"/>
      <c r="S408" s="464"/>
      <c r="V408" s="448"/>
      <c r="W408" s="464"/>
      <c r="Z408" s="448"/>
      <c r="AA408" s="464"/>
      <c r="AD408" s="448"/>
      <c r="AE408" s="464"/>
      <c r="AH408" s="448"/>
      <c r="AI408" s="464"/>
      <c r="AL408" s="448"/>
      <c r="AP408" s="448"/>
    </row>
    <row r="409" spans="1:42" ht="13">
      <c r="A409" s="462"/>
      <c r="B409" s="462"/>
      <c r="N409" s="448"/>
      <c r="O409" s="464"/>
      <c r="R409" s="448"/>
      <c r="S409" s="464"/>
      <c r="V409" s="448"/>
      <c r="W409" s="464"/>
      <c r="Z409" s="448"/>
      <c r="AA409" s="464"/>
      <c r="AD409" s="448"/>
      <c r="AE409" s="464"/>
      <c r="AH409" s="448"/>
      <c r="AI409" s="464"/>
      <c r="AL409" s="448"/>
      <c r="AP409" s="448"/>
    </row>
    <row r="410" spans="1:42" ht="13">
      <c r="A410" s="462"/>
      <c r="B410" s="462"/>
      <c r="N410" s="448"/>
      <c r="O410" s="464"/>
      <c r="R410" s="448"/>
      <c r="S410" s="464"/>
      <c r="V410" s="448"/>
      <c r="W410" s="464"/>
      <c r="Z410" s="448"/>
      <c r="AA410" s="464"/>
      <c r="AD410" s="448"/>
      <c r="AE410" s="464"/>
      <c r="AH410" s="448"/>
      <c r="AI410" s="464"/>
      <c r="AL410" s="448"/>
      <c r="AP410" s="448"/>
    </row>
    <row r="411" spans="1:42" ht="13">
      <c r="A411" s="462"/>
      <c r="B411" s="462"/>
      <c r="N411" s="448"/>
      <c r="O411" s="464"/>
      <c r="R411" s="448"/>
      <c r="S411" s="464"/>
      <c r="V411" s="448"/>
      <c r="W411" s="464"/>
      <c r="Z411" s="448"/>
      <c r="AA411" s="464"/>
      <c r="AD411" s="448"/>
      <c r="AE411" s="464"/>
      <c r="AH411" s="448"/>
      <c r="AI411" s="464"/>
      <c r="AL411" s="448"/>
      <c r="AP411" s="448"/>
    </row>
    <row r="412" spans="1:42" ht="13">
      <c r="A412" s="462"/>
      <c r="B412" s="462"/>
      <c r="N412" s="448"/>
      <c r="O412" s="464"/>
      <c r="R412" s="448"/>
      <c r="S412" s="464"/>
      <c r="V412" s="448"/>
      <c r="W412" s="464"/>
      <c r="Z412" s="448"/>
      <c r="AA412" s="464"/>
      <c r="AD412" s="448"/>
      <c r="AE412" s="464"/>
      <c r="AH412" s="448"/>
      <c r="AI412" s="464"/>
      <c r="AL412" s="448"/>
      <c r="AP412" s="448"/>
    </row>
    <row r="413" spans="1:42" ht="13">
      <c r="A413" s="462"/>
      <c r="B413" s="462"/>
      <c r="N413" s="448"/>
      <c r="O413" s="464"/>
      <c r="R413" s="448"/>
      <c r="S413" s="464"/>
      <c r="V413" s="448"/>
      <c r="W413" s="464"/>
      <c r="Z413" s="448"/>
      <c r="AA413" s="464"/>
      <c r="AD413" s="448"/>
      <c r="AE413" s="464"/>
      <c r="AH413" s="448"/>
      <c r="AI413" s="464"/>
      <c r="AL413" s="448"/>
      <c r="AP413" s="448"/>
    </row>
    <row r="414" spans="1:42" ht="13">
      <c r="A414" s="462"/>
      <c r="B414" s="462"/>
      <c r="N414" s="448"/>
      <c r="O414" s="464"/>
      <c r="R414" s="448"/>
      <c r="S414" s="464"/>
      <c r="V414" s="448"/>
      <c r="W414" s="464"/>
      <c r="Z414" s="448"/>
      <c r="AA414" s="464"/>
      <c r="AD414" s="448"/>
      <c r="AE414" s="464"/>
      <c r="AH414" s="448"/>
      <c r="AI414" s="464"/>
      <c r="AL414" s="448"/>
      <c r="AP414" s="448"/>
    </row>
    <row r="415" spans="1:42" ht="13">
      <c r="A415" s="462"/>
      <c r="B415" s="462"/>
      <c r="N415" s="448"/>
      <c r="O415" s="464"/>
      <c r="R415" s="448"/>
      <c r="S415" s="464"/>
      <c r="V415" s="448"/>
      <c r="W415" s="464"/>
      <c r="Z415" s="448"/>
      <c r="AA415" s="464"/>
      <c r="AD415" s="448"/>
      <c r="AE415" s="464"/>
      <c r="AH415" s="448"/>
      <c r="AI415" s="464"/>
      <c r="AL415" s="448"/>
      <c r="AP415" s="448"/>
    </row>
    <row r="416" spans="1:42" ht="13">
      <c r="A416" s="462"/>
      <c r="B416" s="462"/>
      <c r="N416" s="448"/>
      <c r="O416" s="464"/>
      <c r="R416" s="448"/>
      <c r="S416" s="464"/>
      <c r="V416" s="448"/>
      <c r="W416" s="464"/>
      <c r="Z416" s="448"/>
      <c r="AA416" s="464"/>
      <c r="AD416" s="448"/>
      <c r="AE416" s="464"/>
      <c r="AH416" s="448"/>
      <c r="AI416" s="464"/>
      <c r="AL416" s="448"/>
      <c r="AP416" s="448"/>
    </row>
    <row r="417" spans="1:42" ht="13">
      <c r="A417" s="462"/>
      <c r="B417" s="462"/>
      <c r="N417" s="448"/>
      <c r="O417" s="464"/>
      <c r="R417" s="448"/>
      <c r="S417" s="464"/>
      <c r="V417" s="448"/>
      <c r="W417" s="464"/>
      <c r="Z417" s="448"/>
      <c r="AA417" s="464"/>
      <c r="AD417" s="448"/>
      <c r="AE417" s="464"/>
      <c r="AH417" s="448"/>
      <c r="AI417" s="464"/>
      <c r="AL417" s="448"/>
      <c r="AP417" s="448"/>
    </row>
    <row r="418" spans="1:42" ht="13">
      <c r="A418" s="462"/>
      <c r="B418" s="462"/>
      <c r="N418" s="448"/>
      <c r="O418" s="464"/>
      <c r="R418" s="448"/>
      <c r="S418" s="464"/>
      <c r="V418" s="448"/>
      <c r="W418" s="464"/>
      <c r="Z418" s="448"/>
      <c r="AA418" s="464"/>
      <c r="AD418" s="448"/>
      <c r="AE418" s="464"/>
      <c r="AH418" s="448"/>
      <c r="AI418" s="464"/>
      <c r="AL418" s="448"/>
      <c r="AP418" s="448"/>
    </row>
    <row r="419" spans="1:42" ht="13">
      <c r="A419" s="462"/>
      <c r="B419" s="462"/>
      <c r="N419" s="448"/>
      <c r="O419" s="464"/>
      <c r="R419" s="448"/>
      <c r="S419" s="464"/>
      <c r="V419" s="448"/>
      <c r="W419" s="464"/>
      <c r="Z419" s="448"/>
      <c r="AA419" s="464"/>
      <c r="AD419" s="448"/>
      <c r="AE419" s="464"/>
      <c r="AH419" s="448"/>
      <c r="AI419" s="464"/>
      <c r="AL419" s="448"/>
      <c r="AP419" s="448"/>
    </row>
    <row r="420" spans="1:42" ht="13">
      <c r="A420" s="462"/>
      <c r="B420" s="462"/>
      <c r="N420" s="448"/>
      <c r="O420" s="464"/>
      <c r="R420" s="448"/>
      <c r="S420" s="464"/>
      <c r="V420" s="448"/>
      <c r="W420" s="464"/>
      <c r="Z420" s="448"/>
      <c r="AA420" s="464"/>
      <c r="AD420" s="448"/>
      <c r="AE420" s="464"/>
      <c r="AH420" s="448"/>
      <c r="AI420" s="464"/>
      <c r="AL420" s="448"/>
      <c r="AP420" s="448"/>
    </row>
    <row r="421" spans="1:42" ht="13">
      <c r="A421" s="462"/>
      <c r="B421" s="462"/>
      <c r="N421" s="448"/>
      <c r="O421" s="464"/>
      <c r="R421" s="448"/>
      <c r="S421" s="464"/>
      <c r="V421" s="448"/>
      <c r="W421" s="464"/>
      <c r="Z421" s="448"/>
      <c r="AA421" s="464"/>
      <c r="AD421" s="448"/>
      <c r="AE421" s="464"/>
      <c r="AH421" s="448"/>
      <c r="AI421" s="464"/>
      <c r="AL421" s="448"/>
      <c r="AP421" s="448"/>
    </row>
    <row r="422" spans="1:42" ht="13">
      <c r="A422" s="462"/>
      <c r="B422" s="462"/>
      <c r="N422" s="448"/>
      <c r="O422" s="464"/>
      <c r="R422" s="448"/>
      <c r="S422" s="464"/>
      <c r="V422" s="448"/>
      <c r="W422" s="464"/>
      <c r="Z422" s="448"/>
      <c r="AA422" s="464"/>
      <c r="AD422" s="448"/>
      <c r="AE422" s="464"/>
      <c r="AH422" s="448"/>
      <c r="AI422" s="464"/>
      <c r="AL422" s="448"/>
      <c r="AP422" s="448"/>
    </row>
    <row r="423" spans="1:42" ht="13">
      <c r="A423" s="462"/>
      <c r="B423" s="462"/>
      <c r="N423" s="448"/>
      <c r="O423" s="464"/>
      <c r="R423" s="448"/>
      <c r="S423" s="464"/>
      <c r="V423" s="448"/>
      <c r="W423" s="464"/>
      <c r="Z423" s="448"/>
      <c r="AA423" s="464"/>
      <c r="AD423" s="448"/>
      <c r="AE423" s="464"/>
      <c r="AH423" s="448"/>
      <c r="AI423" s="464"/>
      <c r="AL423" s="448"/>
      <c r="AP423" s="448"/>
    </row>
    <row r="424" spans="1:42" ht="13">
      <c r="A424" s="462"/>
      <c r="B424" s="462"/>
      <c r="N424" s="448"/>
      <c r="O424" s="464"/>
      <c r="R424" s="448"/>
      <c r="S424" s="464"/>
      <c r="V424" s="448"/>
      <c r="W424" s="464"/>
      <c r="Z424" s="448"/>
      <c r="AA424" s="464"/>
      <c r="AD424" s="448"/>
      <c r="AE424" s="464"/>
      <c r="AH424" s="448"/>
      <c r="AI424" s="464"/>
      <c r="AL424" s="448"/>
      <c r="AP424" s="448"/>
    </row>
    <row r="425" spans="1:42" ht="13">
      <c r="A425" s="462"/>
      <c r="B425" s="462"/>
      <c r="N425" s="448"/>
      <c r="O425" s="464"/>
      <c r="R425" s="448"/>
      <c r="S425" s="464"/>
      <c r="V425" s="448"/>
      <c r="W425" s="464"/>
      <c r="Z425" s="448"/>
      <c r="AA425" s="464"/>
      <c r="AD425" s="448"/>
      <c r="AE425" s="464"/>
      <c r="AH425" s="448"/>
      <c r="AI425" s="464"/>
      <c r="AL425" s="448"/>
      <c r="AP425" s="448"/>
    </row>
    <row r="426" spans="1:42" ht="13">
      <c r="A426" s="462"/>
      <c r="B426" s="462"/>
      <c r="N426" s="448"/>
      <c r="O426" s="464"/>
      <c r="R426" s="448"/>
      <c r="S426" s="464"/>
      <c r="V426" s="448"/>
      <c r="W426" s="464"/>
      <c r="Z426" s="448"/>
      <c r="AA426" s="464"/>
      <c r="AD426" s="448"/>
      <c r="AE426" s="464"/>
      <c r="AH426" s="448"/>
      <c r="AI426" s="464"/>
      <c r="AL426" s="448"/>
      <c r="AP426" s="448"/>
    </row>
    <row r="427" spans="1:42" ht="13">
      <c r="A427" s="462"/>
      <c r="B427" s="462"/>
      <c r="N427" s="448"/>
      <c r="O427" s="464"/>
      <c r="R427" s="448"/>
      <c r="S427" s="464"/>
      <c r="V427" s="448"/>
      <c r="W427" s="464"/>
      <c r="Z427" s="448"/>
      <c r="AA427" s="464"/>
      <c r="AD427" s="448"/>
      <c r="AE427" s="464"/>
      <c r="AH427" s="448"/>
      <c r="AI427" s="464"/>
      <c r="AL427" s="448"/>
      <c r="AP427" s="448"/>
    </row>
    <row r="428" spans="1:42" ht="13">
      <c r="A428" s="462"/>
      <c r="B428" s="462"/>
      <c r="N428" s="448"/>
      <c r="O428" s="464"/>
      <c r="R428" s="448"/>
      <c r="S428" s="464"/>
      <c r="V428" s="448"/>
      <c r="W428" s="464"/>
      <c r="Z428" s="448"/>
      <c r="AA428" s="464"/>
      <c r="AD428" s="448"/>
      <c r="AE428" s="464"/>
      <c r="AH428" s="448"/>
      <c r="AI428" s="464"/>
      <c r="AL428" s="448"/>
      <c r="AP428" s="448"/>
    </row>
    <row r="429" spans="1:42" ht="13">
      <c r="A429" s="462"/>
      <c r="B429" s="462"/>
      <c r="N429" s="448"/>
      <c r="O429" s="464"/>
      <c r="R429" s="448"/>
      <c r="S429" s="464"/>
      <c r="V429" s="448"/>
      <c r="W429" s="464"/>
      <c r="Z429" s="448"/>
      <c r="AA429" s="464"/>
      <c r="AD429" s="448"/>
      <c r="AE429" s="464"/>
      <c r="AH429" s="448"/>
      <c r="AI429" s="464"/>
      <c r="AL429" s="448"/>
      <c r="AP429" s="448"/>
    </row>
    <row r="430" spans="1:42" ht="13">
      <c r="A430" s="462"/>
      <c r="B430" s="462"/>
      <c r="N430" s="448"/>
      <c r="O430" s="464"/>
      <c r="R430" s="448"/>
      <c r="S430" s="464"/>
      <c r="V430" s="448"/>
      <c r="W430" s="464"/>
      <c r="Z430" s="448"/>
      <c r="AA430" s="464"/>
      <c r="AD430" s="448"/>
      <c r="AE430" s="464"/>
      <c r="AH430" s="448"/>
      <c r="AI430" s="464"/>
      <c r="AL430" s="448"/>
      <c r="AP430" s="448"/>
    </row>
    <row r="431" spans="1:42" ht="13">
      <c r="A431" s="462"/>
      <c r="B431" s="462"/>
      <c r="N431" s="448"/>
      <c r="O431" s="464"/>
      <c r="R431" s="448"/>
      <c r="S431" s="464"/>
      <c r="V431" s="448"/>
      <c r="W431" s="464"/>
      <c r="Z431" s="448"/>
      <c r="AA431" s="464"/>
      <c r="AD431" s="448"/>
      <c r="AE431" s="464"/>
      <c r="AH431" s="448"/>
      <c r="AI431" s="464"/>
      <c r="AL431" s="448"/>
      <c r="AP431" s="448"/>
    </row>
    <row r="432" spans="1:42" ht="13">
      <c r="A432" s="462"/>
      <c r="B432" s="462"/>
      <c r="N432" s="448"/>
      <c r="O432" s="464"/>
      <c r="R432" s="448"/>
      <c r="S432" s="464"/>
      <c r="V432" s="448"/>
      <c r="W432" s="464"/>
      <c r="Z432" s="448"/>
      <c r="AA432" s="464"/>
      <c r="AD432" s="448"/>
      <c r="AE432" s="464"/>
      <c r="AH432" s="448"/>
      <c r="AI432" s="464"/>
      <c r="AL432" s="448"/>
      <c r="AP432" s="448"/>
    </row>
    <row r="433" spans="1:42" ht="13">
      <c r="A433" s="462"/>
      <c r="B433" s="462"/>
      <c r="N433" s="448"/>
      <c r="O433" s="464"/>
      <c r="R433" s="448"/>
      <c r="S433" s="464"/>
      <c r="V433" s="448"/>
      <c r="W433" s="464"/>
      <c r="Z433" s="448"/>
      <c r="AA433" s="464"/>
      <c r="AD433" s="448"/>
      <c r="AE433" s="464"/>
      <c r="AH433" s="448"/>
      <c r="AI433" s="464"/>
      <c r="AL433" s="448"/>
      <c r="AP433" s="448"/>
    </row>
    <row r="434" spans="1:42" ht="13">
      <c r="A434" s="462"/>
      <c r="B434" s="462"/>
      <c r="N434" s="448"/>
      <c r="O434" s="464"/>
      <c r="R434" s="448"/>
      <c r="S434" s="464"/>
      <c r="V434" s="448"/>
      <c r="W434" s="464"/>
      <c r="Z434" s="448"/>
      <c r="AA434" s="464"/>
      <c r="AD434" s="448"/>
      <c r="AE434" s="464"/>
      <c r="AH434" s="448"/>
      <c r="AI434" s="464"/>
      <c r="AL434" s="448"/>
      <c r="AP434" s="448"/>
    </row>
    <row r="435" spans="1:42" ht="13">
      <c r="A435" s="462"/>
      <c r="B435" s="462"/>
      <c r="N435" s="448"/>
      <c r="O435" s="464"/>
      <c r="R435" s="448"/>
      <c r="S435" s="464"/>
      <c r="V435" s="448"/>
      <c r="W435" s="464"/>
      <c r="Z435" s="448"/>
      <c r="AA435" s="464"/>
      <c r="AD435" s="448"/>
      <c r="AE435" s="464"/>
      <c r="AH435" s="448"/>
      <c r="AI435" s="464"/>
      <c r="AL435" s="448"/>
      <c r="AP435" s="448"/>
    </row>
    <row r="436" spans="1:42" ht="13">
      <c r="A436" s="462"/>
      <c r="B436" s="462"/>
      <c r="N436" s="448"/>
      <c r="O436" s="464"/>
      <c r="R436" s="448"/>
      <c r="S436" s="464"/>
      <c r="V436" s="448"/>
      <c r="W436" s="464"/>
      <c r="Z436" s="448"/>
      <c r="AA436" s="464"/>
      <c r="AD436" s="448"/>
      <c r="AE436" s="464"/>
      <c r="AH436" s="448"/>
      <c r="AI436" s="464"/>
      <c r="AL436" s="448"/>
      <c r="AP436" s="448"/>
    </row>
    <row r="437" spans="1:42" ht="13">
      <c r="A437" s="462"/>
      <c r="B437" s="462"/>
      <c r="N437" s="448"/>
      <c r="O437" s="464"/>
      <c r="R437" s="448"/>
      <c r="S437" s="464"/>
      <c r="V437" s="448"/>
      <c r="W437" s="464"/>
      <c r="Z437" s="448"/>
      <c r="AA437" s="464"/>
      <c r="AD437" s="448"/>
      <c r="AE437" s="464"/>
      <c r="AH437" s="448"/>
      <c r="AI437" s="464"/>
      <c r="AL437" s="448"/>
      <c r="AP437" s="448"/>
    </row>
    <row r="438" spans="1:42" ht="13">
      <c r="A438" s="462"/>
      <c r="B438" s="462"/>
      <c r="N438" s="448"/>
      <c r="O438" s="464"/>
      <c r="R438" s="448"/>
      <c r="S438" s="464"/>
      <c r="V438" s="448"/>
      <c r="W438" s="464"/>
      <c r="Z438" s="448"/>
      <c r="AA438" s="464"/>
      <c r="AD438" s="448"/>
      <c r="AE438" s="464"/>
      <c r="AH438" s="448"/>
      <c r="AI438" s="464"/>
      <c r="AL438" s="448"/>
      <c r="AP438" s="448"/>
    </row>
    <row r="439" spans="1:42" ht="13">
      <c r="A439" s="462"/>
      <c r="B439" s="462"/>
      <c r="N439" s="448"/>
      <c r="O439" s="464"/>
      <c r="R439" s="448"/>
      <c r="S439" s="464"/>
      <c r="V439" s="448"/>
      <c r="W439" s="464"/>
      <c r="Z439" s="448"/>
      <c r="AA439" s="464"/>
      <c r="AD439" s="448"/>
      <c r="AE439" s="464"/>
      <c r="AH439" s="448"/>
      <c r="AI439" s="464"/>
      <c r="AL439" s="448"/>
      <c r="AP439" s="448"/>
    </row>
    <row r="440" spans="1:42" ht="13">
      <c r="A440" s="462"/>
      <c r="B440" s="462"/>
      <c r="N440" s="448"/>
      <c r="O440" s="464"/>
      <c r="R440" s="448"/>
      <c r="S440" s="464"/>
      <c r="V440" s="448"/>
      <c r="W440" s="464"/>
      <c r="Z440" s="448"/>
      <c r="AA440" s="464"/>
      <c r="AD440" s="448"/>
      <c r="AE440" s="464"/>
      <c r="AH440" s="448"/>
      <c r="AI440" s="464"/>
      <c r="AL440" s="448"/>
      <c r="AP440" s="448"/>
    </row>
    <row r="441" spans="1:42" ht="13">
      <c r="A441" s="462"/>
      <c r="B441" s="462"/>
      <c r="N441" s="448"/>
      <c r="O441" s="464"/>
      <c r="R441" s="448"/>
      <c r="S441" s="464"/>
      <c r="V441" s="448"/>
      <c r="W441" s="464"/>
      <c r="Z441" s="448"/>
      <c r="AA441" s="464"/>
      <c r="AD441" s="448"/>
      <c r="AE441" s="464"/>
      <c r="AH441" s="448"/>
      <c r="AI441" s="464"/>
      <c r="AL441" s="448"/>
      <c r="AP441" s="448"/>
    </row>
    <row r="442" spans="1:42" ht="13">
      <c r="A442" s="462"/>
      <c r="B442" s="462"/>
      <c r="N442" s="448"/>
      <c r="O442" s="464"/>
      <c r="R442" s="448"/>
      <c r="S442" s="464"/>
      <c r="V442" s="448"/>
      <c r="W442" s="464"/>
      <c r="Z442" s="448"/>
      <c r="AA442" s="464"/>
      <c r="AD442" s="448"/>
      <c r="AE442" s="464"/>
      <c r="AH442" s="448"/>
      <c r="AI442" s="464"/>
      <c r="AL442" s="448"/>
      <c r="AP442" s="448"/>
    </row>
    <row r="443" spans="1:42" ht="13">
      <c r="A443" s="462"/>
      <c r="B443" s="462"/>
      <c r="N443" s="448"/>
      <c r="O443" s="464"/>
      <c r="R443" s="448"/>
      <c r="S443" s="464"/>
      <c r="V443" s="448"/>
      <c r="W443" s="464"/>
      <c r="Z443" s="448"/>
      <c r="AA443" s="464"/>
      <c r="AD443" s="448"/>
      <c r="AE443" s="464"/>
      <c r="AH443" s="448"/>
      <c r="AI443" s="464"/>
      <c r="AL443" s="448"/>
      <c r="AP443" s="448"/>
    </row>
    <row r="444" spans="1:42" ht="13">
      <c r="A444" s="462"/>
      <c r="B444" s="462"/>
      <c r="N444" s="448"/>
      <c r="O444" s="464"/>
      <c r="R444" s="448"/>
      <c r="S444" s="464"/>
      <c r="V444" s="448"/>
      <c r="W444" s="464"/>
      <c r="Z444" s="448"/>
      <c r="AA444" s="464"/>
      <c r="AD444" s="448"/>
      <c r="AE444" s="464"/>
      <c r="AH444" s="448"/>
      <c r="AI444" s="464"/>
      <c r="AL444" s="448"/>
      <c r="AP444" s="448"/>
    </row>
    <row r="445" spans="1:42" ht="13">
      <c r="A445" s="462"/>
      <c r="B445" s="462"/>
      <c r="N445" s="448"/>
      <c r="O445" s="464"/>
      <c r="R445" s="448"/>
      <c r="S445" s="464"/>
      <c r="V445" s="448"/>
      <c r="W445" s="464"/>
      <c r="Z445" s="448"/>
      <c r="AA445" s="464"/>
      <c r="AD445" s="448"/>
      <c r="AE445" s="464"/>
      <c r="AH445" s="448"/>
      <c r="AI445" s="464"/>
      <c r="AL445" s="448"/>
      <c r="AP445" s="448"/>
    </row>
    <row r="446" spans="1:42" ht="13">
      <c r="A446" s="462"/>
      <c r="B446" s="462"/>
      <c r="N446" s="448"/>
      <c r="O446" s="464"/>
      <c r="R446" s="448"/>
      <c r="S446" s="464"/>
      <c r="V446" s="448"/>
      <c r="W446" s="464"/>
      <c r="Z446" s="448"/>
      <c r="AA446" s="464"/>
      <c r="AD446" s="448"/>
      <c r="AE446" s="464"/>
      <c r="AH446" s="448"/>
      <c r="AI446" s="464"/>
      <c r="AL446" s="448"/>
      <c r="AP446" s="448"/>
    </row>
    <row r="447" spans="1:42" ht="13">
      <c r="A447" s="462"/>
      <c r="B447" s="462"/>
      <c r="N447" s="448"/>
      <c r="O447" s="464"/>
      <c r="R447" s="448"/>
      <c r="S447" s="464"/>
      <c r="V447" s="448"/>
      <c r="W447" s="464"/>
      <c r="Z447" s="448"/>
      <c r="AA447" s="464"/>
      <c r="AD447" s="448"/>
      <c r="AE447" s="464"/>
      <c r="AH447" s="448"/>
      <c r="AI447" s="464"/>
      <c r="AL447" s="448"/>
      <c r="AP447" s="448"/>
    </row>
    <row r="448" spans="1:42" ht="13">
      <c r="A448" s="462"/>
      <c r="B448" s="462"/>
      <c r="N448" s="448"/>
      <c r="O448" s="464"/>
      <c r="R448" s="448"/>
      <c r="S448" s="464"/>
      <c r="V448" s="448"/>
      <c r="W448" s="464"/>
      <c r="Z448" s="448"/>
      <c r="AA448" s="464"/>
      <c r="AD448" s="448"/>
      <c r="AE448" s="464"/>
      <c r="AH448" s="448"/>
      <c r="AI448" s="464"/>
      <c r="AL448" s="448"/>
      <c r="AP448" s="448"/>
    </row>
    <row r="449" spans="1:42" ht="13">
      <c r="A449" s="462"/>
      <c r="B449" s="462"/>
      <c r="N449" s="448"/>
      <c r="O449" s="464"/>
      <c r="R449" s="448"/>
      <c r="S449" s="464"/>
      <c r="V449" s="448"/>
      <c r="W449" s="464"/>
      <c r="Z449" s="448"/>
      <c r="AA449" s="464"/>
      <c r="AD449" s="448"/>
      <c r="AE449" s="464"/>
      <c r="AH449" s="448"/>
      <c r="AI449" s="464"/>
      <c r="AL449" s="448"/>
      <c r="AP449" s="448"/>
    </row>
    <row r="450" spans="1:42" ht="13">
      <c r="A450" s="462"/>
      <c r="B450" s="462"/>
      <c r="N450" s="448"/>
      <c r="O450" s="464"/>
      <c r="R450" s="448"/>
      <c r="S450" s="464"/>
      <c r="V450" s="448"/>
      <c r="W450" s="464"/>
      <c r="Z450" s="448"/>
      <c r="AA450" s="464"/>
      <c r="AD450" s="448"/>
      <c r="AE450" s="464"/>
      <c r="AH450" s="448"/>
      <c r="AI450" s="464"/>
      <c r="AL450" s="448"/>
      <c r="AP450" s="448"/>
    </row>
    <row r="451" spans="1:42" ht="13">
      <c r="A451" s="462"/>
      <c r="B451" s="462"/>
      <c r="N451" s="448"/>
      <c r="O451" s="464"/>
      <c r="R451" s="448"/>
      <c r="S451" s="464"/>
      <c r="V451" s="448"/>
      <c r="W451" s="464"/>
      <c r="Z451" s="448"/>
      <c r="AA451" s="464"/>
      <c r="AD451" s="448"/>
      <c r="AE451" s="464"/>
      <c r="AH451" s="448"/>
      <c r="AI451" s="464"/>
      <c r="AL451" s="448"/>
      <c r="AP451" s="448"/>
    </row>
    <row r="452" spans="1:42" ht="13">
      <c r="A452" s="462"/>
      <c r="B452" s="462"/>
      <c r="N452" s="448"/>
      <c r="O452" s="464"/>
      <c r="R452" s="448"/>
      <c r="S452" s="464"/>
      <c r="V452" s="448"/>
      <c r="W452" s="464"/>
      <c r="Z452" s="448"/>
      <c r="AA452" s="464"/>
      <c r="AD452" s="448"/>
      <c r="AE452" s="464"/>
      <c r="AH452" s="448"/>
      <c r="AI452" s="464"/>
      <c r="AL452" s="448"/>
      <c r="AP452" s="448"/>
    </row>
    <row r="453" spans="1:42" ht="13">
      <c r="A453" s="462"/>
      <c r="B453" s="462"/>
      <c r="N453" s="448"/>
      <c r="O453" s="464"/>
      <c r="R453" s="448"/>
      <c r="S453" s="464"/>
      <c r="V453" s="448"/>
      <c r="W453" s="464"/>
      <c r="Z453" s="448"/>
      <c r="AA453" s="464"/>
      <c r="AD453" s="448"/>
      <c r="AE453" s="464"/>
      <c r="AH453" s="448"/>
      <c r="AI453" s="464"/>
      <c r="AL453" s="448"/>
      <c r="AP453" s="448"/>
    </row>
    <row r="454" spans="1:42" ht="13">
      <c r="A454" s="462"/>
      <c r="B454" s="462"/>
      <c r="N454" s="448"/>
      <c r="O454" s="464"/>
      <c r="R454" s="448"/>
      <c r="S454" s="464"/>
      <c r="V454" s="448"/>
      <c r="W454" s="464"/>
      <c r="Z454" s="448"/>
      <c r="AA454" s="464"/>
      <c r="AD454" s="448"/>
      <c r="AE454" s="464"/>
      <c r="AH454" s="448"/>
      <c r="AI454" s="464"/>
      <c r="AL454" s="448"/>
      <c r="AP454" s="448"/>
    </row>
    <row r="455" spans="1:42" ht="13">
      <c r="A455" s="462"/>
      <c r="B455" s="462"/>
      <c r="N455" s="448"/>
      <c r="O455" s="464"/>
      <c r="R455" s="448"/>
      <c r="S455" s="464"/>
      <c r="V455" s="448"/>
      <c r="W455" s="464"/>
      <c r="Z455" s="448"/>
      <c r="AA455" s="464"/>
      <c r="AD455" s="448"/>
      <c r="AE455" s="464"/>
      <c r="AH455" s="448"/>
      <c r="AI455" s="464"/>
      <c r="AL455" s="448"/>
      <c r="AP455" s="448"/>
    </row>
    <row r="456" spans="1:42" ht="13">
      <c r="A456" s="462"/>
      <c r="B456" s="462"/>
      <c r="N456" s="448"/>
      <c r="O456" s="464"/>
      <c r="R456" s="448"/>
      <c r="S456" s="464"/>
      <c r="V456" s="448"/>
      <c r="W456" s="464"/>
      <c r="Z456" s="448"/>
      <c r="AA456" s="464"/>
      <c r="AD456" s="448"/>
      <c r="AE456" s="464"/>
      <c r="AH456" s="448"/>
      <c r="AI456" s="464"/>
      <c r="AL456" s="448"/>
      <c r="AP456" s="448"/>
    </row>
    <row r="457" spans="1:42" ht="13">
      <c r="A457" s="462"/>
      <c r="B457" s="462"/>
      <c r="N457" s="448"/>
      <c r="O457" s="464"/>
      <c r="R457" s="448"/>
      <c r="S457" s="464"/>
      <c r="V457" s="448"/>
      <c r="W457" s="464"/>
      <c r="Z457" s="448"/>
      <c r="AA457" s="464"/>
      <c r="AD457" s="448"/>
      <c r="AE457" s="464"/>
      <c r="AH457" s="448"/>
      <c r="AI457" s="464"/>
      <c r="AL457" s="448"/>
      <c r="AP457" s="448"/>
    </row>
    <row r="458" spans="1:42" ht="13">
      <c r="A458" s="462"/>
      <c r="B458" s="462"/>
      <c r="N458" s="448"/>
      <c r="O458" s="464"/>
      <c r="R458" s="448"/>
      <c r="S458" s="464"/>
      <c r="V458" s="448"/>
      <c r="W458" s="464"/>
      <c r="Z458" s="448"/>
      <c r="AA458" s="464"/>
      <c r="AD458" s="448"/>
      <c r="AE458" s="464"/>
      <c r="AH458" s="448"/>
      <c r="AI458" s="464"/>
      <c r="AL458" s="448"/>
      <c r="AP458" s="448"/>
    </row>
    <row r="459" spans="1:42" ht="13">
      <c r="A459" s="462"/>
      <c r="B459" s="462"/>
      <c r="N459" s="448"/>
      <c r="O459" s="464"/>
      <c r="R459" s="448"/>
      <c r="S459" s="464"/>
      <c r="V459" s="448"/>
      <c r="W459" s="464"/>
      <c r="Z459" s="448"/>
      <c r="AA459" s="464"/>
      <c r="AD459" s="448"/>
      <c r="AE459" s="464"/>
      <c r="AH459" s="448"/>
      <c r="AI459" s="464"/>
      <c r="AL459" s="448"/>
      <c r="AP459" s="448"/>
    </row>
    <row r="460" spans="1:42" ht="13">
      <c r="A460" s="462"/>
      <c r="B460" s="462"/>
      <c r="N460" s="448"/>
      <c r="O460" s="464"/>
      <c r="R460" s="448"/>
      <c r="S460" s="464"/>
      <c r="V460" s="448"/>
      <c r="W460" s="464"/>
      <c r="Z460" s="448"/>
      <c r="AA460" s="464"/>
      <c r="AD460" s="448"/>
      <c r="AE460" s="464"/>
      <c r="AH460" s="448"/>
      <c r="AI460" s="464"/>
      <c r="AL460" s="448"/>
      <c r="AP460" s="448"/>
    </row>
    <row r="461" spans="1:42" ht="13">
      <c r="A461" s="462"/>
      <c r="B461" s="462"/>
      <c r="N461" s="448"/>
      <c r="O461" s="464"/>
      <c r="R461" s="448"/>
      <c r="S461" s="464"/>
      <c r="V461" s="448"/>
      <c r="W461" s="464"/>
      <c r="Z461" s="448"/>
      <c r="AA461" s="464"/>
      <c r="AD461" s="448"/>
      <c r="AE461" s="464"/>
      <c r="AH461" s="448"/>
      <c r="AI461" s="464"/>
      <c r="AL461" s="448"/>
      <c r="AP461" s="448"/>
    </row>
    <row r="462" spans="1:42" ht="13">
      <c r="A462" s="462"/>
      <c r="B462" s="462"/>
      <c r="N462" s="448"/>
      <c r="O462" s="464"/>
      <c r="R462" s="448"/>
      <c r="S462" s="464"/>
      <c r="V462" s="448"/>
      <c r="W462" s="464"/>
      <c r="Z462" s="448"/>
      <c r="AA462" s="464"/>
      <c r="AD462" s="448"/>
      <c r="AE462" s="464"/>
      <c r="AH462" s="448"/>
      <c r="AI462" s="464"/>
      <c r="AL462" s="448"/>
      <c r="AP462" s="448"/>
    </row>
    <row r="463" spans="1:42" ht="13">
      <c r="A463" s="462"/>
      <c r="B463" s="462"/>
      <c r="N463" s="448"/>
      <c r="O463" s="464"/>
      <c r="R463" s="448"/>
      <c r="S463" s="464"/>
      <c r="V463" s="448"/>
      <c r="W463" s="464"/>
      <c r="Z463" s="448"/>
      <c r="AA463" s="464"/>
      <c r="AD463" s="448"/>
      <c r="AE463" s="464"/>
      <c r="AH463" s="448"/>
      <c r="AI463" s="464"/>
      <c r="AL463" s="448"/>
      <c r="AP463" s="448"/>
    </row>
    <row r="464" spans="1:42" ht="13">
      <c r="A464" s="462"/>
      <c r="B464" s="462"/>
      <c r="N464" s="448"/>
      <c r="O464" s="464"/>
      <c r="R464" s="448"/>
      <c r="S464" s="464"/>
      <c r="V464" s="448"/>
      <c r="W464" s="464"/>
      <c r="Z464" s="448"/>
      <c r="AA464" s="464"/>
      <c r="AD464" s="448"/>
      <c r="AE464" s="464"/>
      <c r="AH464" s="448"/>
      <c r="AI464" s="464"/>
      <c r="AL464" s="448"/>
      <c r="AP464" s="448"/>
    </row>
    <row r="465" spans="1:42" ht="13">
      <c r="A465" s="462"/>
      <c r="B465" s="462"/>
      <c r="N465" s="448"/>
      <c r="O465" s="464"/>
      <c r="R465" s="448"/>
      <c r="S465" s="464"/>
      <c r="V465" s="448"/>
      <c r="W465" s="464"/>
      <c r="Z465" s="448"/>
      <c r="AA465" s="464"/>
      <c r="AD465" s="448"/>
      <c r="AE465" s="464"/>
      <c r="AH465" s="448"/>
      <c r="AI465" s="464"/>
      <c r="AL465" s="448"/>
      <c r="AP465" s="448"/>
    </row>
    <row r="466" spans="1:42" ht="13">
      <c r="A466" s="462"/>
      <c r="B466" s="462"/>
      <c r="N466" s="448"/>
      <c r="O466" s="464"/>
      <c r="R466" s="448"/>
      <c r="S466" s="464"/>
      <c r="V466" s="448"/>
      <c r="W466" s="464"/>
      <c r="Z466" s="448"/>
      <c r="AA466" s="464"/>
      <c r="AD466" s="448"/>
      <c r="AE466" s="464"/>
      <c r="AH466" s="448"/>
      <c r="AI466" s="464"/>
      <c r="AL466" s="448"/>
      <c r="AP466" s="448"/>
    </row>
    <row r="467" spans="1:42" ht="13">
      <c r="A467" s="462"/>
      <c r="B467" s="462"/>
      <c r="N467" s="448"/>
      <c r="O467" s="464"/>
      <c r="R467" s="448"/>
      <c r="S467" s="464"/>
      <c r="V467" s="448"/>
      <c r="W467" s="464"/>
      <c r="Z467" s="448"/>
      <c r="AA467" s="464"/>
      <c r="AD467" s="448"/>
      <c r="AE467" s="464"/>
      <c r="AH467" s="448"/>
      <c r="AI467" s="464"/>
      <c r="AL467" s="448"/>
      <c r="AP467" s="448"/>
    </row>
    <row r="468" spans="1:42" ht="13">
      <c r="A468" s="462"/>
      <c r="B468" s="462"/>
      <c r="N468" s="448"/>
      <c r="O468" s="464"/>
      <c r="R468" s="448"/>
      <c r="S468" s="464"/>
      <c r="V468" s="448"/>
      <c r="W468" s="464"/>
      <c r="Z468" s="448"/>
      <c r="AA468" s="464"/>
      <c r="AD468" s="448"/>
      <c r="AE468" s="464"/>
      <c r="AH468" s="448"/>
      <c r="AI468" s="464"/>
      <c r="AL468" s="448"/>
      <c r="AP468" s="448"/>
    </row>
    <row r="469" spans="1:42" ht="13">
      <c r="A469" s="462"/>
      <c r="B469" s="462"/>
      <c r="N469" s="448"/>
      <c r="O469" s="464"/>
      <c r="R469" s="448"/>
      <c r="S469" s="464"/>
      <c r="V469" s="448"/>
      <c r="W469" s="464"/>
      <c r="Z469" s="448"/>
      <c r="AA469" s="464"/>
      <c r="AD469" s="448"/>
      <c r="AE469" s="464"/>
      <c r="AH469" s="448"/>
      <c r="AI469" s="464"/>
      <c r="AL469" s="448"/>
      <c r="AP469" s="448"/>
    </row>
    <row r="470" spans="1:42" ht="13">
      <c r="A470" s="462"/>
      <c r="B470" s="462"/>
      <c r="N470" s="448"/>
      <c r="O470" s="464"/>
      <c r="R470" s="448"/>
      <c r="S470" s="464"/>
      <c r="V470" s="448"/>
      <c r="W470" s="464"/>
      <c r="Z470" s="448"/>
      <c r="AA470" s="464"/>
      <c r="AD470" s="448"/>
      <c r="AE470" s="464"/>
      <c r="AH470" s="448"/>
      <c r="AI470" s="464"/>
      <c r="AL470" s="448"/>
      <c r="AP470" s="448"/>
    </row>
    <row r="471" spans="1:42" ht="13">
      <c r="A471" s="462"/>
      <c r="B471" s="462"/>
      <c r="N471" s="448"/>
      <c r="O471" s="464"/>
      <c r="R471" s="448"/>
      <c r="S471" s="464"/>
      <c r="V471" s="448"/>
      <c r="W471" s="464"/>
      <c r="Z471" s="448"/>
      <c r="AA471" s="464"/>
      <c r="AD471" s="448"/>
      <c r="AE471" s="464"/>
      <c r="AH471" s="448"/>
      <c r="AI471" s="464"/>
      <c r="AL471" s="448"/>
      <c r="AP471" s="448"/>
    </row>
    <row r="472" spans="1:42" ht="13">
      <c r="A472" s="462"/>
      <c r="B472" s="462"/>
      <c r="N472" s="448"/>
      <c r="O472" s="464"/>
      <c r="R472" s="448"/>
      <c r="S472" s="464"/>
      <c r="V472" s="448"/>
      <c r="W472" s="464"/>
      <c r="Z472" s="448"/>
      <c r="AA472" s="464"/>
      <c r="AD472" s="448"/>
      <c r="AE472" s="464"/>
      <c r="AH472" s="448"/>
      <c r="AI472" s="464"/>
      <c r="AL472" s="448"/>
      <c r="AP472" s="448"/>
    </row>
    <row r="473" spans="1:42" ht="13">
      <c r="A473" s="462"/>
      <c r="B473" s="462"/>
      <c r="N473" s="448"/>
      <c r="O473" s="464"/>
      <c r="R473" s="448"/>
      <c r="S473" s="464"/>
      <c r="V473" s="448"/>
      <c r="W473" s="464"/>
      <c r="Z473" s="448"/>
      <c r="AA473" s="464"/>
      <c r="AD473" s="448"/>
      <c r="AE473" s="464"/>
      <c r="AH473" s="448"/>
      <c r="AI473" s="464"/>
      <c r="AL473" s="448"/>
      <c r="AP473" s="448"/>
    </row>
    <row r="474" spans="1:42" ht="13">
      <c r="A474" s="462"/>
      <c r="B474" s="462"/>
      <c r="N474" s="448"/>
      <c r="O474" s="464"/>
      <c r="R474" s="448"/>
      <c r="S474" s="464"/>
      <c r="V474" s="448"/>
      <c r="W474" s="464"/>
      <c r="Z474" s="448"/>
      <c r="AA474" s="464"/>
      <c r="AD474" s="448"/>
      <c r="AE474" s="464"/>
      <c r="AH474" s="448"/>
      <c r="AI474" s="464"/>
      <c r="AL474" s="448"/>
      <c r="AP474" s="448"/>
    </row>
    <row r="475" spans="1:42" ht="13">
      <c r="A475" s="462"/>
      <c r="B475" s="462"/>
      <c r="N475" s="448"/>
      <c r="O475" s="464"/>
      <c r="R475" s="448"/>
      <c r="S475" s="464"/>
      <c r="V475" s="448"/>
      <c r="W475" s="464"/>
      <c r="Z475" s="448"/>
      <c r="AA475" s="464"/>
      <c r="AD475" s="448"/>
      <c r="AE475" s="464"/>
      <c r="AH475" s="448"/>
      <c r="AI475" s="464"/>
      <c r="AL475" s="448"/>
      <c r="AP475" s="448"/>
    </row>
    <row r="476" spans="1:42" ht="13">
      <c r="A476" s="462"/>
      <c r="B476" s="462"/>
      <c r="N476" s="448"/>
      <c r="O476" s="464"/>
      <c r="R476" s="448"/>
      <c r="S476" s="464"/>
      <c r="V476" s="448"/>
      <c r="W476" s="464"/>
      <c r="Z476" s="448"/>
      <c r="AA476" s="464"/>
      <c r="AD476" s="448"/>
      <c r="AE476" s="464"/>
      <c r="AH476" s="448"/>
      <c r="AI476" s="464"/>
      <c r="AL476" s="448"/>
      <c r="AP476" s="448"/>
    </row>
    <row r="477" spans="1:42" ht="13">
      <c r="A477" s="462"/>
      <c r="B477" s="462"/>
      <c r="N477" s="448"/>
      <c r="O477" s="464"/>
      <c r="R477" s="448"/>
      <c r="S477" s="464"/>
      <c r="V477" s="448"/>
      <c r="W477" s="464"/>
      <c r="Z477" s="448"/>
      <c r="AA477" s="464"/>
      <c r="AD477" s="448"/>
      <c r="AE477" s="464"/>
      <c r="AH477" s="448"/>
      <c r="AI477" s="464"/>
      <c r="AL477" s="448"/>
      <c r="AP477" s="448"/>
    </row>
    <row r="478" spans="1:42" ht="13">
      <c r="A478" s="462"/>
      <c r="B478" s="462"/>
      <c r="N478" s="448"/>
      <c r="O478" s="464"/>
      <c r="R478" s="448"/>
      <c r="S478" s="464"/>
      <c r="V478" s="448"/>
      <c r="W478" s="464"/>
      <c r="Z478" s="448"/>
      <c r="AA478" s="464"/>
      <c r="AD478" s="448"/>
      <c r="AE478" s="464"/>
      <c r="AH478" s="448"/>
      <c r="AI478" s="464"/>
      <c r="AL478" s="448"/>
      <c r="AP478" s="448"/>
    </row>
    <row r="479" spans="1:42" ht="13">
      <c r="A479" s="462"/>
      <c r="B479" s="462"/>
      <c r="N479" s="448"/>
      <c r="O479" s="464"/>
      <c r="R479" s="448"/>
      <c r="S479" s="464"/>
      <c r="V479" s="448"/>
      <c r="W479" s="464"/>
      <c r="Z479" s="448"/>
      <c r="AA479" s="464"/>
      <c r="AD479" s="448"/>
      <c r="AE479" s="464"/>
      <c r="AH479" s="448"/>
      <c r="AI479" s="464"/>
      <c r="AL479" s="448"/>
      <c r="AP479" s="448"/>
    </row>
    <row r="480" spans="1:42" ht="13">
      <c r="A480" s="462"/>
      <c r="B480" s="462"/>
      <c r="N480" s="448"/>
      <c r="O480" s="464"/>
      <c r="R480" s="448"/>
      <c r="S480" s="464"/>
      <c r="V480" s="448"/>
      <c r="W480" s="464"/>
      <c r="Z480" s="448"/>
      <c r="AA480" s="464"/>
      <c r="AD480" s="448"/>
      <c r="AE480" s="464"/>
      <c r="AH480" s="448"/>
      <c r="AI480" s="464"/>
      <c r="AL480" s="448"/>
      <c r="AP480" s="448"/>
    </row>
    <row r="481" spans="1:42" ht="13">
      <c r="A481" s="462"/>
      <c r="B481" s="462"/>
      <c r="N481" s="448"/>
      <c r="O481" s="464"/>
      <c r="R481" s="448"/>
      <c r="S481" s="464"/>
      <c r="V481" s="448"/>
      <c r="W481" s="464"/>
      <c r="Z481" s="448"/>
      <c r="AA481" s="464"/>
      <c r="AD481" s="448"/>
      <c r="AE481" s="464"/>
      <c r="AH481" s="448"/>
      <c r="AI481" s="464"/>
      <c r="AL481" s="448"/>
      <c r="AP481" s="448"/>
    </row>
    <row r="482" spans="1:42" ht="13">
      <c r="A482" s="462"/>
      <c r="B482" s="462"/>
      <c r="N482" s="448"/>
      <c r="O482" s="464"/>
      <c r="R482" s="448"/>
      <c r="S482" s="464"/>
      <c r="V482" s="448"/>
      <c r="W482" s="464"/>
      <c r="Z482" s="448"/>
      <c r="AA482" s="464"/>
      <c r="AD482" s="448"/>
      <c r="AE482" s="464"/>
      <c r="AH482" s="448"/>
      <c r="AI482" s="464"/>
      <c r="AL482" s="448"/>
      <c r="AP482" s="448"/>
    </row>
    <row r="483" spans="1:42" ht="13">
      <c r="A483" s="462"/>
      <c r="B483" s="462"/>
      <c r="N483" s="448"/>
      <c r="O483" s="464"/>
      <c r="R483" s="448"/>
      <c r="S483" s="464"/>
      <c r="V483" s="448"/>
      <c r="W483" s="464"/>
      <c r="Z483" s="448"/>
      <c r="AA483" s="464"/>
      <c r="AD483" s="448"/>
      <c r="AE483" s="464"/>
      <c r="AH483" s="448"/>
      <c r="AI483" s="464"/>
      <c r="AL483" s="448"/>
      <c r="AP483" s="448"/>
    </row>
    <row r="484" spans="1:42" ht="13">
      <c r="A484" s="462"/>
      <c r="B484" s="462"/>
      <c r="N484" s="448"/>
      <c r="O484" s="464"/>
      <c r="R484" s="448"/>
      <c r="S484" s="464"/>
      <c r="V484" s="448"/>
      <c r="W484" s="464"/>
      <c r="Z484" s="448"/>
      <c r="AA484" s="464"/>
      <c r="AD484" s="448"/>
      <c r="AE484" s="464"/>
      <c r="AH484" s="448"/>
      <c r="AI484" s="464"/>
      <c r="AL484" s="448"/>
      <c r="AP484" s="448"/>
    </row>
    <row r="485" spans="1:42" ht="13">
      <c r="A485" s="462"/>
      <c r="B485" s="462"/>
      <c r="N485" s="448"/>
      <c r="O485" s="464"/>
      <c r="R485" s="448"/>
      <c r="S485" s="464"/>
      <c r="V485" s="448"/>
      <c r="W485" s="464"/>
      <c r="Z485" s="448"/>
      <c r="AA485" s="464"/>
      <c r="AD485" s="448"/>
      <c r="AE485" s="464"/>
      <c r="AH485" s="448"/>
      <c r="AI485" s="464"/>
      <c r="AL485" s="448"/>
      <c r="AP485" s="448"/>
    </row>
    <row r="486" spans="1:42" ht="13">
      <c r="A486" s="462"/>
      <c r="B486" s="462"/>
      <c r="N486" s="448"/>
      <c r="O486" s="464"/>
      <c r="R486" s="448"/>
      <c r="S486" s="464"/>
      <c r="V486" s="448"/>
      <c r="W486" s="464"/>
      <c r="Z486" s="448"/>
      <c r="AA486" s="464"/>
      <c r="AD486" s="448"/>
      <c r="AE486" s="464"/>
      <c r="AH486" s="448"/>
      <c r="AI486" s="464"/>
      <c r="AL486" s="448"/>
      <c r="AP486" s="448"/>
    </row>
    <row r="487" spans="1:42" ht="13">
      <c r="A487" s="462"/>
      <c r="B487" s="462"/>
      <c r="N487" s="448"/>
      <c r="O487" s="464"/>
      <c r="R487" s="448"/>
      <c r="S487" s="464"/>
      <c r="V487" s="448"/>
      <c r="W487" s="464"/>
      <c r="Z487" s="448"/>
      <c r="AA487" s="464"/>
      <c r="AD487" s="448"/>
      <c r="AE487" s="464"/>
      <c r="AH487" s="448"/>
      <c r="AI487" s="464"/>
      <c r="AL487" s="448"/>
      <c r="AP487" s="448"/>
    </row>
    <row r="488" spans="1:42" ht="13">
      <c r="A488" s="462"/>
      <c r="B488" s="462"/>
      <c r="N488" s="448"/>
      <c r="O488" s="464"/>
      <c r="R488" s="448"/>
      <c r="S488" s="464"/>
      <c r="V488" s="448"/>
      <c r="W488" s="464"/>
      <c r="Z488" s="448"/>
      <c r="AA488" s="464"/>
      <c r="AD488" s="448"/>
      <c r="AE488" s="464"/>
      <c r="AH488" s="448"/>
      <c r="AI488" s="464"/>
      <c r="AL488" s="448"/>
      <c r="AP488" s="448"/>
    </row>
    <row r="489" spans="1:42" ht="13">
      <c r="A489" s="462"/>
      <c r="B489" s="462"/>
      <c r="N489" s="448"/>
      <c r="O489" s="464"/>
      <c r="R489" s="448"/>
      <c r="S489" s="464"/>
      <c r="V489" s="448"/>
      <c r="W489" s="464"/>
      <c r="Z489" s="448"/>
      <c r="AA489" s="464"/>
      <c r="AD489" s="448"/>
      <c r="AE489" s="464"/>
      <c r="AH489" s="448"/>
      <c r="AI489" s="464"/>
      <c r="AL489" s="448"/>
      <c r="AP489" s="448"/>
    </row>
    <row r="490" spans="1:42" ht="13">
      <c r="A490" s="462"/>
      <c r="B490" s="462"/>
      <c r="N490" s="448"/>
      <c r="O490" s="464"/>
      <c r="R490" s="448"/>
      <c r="S490" s="464"/>
      <c r="V490" s="448"/>
      <c r="W490" s="464"/>
      <c r="Z490" s="448"/>
      <c r="AA490" s="464"/>
      <c r="AD490" s="448"/>
      <c r="AE490" s="464"/>
      <c r="AH490" s="448"/>
      <c r="AI490" s="464"/>
      <c r="AL490" s="448"/>
      <c r="AP490" s="448"/>
    </row>
    <row r="491" spans="1:42" ht="13">
      <c r="A491" s="462"/>
      <c r="B491" s="462"/>
      <c r="N491" s="448"/>
      <c r="O491" s="464"/>
      <c r="R491" s="448"/>
      <c r="S491" s="464"/>
      <c r="V491" s="448"/>
      <c r="W491" s="464"/>
      <c r="Z491" s="448"/>
      <c r="AA491" s="464"/>
      <c r="AD491" s="448"/>
      <c r="AE491" s="464"/>
      <c r="AH491" s="448"/>
      <c r="AI491" s="464"/>
      <c r="AL491" s="448"/>
      <c r="AP491" s="448"/>
    </row>
    <row r="492" spans="1:42" ht="13">
      <c r="A492" s="462"/>
      <c r="B492" s="462"/>
      <c r="N492" s="448"/>
      <c r="O492" s="464"/>
      <c r="R492" s="448"/>
      <c r="S492" s="464"/>
      <c r="V492" s="448"/>
      <c r="W492" s="464"/>
      <c r="Z492" s="448"/>
      <c r="AA492" s="464"/>
      <c r="AD492" s="448"/>
      <c r="AE492" s="464"/>
      <c r="AH492" s="448"/>
      <c r="AI492" s="464"/>
      <c r="AL492" s="448"/>
      <c r="AP492" s="448"/>
    </row>
    <row r="493" spans="1:42" ht="13">
      <c r="A493" s="462"/>
      <c r="B493" s="462"/>
      <c r="N493" s="448"/>
      <c r="O493" s="464"/>
      <c r="R493" s="448"/>
      <c r="S493" s="464"/>
      <c r="V493" s="448"/>
      <c r="W493" s="464"/>
      <c r="Z493" s="448"/>
      <c r="AA493" s="464"/>
      <c r="AD493" s="448"/>
      <c r="AE493" s="464"/>
      <c r="AH493" s="448"/>
      <c r="AI493" s="464"/>
      <c r="AL493" s="448"/>
      <c r="AP493" s="448"/>
    </row>
    <row r="494" spans="1:42" ht="13">
      <c r="A494" s="462"/>
      <c r="B494" s="462"/>
      <c r="N494" s="448"/>
      <c r="O494" s="464"/>
      <c r="R494" s="448"/>
      <c r="S494" s="464"/>
      <c r="V494" s="448"/>
      <c r="W494" s="464"/>
      <c r="Z494" s="448"/>
      <c r="AA494" s="464"/>
      <c r="AD494" s="448"/>
      <c r="AE494" s="464"/>
      <c r="AH494" s="448"/>
      <c r="AI494" s="464"/>
      <c r="AL494" s="448"/>
      <c r="AP494" s="448"/>
    </row>
    <row r="495" spans="1:42" ht="13">
      <c r="A495" s="462"/>
      <c r="B495" s="462"/>
      <c r="N495" s="448"/>
      <c r="O495" s="464"/>
      <c r="R495" s="448"/>
      <c r="S495" s="464"/>
      <c r="V495" s="448"/>
      <c r="W495" s="464"/>
      <c r="Z495" s="448"/>
      <c r="AA495" s="464"/>
      <c r="AD495" s="448"/>
      <c r="AE495" s="464"/>
      <c r="AH495" s="448"/>
      <c r="AI495" s="464"/>
      <c r="AL495" s="448"/>
      <c r="AP495" s="448"/>
    </row>
    <row r="496" spans="1:42" ht="13">
      <c r="A496" s="462"/>
      <c r="B496" s="462"/>
      <c r="N496" s="448"/>
      <c r="O496" s="464"/>
      <c r="R496" s="448"/>
      <c r="S496" s="464"/>
      <c r="V496" s="448"/>
      <c r="W496" s="464"/>
      <c r="Z496" s="448"/>
      <c r="AA496" s="464"/>
      <c r="AD496" s="448"/>
      <c r="AE496" s="464"/>
      <c r="AH496" s="448"/>
      <c r="AI496" s="464"/>
      <c r="AL496" s="448"/>
      <c r="AP496" s="448"/>
    </row>
    <row r="497" spans="1:42" ht="13">
      <c r="A497" s="462"/>
      <c r="B497" s="462"/>
      <c r="N497" s="448"/>
      <c r="O497" s="464"/>
      <c r="R497" s="448"/>
      <c r="S497" s="464"/>
      <c r="V497" s="448"/>
      <c r="W497" s="464"/>
      <c r="Z497" s="448"/>
      <c r="AA497" s="464"/>
      <c r="AD497" s="448"/>
      <c r="AE497" s="464"/>
      <c r="AH497" s="448"/>
      <c r="AI497" s="464"/>
      <c r="AL497" s="448"/>
      <c r="AP497" s="448"/>
    </row>
    <row r="498" spans="1:42" ht="13">
      <c r="A498" s="462"/>
      <c r="B498" s="462"/>
      <c r="N498" s="448"/>
      <c r="O498" s="464"/>
      <c r="R498" s="448"/>
      <c r="S498" s="464"/>
      <c r="V498" s="448"/>
      <c r="W498" s="464"/>
      <c r="Z498" s="448"/>
      <c r="AA498" s="464"/>
      <c r="AD498" s="448"/>
      <c r="AE498" s="464"/>
      <c r="AH498" s="448"/>
      <c r="AI498" s="464"/>
      <c r="AL498" s="448"/>
      <c r="AP498" s="448"/>
    </row>
    <row r="499" spans="1:42" ht="13">
      <c r="A499" s="462"/>
      <c r="B499" s="462"/>
      <c r="N499" s="448"/>
      <c r="O499" s="464"/>
      <c r="R499" s="448"/>
      <c r="S499" s="464"/>
      <c r="V499" s="448"/>
      <c r="W499" s="464"/>
      <c r="Z499" s="448"/>
      <c r="AA499" s="464"/>
      <c r="AD499" s="448"/>
      <c r="AE499" s="464"/>
      <c r="AH499" s="448"/>
      <c r="AI499" s="464"/>
      <c r="AL499" s="448"/>
      <c r="AP499" s="448"/>
    </row>
    <row r="500" spans="1:42" ht="13">
      <c r="A500" s="462"/>
      <c r="B500" s="462"/>
      <c r="N500" s="448"/>
      <c r="O500" s="464"/>
      <c r="R500" s="448"/>
      <c r="S500" s="464"/>
      <c r="V500" s="448"/>
      <c r="W500" s="464"/>
      <c r="Z500" s="448"/>
      <c r="AA500" s="464"/>
      <c r="AD500" s="448"/>
      <c r="AE500" s="464"/>
      <c r="AH500" s="448"/>
      <c r="AI500" s="464"/>
      <c r="AL500" s="448"/>
      <c r="AP500" s="448"/>
    </row>
    <row r="501" spans="1:42" ht="13">
      <c r="A501" s="462"/>
      <c r="B501" s="462"/>
      <c r="N501" s="448"/>
      <c r="O501" s="464"/>
      <c r="R501" s="448"/>
      <c r="S501" s="464"/>
      <c r="V501" s="448"/>
      <c r="W501" s="464"/>
      <c r="Z501" s="448"/>
      <c r="AA501" s="464"/>
      <c r="AD501" s="448"/>
      <c r="AE501" s="464"/>
      <c r="AH501" s="448"/>
      <c r="AI501" s="464"/>
      <c r="AL501" s="448"/>
      <c r="AP501" s="448"/>
    </row>
    <row r="502" spans="1:42" ht="13">
      <c r="A502" s="462"/>
      <c r="B502" s="462"/>
      <c r="N502" s="448"/>
      <c r="O502" s="464"/>
      <c r="R502" s="448"/>
      <c r="S502" s="464"/>
      <c r="V502" s="448"/>
      <c r="W502" s="464"/>
      <c r="Z502" s="448"/>
      <c r="AA502" s="464"/>
      <c r="AD502" s="448"/>
      <c r="AE502" s="464"/>
      <c r="AH502" s="448"/>
      <c r="AI502" s="464"/>
      <c r="AL502" s="448"/>
      <c r="AP502" s="448"/>
    </row>
    <row r="503" spans="1:42" ht="13">
      <c r="A503" s="462"/>
      <c r="B503" s="462"/>
      <c r="N503" s="448"/>
      <c r="O503" s="464"/>
      <c r="R503" s="448"/>
      <c r="S503" s="464"/>
      <c r="V503" s="448"/>
      <c r="W503" s="464"/>
      <c r="Z503" s="448"/>
      <c r="AA503" s="464"/>
      <c r="AD503" s="448"/>
      <c r="AE503" s="464"/>
      <c r="AH503" s="448"/>
      <c r="AI503" s="464"/>
      <c r="AL503" s="448"/>
      <c r="AP503" s="448"/>
    </row>
    <row r="504" spans="1:42" ht="13">
      <c r="A504" s="462"/>
      <c r="B504" s="462"/>
      <c r="N504" s="448"/>
      <c r="O504" s="464"/>
      <c r="R504" s="448"/>
      <c r="S504" s="464"/>
      <c r="V504" s="448"/>
      <c r="W504" s="464"/>
      <c r="Z504" s="448"/>
      <c r="AA504" s="464"/>
      <c r="AD504" s="448"/>
      <c r="AE504" s="464"/>
      <c r="AH504" s="448"/>
      <c r="AI504" s="464"/>
      <c r="AL504" s="448"/>
      <c r="AP504" s="448"/>
    </row>
    <row r="505" spans="1:42" ht="13">
      <c r="A505" s="462"/>
      <c r="B505" s="462"/>
      <c r="N505" s="448"/>
      <c r="O505" s="464"/>
      <c r="R505" s="448"/>
      <c r="S505" s="464"/>
      <c r="V505" s="448"/>
      <c r="W505" s="464"/>
      <c r="Z505" s="448"/>
      <c r="AA505" s="464"/>
      <c r="AD505" s="448"/>
      <c r="AE505" s="464"/>
      <c r="AH505" s="448"/>
      <c r="AI505" s="464"/>
      <c r="AL505" s="448"/>
      <c r="AP505" s="448"/>
    </row>
    <row r="506" spans="1:42" ht="13">
      <c r="A506" s="462"/>
      <c r="B506" s="462"/>
      <c r="N506" s="448"/>
      <c r="O506" s="464"/>
      <c r="R506" s="448"/>
      <c r="S506" s="464"/>
      <c r="V506" s="448"/>
      <c r="W506" s="464"/>
      <c r="Z506" s="448"/>
      <c r="AA506" s="464"/>
      <c r="AD506" s="448"/>
      <c r="AE506" s="464"/>
      <c r="AH506" s="448"/>
      <c r="AI506" s="464"/>
      <c r="AL506" s="448"/>
      <c r="AP506" s="448"/>
    </row>
    <row r="507" spans="1:42" ht="13">
      <c r="A507" s="462"/>
      <c r="B507" s="462"/>
      <c r="N507" s="448"/>
      <c r="O507" s="464"/>
      <c r="R507" s="448"/>
      <c r="S507" s="464"/>
      <c r="V507" s="448"/>
      <c r="W507" s="464"/>
      <c r="Z507" s="448"/>
      <c r="AA507" s="464"/>
      <c r="AD507" s="448"/>
      <c r="AE507" s="464"/>
      <c r="AH507" s="448"/>
      <c r="AI507" s="464"/>
      <c r="AL507" s="448"/>
      <c r="AP507" s="448"/>
    </row>
    <row r="508" spans="1:42" ht="13">
      <c r="A508" s="462"/>
      <c r="B508" s="462"/>
      <c r="N508" s="448"/>
      <c r="O508" s="464"/>
      <c r="R508" s="448"/>
      <c r="S508" s="464"/>
      <c r="V508" s="448"/>
      <c r="W508" s="464"/>
      <c r="Z508" s="448"/>
      <c r="AA508" s="464"/>
      <c r="AD508" s="448"/>
      <c r="AE508" s="464"/>
      <c r="AH508" s="448"/>
      <c r="AI508" s="464"/>
      <c r="AL508" s="448"/>
      <c r="AP508" s="448"/>
    </row>
    <row r="509" spans="1:42" ht="13">
      <c r="A509" s="462"/>
      <c r="B509" s="462"/>
      <c r="N509" s="448"/>
      <c r="O509" s="464"/>
      <c r="R509" s="448"/>
      <c r="S509" s="464"/>
      <c r="V509" s="448"/>
      <c r="W509" s="464"/>
      <c r="Z509" s="448"/>
      <c r="AA509" s="464"/>
      <c r="AD509" s="448"/>
      <c r="AE509" s="464"/>
      <c r="AH509" s="448"/>
      <c r="AI509" s="464"/>
      <c r="AL509" s="448"/>
      <c r="AP509" s="448"/>
    </row>
    <row r="510" spans="1:42" ht="13">
      <c r="A510" s="462"/>
      <c r="B510" s="462"/>
      <c r="N510" s="448"/>
      <c r="O510" s="464"/>
      <c r="R510" s="448"/>
      <c r="S510" s="464"/>
      <c r="V510" s="448"/>
      <c r="W510" s="464"/>
      <c r="Z510" s="448"/>
      <c r="AA510" s="464"/>
      <c r="AD510" s="448"/>
      <c r="AE510" s="464"/>
      <c r="AH510" s="448"/>
      <c r="AI510" s="464"/>
      <c r="AL510" s="448"/>
      <c r="AP510" s="448"/>
    </row>
    <row r="511" spans="1:42" ht="13">
      <c r="A511" s="462"/>
      <c r="B511" s="462"/>
      <c r="N511" s="448"/>
      <c r="O511" s="464"/>
      <c r="R511" s="448"/>
      <c r="S511" s="464"/>
      <c r="V511" s="448"/>
      <c r="W511" s="464"/>
      <c r="Z511" s="448"/>
      <c r="AA511" s="464"/>
      <c r="AD511" s="448"/>
      <c r="AE511" s="464"/>
      <c r="AH511" s="448"/>
      <c r="AI511" s="464"/>
      <c r="AL511" s="448"/>
      <c r="AP511" s="448"/>
    </row>
    <row r="512" spans="1:42" ht="13">
      <c r="A512" s="462"/>
      <c r="B512" s="462"/>
      <c r="N512" s="448"/>
      <c r="O512" s="464"/>
      <c r="R512" s="448"/>
      <c r="S512" s="464"/>
      <c r="V512" s="448"/>
      <c r="W512" s="464"/>
      <c r="Z512" s="448"/>
      <c r="AA512" s="464"/>
      <c r="AD512" s="448"/>
      <c r="AE512" s="464"/>
      <c r="AH512" s="448"/>
      <c r="AI512" s="464"/>
      <c r="AL512" s="448"/>
      <c r="AP512" s="448"/>
    </row>
    <row r="513" spans="1:42" ht="13">
      <c r="A513" s="462"/>
      <c r="B513" s="462"/>
      <c r="N513" s="448"/>
      <c r="O513" s="464"/>
      <c r="R513" s="448"/>
      <c r="S513" s="464"/>
      <c r="V513" s="448"/>
      <c r="W513" s="464"/>
      <c r="Z513" s="448"/>
      <c r="AA513" s="464"/>
      <c r="AD513" s="448"/>
      <c r="AE513" s="464"/>
      <c r="AH513" s="448"/>
      <c r="AI513" s="464"/>
      <c r="AL513" s="448"/>
      <c r="AP513" s="448"/>
    </row>
    <row r="514" spans="1:42" ht="13">
      <c r="A514" s="462"/>
      <c r="B514" s="462"/>
      <c r="N514" s="448"/>
      <c r="O514" s="464"/>
      <c r="R514" s="448"/>
      <c r="S514" s="464"/>
      <c r="V514" s="448"/>
      <c r="W514" s="464"/>
      <c r="Z514" s="448"/>
      <c r="AA514" s="464"/>
      <c r="AD514" s="448"/>
      <c r="AE514" s="464"/>
      <c r="AH514" s="448"/>
      <c r="AI514" s="464"/>
      <c r="AL514" s="448"/>
      <c r="AP514" s="448"/>
    </row>
    <row r="515" spans="1:42" ht="13">
      <c r="A515" s="462"/>
      <c r="B515" s="462"/>
      <c r="N515" s="448"/>
      <c r="O515" s="464"/>
      <c r="R515" s="448"/>
      <c r="S515" s="464"/>
      <c r="V515" s="448"/>
      <c r="W515" s="464"/>
      <c r="Z515" s="448"/>
      <c r="AA515" s="464"/>
      <c r="AD515" s="448"/>
      <c r="AE515" s="464"/>
      <c r="AH515" s="448"/>
      <c r="AI515" s="464"/>
      <c r="AL515" s="448"/>
      <c r="AP515" s="448"/>
    </row>
    <row r="516" spans="1:42" ht="13">
      <c r="A516" s="462"/>
      <c r="B516" s="462"/>
      <c r="N516" s="448"/>
      <c r="O516" s="464"/>
      <c r="R516" s="448"/>
      <c r="S516" s="464"/>
      <c r="V516" s="448"/>
      <c r="W516" s="464"/>
      <c r="Z516" s="448"/>
      <c r="AA516" s="464"/>
      <c r="AD516" s="448"/>
      <c r="AE516" s="464"/>
      <c r="AH516" s="448"/>
      <c r="AI516" s="464"/>
      <c r="AL516" s="448"/>
      <c r="AP516" s="448"/>
    </row>
    <row r="517" spans="1:42" ht="13">
      <c r="A517" s="462"/>
      <c r="B517" s="462"/>
      <c r="N517" s="448"/>
      <c r="O517" s="464"/>
      <c r="R517" s="448"/>
      <c r="S517" s="464"/>
      <c r="V517" s="448"/>
      <c r="W517" s="464"/>
      <c r="Z517" s="448"/>
      <c r="AA517" s="464"/>
      <c r="AD517" s="448"/>
      <c r="AE517" s="464"/>
      <c r="AH517" s="448"/>
      <c r="AI517" s="464"/>
      <c r="AL517" s="448"/>
      <c r="AP517" s="448"/>
    </row>
    <row r="518" spans="1:42" ht="13">
      <c r="A518" s="462"/>
      <c r="B518" s="462"/>
      <c r="N518" s="448"/>
      <c r="O518" s="464"/>
      <c r="R518" s="448"/>
      <c r="S518" s="464"/>
      <c r="V518" s="448"/>
      <c r="W518" s="464"/>
      <c r="Z518" s="448"/>
      <c r="AA518" s="464"/>
      <c r="AD518" s="448"/>
      <c r="AE518" s="464"/>
      <c r="AH518" s="448"/>
      <c r="AI518" s="464"/>
      <c r="AL518" s="448"/>
      <c r="AP518" s="448"/>
    </row>
    <row r="519" spans="1:42" ht="13">
      <c r="A519" s="462"/>
      <c r="B519" s="462"/>
      <c r="N519" s="448"/>
      <c r="O519" s="464"/>
      <c r="R519" s="448"/>
      <c r="S519" s="464"/>
      <c r="V519" s="448"/>
      <c r="W519" s="464"/>
      <c r="Z519" s="448"/>
      <c r="AA519" s="464"/>
      <c r="AD519" s="448"/>
      <c r="AE519" s="464"/>
      <c r="AH519" s="448"/>
      <c r="AI519" s="464"/>
      <c r="AL519" s="448"/>
      <c r="AP519" s="448"/>
    </row>
    <row r="520" spans="1:42" ht="13">
      <c r="A520" s="462"/>
      <c r="B520" s="462"/>
      <c r="N520" s="448"/>
      <c r="O520" s="464"/>
      <c r="R520" s="448"/>
      <c r="S520" s="464"/>
      <c r="V520" s="448"/>
      <c r="W520" s="464"/>
      <c r="Z520" s="448"/>
      <c r="AA520" s="464"/>
      <c r="AD520" s="448"/>
      <c r="AE520" s="464"/>
      <c r="AH520" s="448"/>
      <c r="AI520" s="464"/>
      <c r="AL520" s="448"/>
      <c r="AP520" s="448"/>
    </row>
    <row r="521" spans="1:42" ht="13">
      <c r="A521" s="462"/>
      <c r="B521" s="462"/>
      <c r="N521" s="448"/>
      <c r="O521" s="464"/>
      <c r="R521" s="448"/>
      <c r="S521" s="464"/>
      <c r="V521" s="448"/>
      <c r="W521" s="464"/>
      <c r="Z521" s="448"/>
      <c r="AA521" s="464"/>
      <c r="AD521" s="448"/>
      <c r="AE521" s="464"/>
      <c r="AH521" s="448"/>
      <c r="AI521" s="464"/>
      <c r="AL521" s="448"/>
      <c r="AP521" s="448"/>
    </row>
    <row r="522" spans="1:42" ht="13">
      <c r="A522" s="462"/>
      <c r="B522" s="462"/>
      <c r="N522" s="448"/>
      <c r="O522" s="464"/>
      <c r="R522" s="448"/>
      <c r="S522" s="464"/>
      <c r="V522" s="448"/>
      <c r="W522" s="464"/>
      <c r="Z522" s="448"/>
      <c r="AA522" s="464"/>
      <c r="AD522" s="448"/>
      <c r="AE522" s="464"/>
      <c r="AH522" s="448"/>
      <c r="AI522" s="464"/>
      <c r="AL522" s="448"/>
      <c r="AP522" s="448"/>
    </row>
    <row r="523" spans="1:42" ht="13">
      <c r="A523" s="462"/>
      <c r="B523" s="462"/>
      <c r="N523" s="448"/>
      <c r="O523" s="464"/>
      <c r="R523" s="448"/>
      <c r="S523" s="464"/>
      <c r="V523" s="448"/>
      <c r="W523" s="464"/>
      <c r="Z523" s="448"/>
      <c r="AA523" s="464"/>
      <c r="AD523" s="448"/>
      <c r="AE523" s="464"/>
      <c r="AH523" s="448"/>
      <c r="AI523" s="464"/>
      <c r="AL523" s="448"/>
      <c r="AP523" s="448"/>
    </row>
    <row r="524" spans="1:42" ht="13">
      <c r="A524" s="462"/>
      <c r="B524" s="462"/>
      <c r="N524" s="448"/>
      <c r="O524" s="464"/>
      <c r="R524" s="448"/>
      <c r="S524" s="464"/>
      <c r="V524" s="448"/>
      <c r="W524" s="464"/>
      <c r="Z524" s="448"/>
      <c r="AA524" s="464"/>
      <c r="AD524" s="448"/>
      <c r="AE524" s="464"/>
      <c r="AH524" s="448"/>
      <c r="AI524" s="464"/>
      <c r="AL524" s="448"/>
      <c r="AP524" s="448"/>
    </row>
    <row r="525" spans="1:42" ht="13">
      <c r="A525" s="462"/>
      <c r="B525" s="462"/>
      <c r="N525" s="448"/>
      <c r="O525" s="464"/>
      <c r="R525" s="448"/>
      <c r="S525" s="464"/>
      <c r="V525" s="448"/>
      <c r="W525" s="464"/>
      <c r="Z525" s="448"/>
      <c r="AA525" s="464"/>
      <c r="AD525" s="448"/>
      <c r="AE525" s="464"/>
      <c r="AH525" s="448"/>
      <c r="AI525" s="464"/>
      <c r="AL525" s="448"/>
      <c r="AP525" s="448"/>
    </row>
    <row r="526" spans="1:42" ht="13">
      <c r="A526" s="462"/>
      <c r="B526" s="462"/>
      <c r="N526" s="448"/>
      <c r="O526" s="464"/>
      <c r="R526" s="448"/>
      <c r="S526" s="464"/>
      <c r="V526" s="448"/>
      <c r="W526" s="464"/>
      <c r="Z526" s="448"/>
      <c r="AA526" s="464"/>
      <c r="AD526" s="448"/>
      <c r="AE526" s="464"/>
      <c r="AH526" s="448"/>
      <c r="AI526" s="464"/>
      <c r="AL526" s="448"/>
      <c r="AP526" s="448"/>
    </row>
    <row r="527" spans="1:42" ht="13">
      <c r="A527" s="462"/>
      <c r="B527" s="462"/>
      <c r="N527" s="448"/>
      <c r="O527" s="464"/>
      <c r="R527" s="448"/>
      <c r="S527" s="464"/>
      <c r="V527" s="448"/>
      <c r="W527" s="464"/>
      <c r="Z527" s="448"/>
      <c r="AA527" s="464"/>
      <c r="AD527" s="448"/>
      <c r="AE527" s="464"/>
      <c r="AH527" s="448"/>
      <c r="AI527" s="464"/>
      <c r="AL527" s="448"/>
      <c r="AP527" s="448"/>
    </row>
    <row r="528" spans="1:42" ht="13">
      <c r="A528" s="462"/>
      <c r="B528" s="462"/>
      <c r="N528" s="448"/>
      <c r="O528" s="464"/>
      <c r="R528" s="448"/>
      <c r="S528" s="464"/>
      <c r="V528" s="448"/>
      <c r="W528" s="464"/>
      <c r="Z528" s="448"/>
      <c r="AA528" s="464"/>
      <c r="AD528" s="448"/>
      <c r="AE528" s="464"/>
      <c r="AH528" s="448"/>
      <c r="AI528" s="464"/>
      <c r="AL528" s="448"/>
      <c r="AP528" s="448"/>
    </row>
    <row r="529" spans="1:42" ht="13">
      <c r="A529" s="462"/>
      <c r="B529" s="462"/>
      <c r="N529" s="448"/>
      <c r="O529" s="464"/>
      <c r="R529" s="448"/>
      <c r="S529" s="464"/>
      <c r="V529" s="448"/>
      <c r="W529" s="464"/>
      <c r="Z529" s="448"/>
      <c r="AA529" s="464"/>
      <c r="AD529" s="448"/>
      <c r="AE529" s="464"/>
      <c r="AH529" s="448"/>
      <c r="AI529" s="464"/>
      <c r="AL529" s="448"/>
      <c r="AP529" s="448"/>
    </row>
    <row r="530" spans="1:42" ht="13">
      <c r="A530" s="462"/>
      <c r="B530" s="462"/>
      <c r="N530" s="448"/>
      <c r="O530" s="464"/>
      <c r="R530" s="448"/>
      <c r="S530" s="464"/>
      <c r="V530" s="448"/>
      <c r="W530" s="464"/>
      <c r="Z530" s="448"/>
      <c r="AA530" s="464"/>
      <c r="AD530" s="448"/>
      <c r="AE530" s="464"/>
      <c r="AH530" s="448"/>
      <c r="AI530" s="464"/>
      <c r="AL530" s="448"/>
      <c r="AP530" s="448"/>
    </row>
    <row r="531" spans="1:42" ht="13">
      <c r="A531" s="462"/>
      <c r="B531" s="462"/>
      <c r="N531" s="448"/>
      <c r="O531" s="464"/>
      <c r="R531" s="448"/>
      <c r="S531" s="464"/>
      <c r="V531" s="448"/>
      <c r="W531" s="464"/>
      <c r="Z531" s="448"/>
      <c r="AA531" s="464"/>
      <c r="AD531" s="448"/>
      <c r="AE531" s="464"/>
      <c r="AH531" s="448"/>
      <c r="AI531" s="464"/>
      <c r="AL531" s="448"/>
      <c r="AP531" s="448"/>
    </row>
    <row r="532" spans="1:42" ht="13">
      <c r="A532" s="462"/>
      <c r="B532" s="462"/>
      <c r="N532" s="448"/>
      <c r="O532" s="464"/>
      <c r="R532" s="448"/>
      <c r="S532" s="464"/>
      <c r="V532" s="448"/>
      <c r="W532" s="464"/>
      <c r="Z532" s="448"/>
      <c r="AA532" s="464"/>
      <c r="AD532" s="448"/>
      <c r="AE532" s="464"/>
      <c r="AH532" s="448"/>
      <c r="AI532" s="464"/>
      <c r="AL532" s="448"/>
      <c r="AP532" s="448"/>
    </row>
    <row r="533" spans="1:42" ht="13">
      <c r="A533" s="462"/>
      <c r="B533" s="462"/>
      <c r="N533" s="448"/>
      <c r="O533" s="464"/>
      <c r="R533" s="448"/>
      <c r="S533" s="464"/>
      <c r="V533" s="448"/>
      <c r="W533" s="464"/>
      <c r="Z533" s="448"/>
      <c r="AA533" s="464"/>
      <c r="AD533" s="448"/>
      <c r="AE533" s="464"/>
      <c r="AH533" s="448"/>
      <c r="AI533" s="464"/>
      <c r="AL533" s="448"/>
      <c r="AP533" s="448"/>
    </row>
    <row r="534" spans="1:42" ht="13">
      <c r="A534" s="462"/>
      <c r="B534" s="462"/>
      <c r="N534" s="448"/>
      <c r="O534" s="464"/>
      <c r="R534" s="448"/>
      <c r="S534" s="464"/>
      <c r="V534" s="448"/>
      <c r="W534" s="464"/>
      <c r="Z534" s="448"/>
      <c r="AA534" s="464"/>
      <c r="AD534" s="448"/>
      <c r="AE534" s="464"/>
      <c r="AH534" s="448"/>
      <c r="AI534" s="464"/>
      <c r="AL534" s="448"/>
      <c r="AP534" s="448"/>
    </row>
    <row r="535" spans="1:42" ht="13">
      <c r="A535" s="462"/>
      <c r="B535" s="462"/>
      <c r="N535" s="448"/>
      <c r="O535" s="464"/>
      <c r="R535" s="448"/>
      <c r="S535" s="464"/>
      <c r="V535" s="448"/>
      <c r="W535" s="464"/>
      <c r="Z535" s="448"/>
      <c r="AA535" s="464"/>
      <c r="AD535" s="448"/>
      <c r="AE535" s="464"/>
      <c r="AH535" s="448"/>
      <c r="AI535" s="464"/>
      <c r="AL535" s="448"/>
      <c r="AP535" s="448"/>
    </row>
    <row r="536" spans="1:42" ht="13">
      <c r="A536" s="462"/>
      <c r="B536" s="462"/>
      <c r="N536" s="448"/>
      <c r="O536" s="464"/>
      <c r="R536" s="448"/>
      <c r="S536" s="464"/>
      <c r="V536" s="448"/>
      <c r="W536" s="464"/>
      <c r="Z536" s="448"/>
      <c r="AA536" s="464"/>
      <c r="AD536" s="448"/>
      <c r="AE536" s="464"/>
      <c r="AH536" s="448"/>
      <c r="AI536" s="464"/>
      <c r="AL536" s="448"/>
      <c r="AP536" s="448"/>
    </row>
    <row r="537" spans="1:42" ht="13">
      <c r="A537" s="462"/>
      <c r="B537" s="462"/>
      <c r="N537" s="448"/>
      <c r="O537" s="464"/>
      <c r="R537" s="448"/>
      <c r="S537" s="464"/>
      <c r="V537" s="448"/>
      <c r="W537" s="464"/>
      <c r="Z537" s="448"/>
      <c r="AA537" s="464"/>
      <c r="AD537" s="448"/>
      <c r="AE537" s="464"/>
      <c r="AH537" s="448"/>
      <c r="AI537" s="464"/>
      <c r="AL537" s="448"/>
      <c r="AP537" s="448"/>
    </row>
    <row r="538" spans="1:42" ht="13">
      <c r="A538" s="462"/>
      <c r="B538" s="462"/>
      <c r="N538" s="448"/>
      <c r="O538" s="464"/>
      <c r="R538" s="448"/>
      <c r="S538" s="464"/>
      <c r="V538" s="448"/>
      <c r="W538" s="464"/>
      <c r="Z538" s="448"/>
      <c r="AA538" s="464"/>
      <c r="AD538" s="448"/>
      <c r="AE538" s="464"/>
      <c r="AH538" s="448"/>
      <c r="AI538" s="464"/>
      <c r="AL538" s="448"/>
      <c r="AP538" s="448"/>
    </row>
    <row r="539" spans="1:42" ht="13">
      <c r="A539" s="462"/>
      <c r="B539" s="462"/>
      <c r="N539" s="448"/>
      <c r="O539" s="464"/>
      <c r="R539" s="448"/>
      <c r="S539" s="464"/>
      <c r="V539" s="448"/>
      <c r="W539" s="464"/>
      <c r="Z539" s="448"/>
      <c r="AA539" s="464"/>
      <c r="AD539" s="448"/>
      <c r="AE539" s="464"/>
      <c r="AH539" s="448"/>
      <c r="AI539" s="464"/>
      <c r="AL539" s="448"/>
      <c r="AP539" s="448"/>
    </row>
    <row r="540" spans="1:42" ht="13">
      <c r="A540" s="462"/>
      <c r="B540" s="462"/>
      <c r="N540" s="448"/>
      <c r="O540" s="464"/>
      <c r="R540" s="448"/>
      <c r="S540" s="464"/>
      <c r="V540" s="448"/>
      <c r="W540" s="464"/>
      <c r="Z540" s="448"/>
      <c r="AA540" s="464"/>
      <c r="AD540" s="448"/>
      <c r="AE540" s="464"/>
      <c r="AH540" s="448"/>
      <c r="AI540" s="464"/>
      <c r="AL540" s="448"/>
      <c r="AP540" s="448"/>
    </row>
    <row r="541" spans="1:42" ht="13">
      <c r="A541" s="462"/>
      <c r="B541" s="462"/>
      <c r="N541" s="448"/>
      <c r="O541" s="464"/>
      <c r="R541" s="448"/>
      <c r="S541" s="464"/>
      <c r="V541" s="448"/>
      <c r="W541" s="464"/>
      <c r="Z541" s="448"/>
      <c r="AA541" s="464"/>
      <c r="AD541" s="448"/>
      <c r="AE541" s="464"/>
      <c r="AH541" s="448"/>
      <c r="AI541" s="464"/>
      <c r="AL541" s="448"/>
      <c r="AP541" s="448"/>
    </row>
    <row r="542" spans="1:42" ht="13">
      <c r="A542" s="462"/>
      <c r="B542" s="462"/>
      <c r="N542" s="448"/>
      <c r="O542" s="464"/>
      <c r="R542" s="448"/>
      <c r="S542" s="464"/>
      <c r="V542" s="448"/>
      <c r="W542" s="464"/>
      <c r="Z542" s="448"/>
      <c r="AA542" s="464"/>
      <c r="AD542" s="448"/>
      <c r="AE542" s="464"/>
      <c r="AH542" s="448"/>
      <c r="AI542" s="464"/>
      <c r="AL542" s="448"/>
      <c r="AP542" s="448"/>
    </row>
    <row r="543" spans="1:42" ht="13">
      <c r="A543" s="462"/>
      <c r="B543" s="462"/>
      <c r="N543" s="448"/>
      <c r="O543" s="464"/>
      <c r="R543" s="448"/>
      <c r="S543" s="464"/>
      <c r="V543" s="448"/>
      <c r="W543" s="464"/>
      <c r="Z543" s="448"/>
      <c r="AA543" s="464"/>
      <c r="AD543" s="448"/>
      <c r="AE543" s="464"/>
      <c r="AH543" s="448"/>
      <c r="AI543" s="464"/>
      <c r="AL543" s="448"/>
      <c r="AP543" s="448"/>
    </row>
    <row r="544" spans="1:42" ht="13">
      <c r="A544" s="462"/>
      <c r="B544" s="462"/>
      <c r="N544" s="448"/>
      <c r="O544" s="464"/>
      <c r="R544" s="448"/>
      <c r="S544" s="464"/>
      <c r="V544" s="448"/>
      <c r="W544" s="464"/>
      <c r="Z544" s="448"/>
      <c r="AA544" s="464"/>
      <c r="AD544" s="448"/>
      <c r="AE544" s="464"/>
      <c r="AH544" s="448"/>
      <c r="AI544" s="464"/>
      <c r="AL544" s="448"/>
      <c r="AP544" s="448"/>
    </row>
    <row r="545" spans="1:42" ht="13">
      <c r="A545" s="462"/>
      <c r="B545" s="462"/>
      <c r="N545" s="448"/>
      <c r="O545" s="464"/>
      <c r="R545" s="448"/>
      <c r="S545" s="464"/>
      <c r="V545" s="448"/>
      <c r="W545" s="464"/>
      <c r="Z545" s="448"/>
      <c r="AA545" s="464"/>
      <c r="AD545" s="448"/>
      <c r="AE545" s="464"/>
      <c r="AH545" s="448"/>
      <c r="AI545" s="464"/>
      <c r="AL545" s="448"/>
      <c r="AP545" s="448"/>
    </row>
    <row r="546" spans="1:42" ht="13">
      <c r="A546" s="462"/>
      <c r="B546" s="462"/>
      <c r="N546" s="448"/>
      <c r="O546" s="464"/>
      <c r="R546" s="448"/>
      <c r="S546" s="464"/>
      <c r="V546" s="448"/>
      <c r="W546" s="464"/>
      <c r="Z546" s="448"/>
      <c r="AA546" s="464"/>
      <c r="AD546" s="448"/>
      <c r="AE546" s="464"/>
      <c r="AH546" s="448"/>
      <c r="AI546" s="464"/>
      <c r="AL546" s="448"/>
      <c r="AP546" s="448"/>
    </row>
    <row r="547" spans="1:42" ht="13">
      <c r="A547" s="462"/>
      <c r="B547" s="462"/>
      <c r="N547" s="448"/>
      <c r="O547" s="464"/>
      <c r="R547" s="448"/>
      <c r="S547" s="464"/>
      <c r="V547" s="448"/>
      <c r="W547" s="464"/>
      <c r="Z547" s="448"/>
      <c r="AA547" s="464"/>
      <c r="AD547" s="448"/>
      <c r="AE547" s="464"/>
      <c r="AH547" s="448"/>
      <c r="AI547" s="464"/>
      <c r="AL547" s="448"/>
      <c r="AP547" s="448"/>
    </row>
    <row r="548" spans="1:42" ht="13">
      <c r="A548" s="462"/>
      <c r="B548" s="462"/>
      <c r="N548" s="448"/>
      <c r="O548" s="464"/>
      <c r="R548" s="448"/>
      <c r="S548" s="464"/>
      <c r="V548" s="448"/>
      <c r="W548" s="464"/>
      <c r="Z548" s="448"/>
      <c r="AA548" s="464"/>
      <c r="AD548" s="448"/>
      <c r="AE548" s="464"/>
      <c r="AH548" s="448"/>
      <c r="AI548" s="464"/>
      <c r="AL548" s="448"/>
      <c r="AP548" s="448"/>
    </row>
    <row r="549" spans="1:42" ht="13">
      <c r="A549" s="462"/>
      <c r="B549" s="462"/>
      <c r="N549" s="448"/>
      <c r="O549" s="464"/>
      <c r="R549" s="448"/>
      <c r="S549" s="464"/>
      <c r="V549" s="448"/>
      <c r="W549" s="464"/>
      <c r="Z549" s="448"/>
      <c r="AA549" s="464"/>
      <c r="AD549" s="448"/>
      <c r="AE549" s="464"/>
      <c r="AH549" s="448"/>
      <c r="AI549" s="464"/>
      <c r="AL549" s="448"/>
      <c r="AP549" s="448"/>
    </row>
    <row r="550" spans="1:42" ht="13">
      <c r="A550" s="462"/>
      <c r="B550" s="462"/>
      <c r="N550" s="448"/>
      <c r="O550" s="464"/>
      <c r="R550" s="448"/>
      <c r="S550" s="464"/>
      <c r="V550" s="448"/>
      <c r="W550" s="464"/>
      <c r="Z550" s="448"/>
      <c r="AA550" s="464"/>
      <c r="AD550" s="448"/>
      <c r="AE550" s="464"/>
      <c r="AH550" s="448"/>
      <c r="AI550" s="464"/>
      <c r="AL550" s="448"/>
      <c r="AP550" s="448"/>
    </row>
    <row r="551" spans="1:42" ht="13">
      <c r="A551" s="462"/>
      <c r="B551" s="462"/>
      <c r="N551" s="448"/>
      <c r="O551" s="464"/>
      <c r="R551" s="448"/>
      <c r="S551" s="464"/>
      <c r="V551" s="448"/>
      <c r="W551" s="464"/>
      <c r="Z551" s="448"/>
      <c r="AA551" s="464"/>
      <c r="AD551" s="448"/>
      <c r="AE551" s="464"/>
      <c r="AH551" s="448"/>
      <c r="AI551" s="464"/>
      <c r="AL551" s="448"/>
      <c r="AP551" s="448"/>
    </row>
    <row r="552" spans="1:42" ht="13">
      <c r="A552" s="462"/>
      <c r="B552" s="462"/>
      <c r="N552" s="448"/>
      <c r="O552" s="464"/>
      <c r="R552" s="448"/>
      <c r="S552" s="464"/>
      <c r="V552" s="448"/>
      <c r="W552" s="464"/>
      <c r="Z552" s="448"/>
      <c r="AA552" s="464"/>
      <c r="AD552" s="448"/>
      <c r="AE552" s="464"/>
      <c r="AH552" s="448"/>
      <c r="AI552" s="464"/>
      <c r="AL552" s="448"/>
      <c r="AP552" s="448"/>
    </row>
    <row r="553" spans="1:42" ht="13">
      <c r="A553" s="462"/>
      <c r="B553" s="462"/>
      <c r="N553" s="448"/>
      <c r="O553" s="464"/>
      <c r="R553" s="448"/>
      <c r="S553" s="464"/>
      <c r="V553" s="448"/>
      <c r="W553" s="464"/>
      <c r="Z553" s="448"/>
      <c r="AA553" s="464"/>
      <c r="AD553" s="448"/>
      <c r="AE553" s="464"/>
      <c r="AH553" s="448"/>
      <c r="AI553" s="464"/>
      <c r="AL553" s="448"/>
      <c r="AP553" s="448"/>
    </row>
    <row r="554" spans="1:42" ht="13">
      <c r="A554" s="462"/>
      <c r="B554" s="462"/>
      <c r="N554" s="448"/>
      <c r="O554" s="464"/>
      <c r="R554" s="448"/>
      <c r="S554" s="464"/>
      <c r="V554" s="448"/>
      <c r="W554" s="464"/>
      <c r="Z554" s="448"/>
      <c r="AA554" s="464"/>
      <c r="AD554" s="448"/>
      <c r="AE554" s="464"/>
      <c r="AH554" s="448"/>
      <c r="AI554" s="464"/>
      <c r="AL554" s="448"/>
      <c r="AP554" s="448"/>
    </row>
    <row r="555" spans="1:42" ht="13">
      <c r="A555" s="462"/>
      <c r="B555" s="462"/>
      <c r="N555" s="448"/>
      <c r="O555" s="464"/>
      <c r="R555" s="448"/>
      <c r="S555" s="464"/>
      <c r="V555" s="448"/>
      <c r="W555" s="464"/>
      <c r="Z555" s="448"/>
      <c r="AA555" s="464"/>
      <c r="AD555" s="448"/>
      <c r="AE555" s="464"/>
      <c r="AH555" s="448"/>
      <c r="AI555" s="464"/>
      <c r="AL555" s="448"/>
      <c r="AP555" s="448"/>
    </row>
    <row r="556" spans="1:42" ht="13">
      <c r="A556" s="462"/>
      <c r="B556" s="462"/>
      <c r="N556" s="448"/>
      <c r="O556" s="464"/>
      <c r="R556" s="448"/>
      <c r="S556" s="464"/>
      <c r="V556" s="448"/>
      <c r="W556" s="464"/>
      <c r="Z556" s="448"/>
      <c r="AA556" s="464"/>
      <c r="AD556" s="448"/>
      <c r="AE556" s="464"/>
      <c r="AH556" s="448"/>
      <c r="AI556" s="464"/>
      <c r="AL556" s="448"/>
      <c r="AP556" s="448"/>
    </row>
    <row r="557" spans="1:42" ht="13">
      <c r="A557" s="462"/>
      <c r="B557" s="462"/>
      <c r="N557" s="448"/>
      <c r="O557" s="464"/>
      <c r="R557" s="448"/>
      <c r="S557" s="464"/>
      <c r="V557" s="448"/>
      <c r="W557" s="464"/>
      <c r="Z557" s="448"/>
      <c r="AA557" s="464"/>
      <c r="AD557" s="448"/>
      <c r="AE557" s="464"/>
      <c r="AH557" s="448"/>
      <c r="AI557" s="464"/>
      <c r="AL557" s="448"/>
      <c r="AP557" s="448"/>
    </row>
    <row r="558" spans="1:42" ht="13">
      <c r="A558" s="462"/>
      <c r="B558" s="462"/>
      <c r="N558" s="448"/>
      <c r="O558" s="464"/>
      <c r="R558" s="448"/>
      <c r="S558" s="464"/>
      <c r="V558" s="448"/>
      <c r="W558" s="464"/>
      <c r="Z558" s="448"/>
      <c r="AA558" s="464"/>
      <c r="AD558" s="448"/>
      <c r="AE558" s="464"/>
      <c r="AH558" s="448"/>
      <c r="AI558" s="464"/>
      <c r="AL558" s="448"/>
      <c r="AP558" s="448"/>
    </row>
    <row r="559" spans="1:42" ht="13">
      <c r="A559" s="462"/>
      <c r="B559" s="462"/>
      <c r="N559" s="448"/>
      <c r="O559" s="464"/>
      <c r="R559" s="448"/>
      <c r="S559" s="464"/>
      <c r="V559" s="448"/>
      <c r="W559" s="464"/>
      <c r="Z559" s="448"/>
      <c r="AA559" s="464"/>
      <c r="AD559" s="448"/>
      <c r="AE559" s="464"/>
      <c r="AH559" s="448"/>
      <c r="AI559" s="464"/>
      <c r="AL559" s="448"/>
      <c r="AP559" s="448"/>
    </row>
    <row r="560" spans="1:42" ht="13">
      <c r="A560" s="462"/>
      <c r="B560" s="462"/>
      <c r="N560" s="448"/>
      <c r="O560" s="464"/>
      <c r="R560" s="448"/>
      <c r="S560" s="464"/>
      <c r="V560" s="448"/>
      <c r="W560" s="464"/>
      <c r="Z560" s="448"/>
      <c r="AA560" s="464"/>
      <c r="AD560" s="448"/>
      <c r="AE560" s="464"/>
      <c r="AH560" s="448"/>
      <c r="AI560" s="464"/>
      <c r="AL560" s="448"/>
      <c r="AP560" s="448"/>
    </row>
    <row r="561" spans="1:42" ht="13">
      <c r="A561" s="462"/>
      <c r="B561" s="462"/>
      <c r="N561" s="448"/>
      <c r="O561" s="464"/>
      <c r="R561" s="448"/>
      <c r="S561" s="464"/>
      <c r="V561" s="448"/>
      <c r="W561" s="464"/>
      <c r="Z561" s="448"/>
      <c r="AA561" s="464"/>
      <c r="AD561" s="448"/>
      <c r="AE561" s="464"/>
      <c r="AH561" s="448"/>
      <c r="AI561" s="464"/>
      <c r="AL561" s="448"/>
      <c r="AP561" s="448"/>
    </row>
    <row r="562" spans="1:42" ht="13">
      <c r="A562" s="462"/>
      <c r="B562" s="462"/>
      <c r="N562" s="448"/>
      <c r="O562" s="464"/>
      <c r="R562" s="448"/>
      <c r="S562" s="464"/>
      <c r="V562" s="448"/>
      <c r="W562" s="464"/>
      <c r="Z562" s="448"/>
      <c r="AA562" s="464"/>
      <c r="AD562" s="448"/>
      <c r="AE562" s="464"/>
      <c r="AH562" s="448"/>
      <c r="AI562" s="464"/>
      <c r="AL562" s="448"/>
      <c r="AP562" s="448"/>
    </row>
    <row r="563" spans="1:42" ht="13">
      <c r="A563" s="462"/>
      <c r="B563" s="462"/>
      <c r="N563" s="448"/>
      <c r="O563" s="464"/>
      <c r="R563" s="448"/>
      <c r="S563" s="464"/>
      <c r="V563" s="448"/>
      <c r="W563" s="464"/>
      <c r="Z563" s="448"/>
      <c r="AA563" s="464"/>
      <c r="AD563" s="448"/>
      <c r="AE563" s="464"/>
      <c r="AH563" s="448"/>
      <c r="AI563" s="464"/>
      <c r="AL563" s="448"/>
      <c r="AP563" s="448"/>
    </row>
    <row r="564" spans="1:42" ht="13">
      <c r="A564" s="462"/>
      <c r="B564" s="462"/>
      <c r="N564" s="448"/>
      <c r="O564" s="464"/>
      <c r="R564" s="448"/>
      <c r="S564" s="464"/>
      <c r="V564" s="448"/>
      <c r="W564" s="464"/>
      <c r="Z564" s="448"/>
      <c r="AA564" s="464"/>
      <c r="AD564" s="448"/>
      <c r="AE564" s="464"/>
      <c r="AH564" s="448"/>
      <c r="AI564" s="464"/>
      <c r="AL564" s="448"/>
      <c r="AP564" s="448"/>
    </row>
    <row r="565" spans="1:42" ht="13">
      <c r="A565" s="462"/>
      <c r="B565" s="462"/>
      <c r="N565" s="448"/>
      <c r="O565" s="464"/>
      <c r="R565" s="448"/>
      <c r="S565" s="464"/>
      <c r="V565" s="448"/>
      <c r="W565" s="464"/>
      <c r="Z565" s="448"/>
      <c r="AA565" s="464"/>
      <c r="AD565" s="448"/>
      <c r="AE565" s="464"/>
      <c r="AH565" s="448"/>
      <c r="AI565" s="464"/>
      <c r="AL565" s="448"/>
      <c r="AP565" s="448"/>
    </row>
    <row r="566" spans="1:42" ht="13">
      <c r="A566" s="462"/>
      <c r="B566" s="462"/>
      <c r="N566" s="448"/>
      <c r="O566" s="464"/>
      <c r="R566" s="448"/>
      <c r="S566" s="464"/>
      <c r="V566" s="448"/>
      <c r="W566" s="464"/>
      <c r="Z566" s="448"/>
      <c r="AA566" s="464"/>
      <c r="AD566" s="448"/>
      <c r="AE566" s="464"/>
      <c r="AH566" s="448"/>
      <c r="AI566" s="464"/>
      <c r="AL566" s="448"/>
      <c r="AP566" s="448"/>
    </row>
    <row r="567" spans="1:42" ht="13">
      <c r="A567" s="462"/>
      <c r="B567" s="462"/>
      <c r="N567" s="448"/>
      <c r="O567" s="464"/>
      <c r="R567" s="448"/>
      <c r="S567" s="464"/>
      <c r="V567" s="448"/>
      <c r="W567" s="464"/>
      <c r="Z567" s="448"/>
      <c r="AA567" s="464"/>
      <c r="AD567" s="448"/>
      <c r="AE567" s="464"/>
      <c r="AH567" s="448"/>
      <c r="AI567" s="464"/>
      <c r="AL567" s="448"/>
      <c r="AP567" s="448"/>
    </row>
    <row r="568" spans="1:42" ht="13">
      <c r="A568" s="462"/>
      <c r="B568" s="462"/>
      <c r="N568" s="448"/>
      <c r="O568" s="464"/>
      <c r="R568" s="448"/>
      <c r="S568" s="464"/>
      <c r="V568" s="448"/>
      <c r="W568" s="464"/>
      <c r="Z568" s="448"/>
      <c r="AA568" s="464"/>
      <c r="AD568" s="448"/>
      <c r="AE568" s="464"/>
      <c r="AH568" s="448"/>
      <c r="AI568" s="464"/>
      <c r="AL568" s="448"/>
      <c r="AP568" s="448"/>
    </row>
    <row r="569" spans="1:42" ht="13">
      <c r="A569" s="462"/>
      <c r="B569" s="462"/>
      <c r="N569" s="448"/>
      <c r="O569" s="464"/>
      <c r="R569" s="448"/>
      <c r="S569" s="464"/>
      <c r="V569" s="448"/>
      <c r="W569" s="464"/>
      <c r="Z569" s="448"/>
      <c r="AA569" s="464"/>
      <c r="AD569" s="448"/>
      <c r="AE569" s="464"/>
      <c r="AH569" s="448"/>
      <c r="AI569" s="464"/>
      <c r="AL569" s="448"/>
      <c r="AP569" s="448"/>
    </row>
    <row r="570" spans="1:42" ht="13">
      <c r="A570" s="462"/>
      <c r="B570" s="462"/>
      <c r="N570" s="448"/>
      <c r="O570" s="464"/>
      <c r="R570" s="448"/>
      <c r="S570" s="464"/>
      <c r="V570" s="448"/>
      <c r="W570" s="464"/>
      <c r="Z570" s="448"/>
      <c r="AA570" s="464"/>
      <c r="AD570" s="448"/>
      <c r="AE570" s="464"/>
      <c r="AH570" s="448"/>
      <c r="AI570" s="464"/>
      <c r="AL570" s="448"/>
      <c r="AP570" s="448"/>
    </row>
    <row r="571" spans="1:42" ht="13">
      <c r="A571" s="462"/>
      <c r="B571" s="462"/>
      <c r="N571" s="448"/>
      <c r="O571" s="464"/>
      <c r="R571" s="448"/>
      <c r="S571" s="464"/>
      <c r="V571" s="448"/>
      <c r="W571" s="464"/>
      <c r="Z571" s="448"/>
      <c r="AA571" s="464"/>
      <c r="AD571" s="448"/>
      <c r="AE571" s="464"/>
      <c r="AH571" s="448"/>
      <c r="AI571" s="464"/>
      <c r="AL571" s="448"/>
      <c r="AP571" s="448"/>
    </row>
    <row r="572" spans="1:42" ht="13">
      <c r="A572" s="462"/>
      <c r="B572" s="462"/>
      <c r="N572" s="448"/>
      <c r="O572" s="464"/>
      <c r="R572" s="448"/>
      <c r="S572" s="464"/>
      <c r="V572" s="448"/>
      <c r="W572" s="464"/>
      <c r="Z572" s="448"/>
      <c r="AA572" s="464"/>
      <c r="AD572" s="448"/>
      <c r="AE572" s="464"/>
      <c r="AH572" s="448"/>
      <c r="AI572" s="464"/>
      <c r="AL572" s="448"/>
      <c r="AP572" s="448"/>
    </row>
    <row r="573" spans="1:42" ht="13">
      <c r="A573" s="462"/>
      <c r="B573" s="462"/>
      <c r="N573" s="448"/>
      <c r="O573" s="464"/>
      <c r="R573" s="448"/>
      <c r="S573" s="464"/>
      <c r="V573" s="448"/>
      <c r="W573" s="464"/>
      <c r="Z573" s="448"/>
      <c r="AA573" s="464"/>
      <c r="AD573" s="448"/>
      <c r="AE573" s="464"/>
      <c r="AH573" s="448"/>
      <c r="AI573" s="464"/>
      <c r="AL573" s="448"/>
      <c r="AP573" s="448"/>
    </row>
    <row r="574" spans="1:42" ht="13">
      <c r="A574" s="462"/>
      <c r="B574" s="462"/>
      <c r="N574" s="448"/>
      <c r="O574" s="464"/>
      <c r="R574" s="448"/>
      <c r="S574" s="464"/>
      <c r="V574" s="448"/>
      <c r="W574" s="464"/>
      <c r="Z574" s="448"/>
      <c r="AA574" s="464"/>
      <c r="AD574" s="448"/>
      <c r="AE574" s="464"/>
      <c r="AH574" s="448"/>
      <c r="AI574" s="464"/>
      <c r="AL574" s="448"/>
      <c r="AP574" s="448"/>
    </row>
    <row r="575" spans="1:42" ht="13">
      <c r="A575" s="462"/>
      <c r="B575" s="462"/>
      <c r="N575" s="448"/>
      <c r="O575" s="464"/>
      <c r="R575" s="448"/>
      <c r="S575" s="464"/>
      <c r="V575" s="448"/>
      <c r="W575" s="464"/>
      <c r="Z575" s="448"/>
      <c r="AA575" s="464"/>
      <c r="AD575" s="448"/>
      <c r="AE575" s="464"/>
      <c r="AH575" s="448"/>
      <c r="AI575" s="464"/>
      <c r="AL575" s="448"/>
      <c r="AP575" s="448"/>
    </row>
    <row r="576" spans="1:42" ht="13">
      <c r="A576" s="462"/>
      <c r="B576" s="462"/>
      <c r="N576" s="448"/>
      <c r="O576" s="464"/>
      <c r="R576" s="448"/>
      <c r="S576" s="464"/>
      <c r="V576" s="448"/>
      <c r="W576" s="464"/>
      <c r="Z576" s="448"/>
      <c r="AA576" s="464"/>
      <c r="AD576" s="448"/>
      <c r="AE576" s="464"/>
      <c r="AH576" s="448"/>
      <c r="AI576" s="464"/>
      <c r="AL576" s="448"/>
      <c r="AP576" s="448"/>
    </row>
    <row r="577" spans="1:42" ht="13">
      <c r="A577" s="462"/>
      <c r="B577" s="462"/>
      <c r="N577" s="448"/>
      <c r="O577" s="464"/>
      <c r="R577" s="448"/>
      <c r="S577" s="464"/>
      <c r="V577" s="448"/>
      <c r="W577" s="464"/>
      <c r="Z577" s="448"/>
      <c r="AA577" s="464"/>
      <c r="AD577" s="448"/>
      <c r="AE577" s="464"/>
      <c r="AH577" s="448"/>
      <c r="AI577" s="464"/>
      <c r="AL577" s="448"/>
      <c r="AP577" s="448"/>
    </row>
    <row r="578" spans="1:42" ht="13">
      <c r="A578" s="462"/>
      <c r="B578" s="462"/>
      <c r="N578" s="448"/>
      <c r="O578" s="464"/>
      <c r="R578" s="448"/>
      <c r="S578" s="464"/>
      <c r="V578" s="448"/>
      <c r="W578" s="464"/>
      <c r="Z578" s="448"/>
      <c r="AA578" s="464"/>
      <c r="AD578" s="448"/>
      <c r="AE578" s="464"/>
      <c r="AH578" s="448"/>
      <c r="AI578" s="464"/>
      <c r="AL578" s="448"/>
      <c r="AP578" s="448"/>
    </row>
    <row r="579" spans="1:42" ht="13">
      <c r="A579" s="462"/>
      <c r="B579" s="462"/>
      <c r="N579" s="448"/>
      <c r="O579" s="464"/>
      <c r="R579" s="448"/>
      <c r="S579" s="464"/>
      <c r="V579" s="448"/>
      <c r="W579" s="464"/>
      <c r="Z579" s="448"/>
      <c r="AA579" s="464"/>
      <c r="AD579" s="448"/>
      <c r="AE579" s="464"/>
      <c r="AH579" s="448"/>
      <c r="AI579" s="464"/>
      <c r="AL579" s="448"/>
      <c r="AP579" s="448"/>
    </row>
    <row r="580" spans="1:42" ht="13">
      <c r="A580" s="462"/>
      <c r="B580" s="462"/>
      <c r="N580" s="448"/>
      <c r="O580" s="464"/>
      <c r="R580" s="448"/>
      <c r="S580" s="464"/>
      <c r="V580" s="448"/>
      <c r="W580" s="464"/>
      <c r="Z580" s="448"/>
      <c r="AA580" s="464"/>
      <c r="AD580" s="448"/>
      <c r="AE580" s="464"/>
      <c r="AH580" s="448"/>
      <c r="AI580" s="464"/>
      <c r="AL580" s="448"/>
      <c r="AP580" s="448"/>
    </row>
    <row r="581" spans="1:42" ht="13">
      <c r="A581" s="462"/>
      <c r="B581" s="462"/>
      <c r="N581" s="448"/>
      <c r="O581" s="464"/>
      <c r="R581" s="448"/>
      <c r="S581" s="464"/>
      <c r="V581" s="448"/>
      <c r="W581" s="464"/>
      <c r="Z581" s="448"/>
      <c r="AA581" s="464"/>
      <c r="AD581" s="448"/>
      <c r="AE581" s="464"/>
      <c r="AH581" s="448"/>
      <c r="AI581" s="464"/>
      <c r="AL581" s="448"/>
      <c r="AP581" s="448"/>
    </row>
    <row r="582" spans="1:42" ht="13">
      <c r="A582" s="462"/>
      <c r="B582" s="462"/>
      <c r="N582" s="448"/>
      <c r="O582" s="464"/>
      <c r="R582" s="448"/>
      <c r="S582" s="464"/>
      <c r="V582" s="448"/>
      <c r="W582" s="464"/>
      <c r="Z582" s="448"/>
      <c r="AA582" s="464"/>
      <c r="AD582" s="448"/>
      <c r="AE582" s="464"/>
      <c r="AH582" s="448"/>
      <c r="AI582" s="464"/>
      <c r="AL582" s="448"/>
      <c r="AP582" s="448"/>
    </row>
    <row r="583" spans="1:42" ht="13">
      <c r="A583" s="462"/>
      <c r="B583" s="462"/>
      <c r="N583" s="448"/>
      <c r="O583" s="464"/>
      <c r="R583" s="448"/>
      <c r="S583" s="464"/>
      <c r="V583" s="448"/>
      <c r="W583" s="464"/>
      <c r="Z583" s="448"/>
      <c r="AA583" s="464"/>
      <c r="AD583" s="448"/>
      <c r="AE583" s="464"/>
      <c r="AH583" s="448"/>
      <c r="AI583" s="464"/>
      <c r="AL583" s="448"/>
      <c r="AP583" s="448"/>
    </row>
    <row r="584" spans="1:42" ht="13">
      <c r="A584" s="462"/>
      <c r="B584" s="462"/>
      <c r="N584" s="448"/>
      <c r="O584" s="464"/>
      <c r="R584" s="448"/>
      <c r="S584" s="464"/>
      <c r="V584" s="448"/>
      <c r="W584" s="464"/>
      <c r="Z584" s="448"/>
      <c r="AA584" s="464"/>
      <c r="AD584" s="448"/>
      <c r="AE584" s="464"/>
      <c r="AH584" s="448"/>
      <c r="AI584" s="464"/>
      <c r="AL584" s="448"/>
      <c r="AP584" s="448"/>
    </row>
    <row r="585" spans="1:42" ht="13">
      <c r="A585" s="462"/>
      <c r="B585" s="462"/>
      <c r="N585" s="448"/>
      <c r="O585" s="464"/>
      <c r="R585" s="448"/>
      <c r="S585" s="464"/>
      <c r="V585" s="448"/>
      <c r="W585" s="464"/>
      <c r="Z585" s="448"/>
      <c r="AA585" s="464"/>
      <c r="AD585" s="448"/>
      <c r="AE585" s="464"/>
      <c r="AH585" s="448"/>
      <c r="AI585" s="464"/>
      <c r="AL585" s="448"/>
      <c r="AP585" s="448"/>
    </row>
    <row r="586" spans="1:42" ht="13">
      <c r="A586" s="462"/>
      <c r="B586" s="462"/>
      <c r="N586" s="448"/>
      <c r="O586" s="464"/>
      <c r="R586" s="448"/>
      <c r="S586" s="464"/>
      <c r="V586" s="448"/>
      <c r="W586" s="464"/>
      <c r="Z586" s="448"/>
      <c r="AA586" s="464"/>
      <c r="AD586" s="448"/>
      <c r="AE586" s="464"/>
      <c r="AH586" s="448"/>
      <c r="AI586" s="464"/>
      <c r="AL586" s="448"/>
      <c r="AP586" s="448"/>
    </row>
    <row r="587" spans="1:42" ht="13">
      <c r="A587" s="462"/>
      <c r="B587" s="462"/>
      <c r="N587" s="448"/>
      <c r="O587" s="464"/>
      <c r="R587" s="448"/>
      <c r="S587" s="464"/>
      <c r="V587" s="448"/>
      <c r="W587" s="464"/>
      <c r="Z587" s="448"/>
      <c r="AA587" s="464"/>
      <c r="AD587" s="448"/>
      <c r="AE587" s="464"/>
      <c r="AH587" s="448"/>
      <c r="AI587" s="464"/>
      <c r="AL587" s="448"/>
      <c r="AP587" s="448"/>
    </row>
    <row r="588" spans="1:42" ht="13">
      <c r="A588" s="462"/>
      <c r="B588" s="462"/>
      <c r="N588" s="448"/>
      <c r="O588" s="464"/>
      <c r="R588" s="448"/>
      <c r="S588" s="464"/>
      <c r="V588" s="448"/>
      <c r="W588" s="464"/>
      <c r="Z588" s="448"/>
      <c r="AA588" s="464"/>
      <c r="AD588" s="448"/>
      <c r="AE588" s="464"/>
      <c r="AH588" s="448"/>
      <c r="AI588" s="464"/>
      <c r="AL588" s="448"/>
      <c r="AP588" s="448"/>
    </row>
    <row r="589" spans="1:42" ht="13">
      <c r="A589" s="462"/>
      <c r="B589" s="462"/>
      <c r="N589" s="448"/>
      <c r="O589" s="464"/>
      <c r="R589" s="448"/>
      <c r="S589" s="464"/>
      <c r="V589" s="448"/>
      <c r="W589" s="464"/>
      <c r="Z589" s="448"/>
      <c r="AA589" s="464"/>
      <c r="AD589" s="448"/>
      <c r="AE589" s="464"/>
      <c r="AH589" s="448"/>
      <c r="AI589" s="464"/>
      <c r="AL589" s="448"/>
      <c r="AP589" s="448"/>
    </row>
    <row r="590" spans="1:42" ht="13">
      <c r="A590" s="462"/>
      <c r="B590" s="462"/>
      <c r="N590" s="448"/>
      <c r="O590" s="464"/>
      <c r="R590" s="448"/>
      <c r="S590" s="464"/>
      <c r="V590" s="448"/>
      <c r="W590" s="464"/>
      <c r="Z590" s="448"/>
      <c r="AA590" s="464"/>
      <c r="AD590" s="448"/>
      <c r="AE590" s="464"/>
      <c r="AH590" s="448"/>
      <c r="AI590" s="464"/>
      <c r="AL590" s="448"/>
      <c r="AP590" s="448"/>
    </row>
    <row r="591" spans="1:42" ht="13">
      <c r="A591" s="462"/>
      <c r="B591" s="462"/>
      <c r="N591" s="448"/>
      <c r="O591" s="464"/>
      <c r="R591" s="448"/>
      <c r="S591" s="464"/>
      <c r="V591" s="448"/>
      <c r="W591" s="464"/>
      <c r="Z591" s="448"/>
      <c r="AA591" s="464"/>
      <c r="AD591" s="448"/>
      <c r="AE591" s="464"/>
      <c r="AH591" s="448"/>
      <c r="AI591" s="464"/>
      <c r="AL591" s="448"/>
      <c r="AP591" s="448"/>
    </row>
    <row r="592" spans="1:42" ht="13">
      <c r="A592" s="462"/>
      <c r="B592" s="462"/>
      <c r="N592" s="448"/>
      <c r="O592" s="464"/>
      <c r="R592" s="448"/>
      <c r="S592" s="464"/>
      <c r="V592" s="448"/>
      <c r="W592" s="464"/>
      <c r="Z592" s="448"/>
      <c r="AA592" s="464"/>
      <c r="AD592" s="448"/>
      <c r="AE592" s="464"/>
      <c r="AH592" s="448"/>
      <c r="AI592" s="464"/>
      <c r="AL592" s="448"/>
      <c r="AP592" s="448"/>
    </row>
    <row r="593" spans="1:42" ht="13">
      <c r="A593" s="462"/>
      <c r="B593" s="462"/>
      <c r="N593" s="448"/>
      <c r="O593" s="464"/>
      <c r="R593" s="448"/>
      <c r="S593" s="464"/>
      <c r="V593" s="448"/>
      <c r="W593" s="464"/>
      <c r="Z593" s="448"/>
      <c r="AA593" s="464"/>
      <c r="AD593" s="448"/>
      <c r="AE593" s="464"/>
      <c r="AH593" s="448"/>
      <c r="AI593" s="464"/>
      <c r="AL593" s="448"/>
      <c r="AP593" s="448"/>
    </row>
    <row r="594" spans="1:42" ht="13">
      <c r="A594" s="462"/>
      <c r="B594" s="462"/>
      <c r="N594" s="448"/>
      <c r="O594" s="464"/>
      <c r="R594" s="448"/>
      <c r="S594" s="464"/>
      <c r="V594" s="448"/>
      <c r="W594" s="464"/>
      <c r="Z594" s="448"/>
      <c r="AA594" s="464"/>
      <c r="AD594" s="448"/>
      <c r="AE594" s="464"/>
      <c r="AH594" s="448"/>
      <c r="AI594" s="464"/>
      <c r="AL594" s="448"/>
      <c r="AP594" s="448"/>
    </row>
    <row r="595" spans="1:42" ht="13">
      <c r="A595" s="462"/>
      <c r="B595" s="462"/>
      <c r="N595" s="448"/>
      <c r="O595" s="464"/>
      <c r="R595" s="448"/>
      <c r="S595" s="464"/>
      <c r="V595" s="448"/>
      <c r="W595" s="464"/>
      <c r="Z595" s="448"/>
      <c r="AA595" s="464"/>
      <c r="AD595" s="448"/>
      <c r="AE595" s="464"/>
      <c r="AH595" s="448"/>
      <c r="AI595" s="464"/>
      <c r="AL595" s="448"/>
      <c r="AP595" s="448"/>
    </row>
    <row r="596" spans="1:42" ht="13">
      <c r="A596" s="462"/>
      <c r="B596" s="462"/>
      <c r="N596" s="448"/>
      <c r="O596" s="464"/>
      <c r="R596" s="448"/>
      <c r="S596" s="464"/>
      <c r="V596" s="448"/>
      <c r="W596" s="464"/>
      <c r="Z596" s="448"/>
      <c r="AA596" s="464"/>
      <c r="AD596" s="448"/>
      <c r="AE596" s="464"/>
      <c r="AH596" s="448"/>
      <c r="AI596" s="464"/>
      <c r="AL596" s="448"/>
      <c r="AP596" s="448"/>
    </row>
    <row r="597" spans="1:42" ht="13">
      <c r="A597" s="462"/>
      <c r="B597" s="462"/>
      <c r="N597" s="448"/>
      <c r="O597" s="464"/>
      <c r="R597" s="448"/>
      <c r="S597" s="464"/>
      <c r="V597" s="448"/>
      <c r="W597" s="464"/>
      <c r="Z597" s="448"/>
      <c r="AA597" s="464"/>
      <c r="AD597" s="448"/>
      <c r="AE597" s="464"/>
      <c r="AH597" s="448"/>
      <c r="AI597" s="464"/>
      <c r="AL597" s="448"/>
      <c r="AP597" s="448"/>
    </row>
    <row r="598" spans="1:42" ht="13">
      <c r="A598" s="462"/>
      <c r="B598" s="462"/>
      <c r="N598" s="448"/>
      <c r="O598" s="464"/>
      <c r="R598" s="448"/>
      <c r="S598" s="464"/>
      <c r="V598" s="448"/>
      <c r="W598" s="464"/>
      <c r="Z598" s="448"/>
      <c r="AA598" s="464"/>
      <c r="AD598" s="448"/>
      <c r="AE598" s="464"/>
      <c r="AH598" s="448"/>
      <c r="AI598" s="464"/>
      <c r="AL598" s="448"/>
      <c r="AP598" s="448"/>
    </row>
    <row r="599" spans="1:42" ht="13">
      <c r="A599" s="462"/>
      <c r="B599" s="462"/>
      <c r="N599" s="448"/>
      <c r="O599" s="464"/>
      <c r="R599" s="448"/>
      <c r="S599" s="464"/>
      <c r="V599" s="448"/>
      <c r="W599" s="464"/>
      <c r="Z599" s="448"/>
      <c r="AA599" s="464"/>
      <c r="AD599" s="448"/>
      <c r="AE599" s="464"/>
      <c r="AH599" s="448"/>
      <c r="AI599" s="464"/>
      <c r="AL599" s="448"/>
      <c r="AP599" s="448"/>
    </row>
    <row r="600" spans="1:42" ht="13">
      <c r="A600" s="462"/>
      <c r="B600" s="462"/>
      <c r="N600" s="448"/>
      <c r="O600" s="464"/>
      <c r="R600" s="448"/>
      <c r="S600" s="464"/>
      <c r="V600" s="448"/>
      <c r="W600" s="464"/>
      <c r="Z600" s="448"/>
      <c r="AA600" s="464"/>
      <c r="AD600" s="448"/>
      <c r="AE600" s="464"/>
      <c r="AH600" s="448"/>
      <c r="AI600" s="464"/>
      <c r="AL600" s="448"/>
      <c r="AP600" s="448"/>
    </row>
    <row r="601" spans="1:42" ht="13">
      <c r="A601" s="462"/>
      <c r="B601" s="462"/>
      <c r="N601" s="448"/>
      <c r="O601" s="464"/>
      <c r="R601" s="448"/>
      <c r="S601" s="464"/>
      <c r="V601" s="448"/>
      <c r="W601" s="464"/>
      <c r="Z601" s="448"/>
      <c r="AA601" s="464"/>
      <c r="AD601" s="448"/>
      <c r="AE601" s="464"/>
      <c r="AH601" s="448"/>
      <c r="AI601" s="464"/>
      <c r="AL601" s="448"/>
      <c r="AP601" s="448"/>
    </row>
    <row r="602" spans="1:42" ht="13">
      <c r="A602" s="462"/>
      <c r="B602" s="462"/>
      <c r="N602" s="448"/>
      <c r="O602" s="464"/>
      <c r="R602" s="448"/>
      <c r="S602" s="464"/>
      <c r="V602" s="448"/>
      <c r="W602" s="464"/>
      <c r="Z602" s="448"/>
      <c r="AA602" s="464"/>
      <c r="AD602" s="448"/>
      <c r="AE602" s="464"/>
      <c r="AH602" s="448"/>
      <c r="AI602" s="464"/>
      <c r="AL602" s="448"/>
      <c r="AP602" s="448"/>
    </row>
    <row r="603" spans="1:42" ht="13">
      <c r="A603" s="462"/>
      <c r="B603" s="462"/>
      <c r="N603" s="448"/>
      <c r="O603" s="464"/>
      <c r="R603" s="448"/>
      <c r="S603" s="464"/>
      <c r="V603" s="448"/>
      <c r="W603" s="464"/>
      <c r="Z603" s="448"/>
      <c r="AA603" s="464"/>
      <c r="AD603" s="448"/>
      <c r="AE603" s="464"/>
      <c r="AH603" s="448"/>
      <c r="AI603" s="464"/>
      <c r="AL603" s="448"/>
      <c r="AP603" s="448"/>
    </row>
    <row r="604" spans="1:42" ht="13">
      <c r="A604" s="462"/>
      <c r="B604" s="462"/>
      <c r="N604" s="448"/>
      <c r="O604" s="464"/>
      <c r="R604" s="448"/>
      <c r="S604" s="464"/>
      <c r="V604" s="448"/>
      <c r="W604" s="464"/>
      <c r="Z604" s="448"/>
      <c r="AA604" s="464"/>
      <c r="AD604" s="448"/>
      <c r="AE604" s="464"/>
      <c r="AH604" s="448"/>
      <c r="AI604" s="464"/>
      <c r="AL604" s="448"/>
      <c r="AP604" s="448"/>
    </row>
    <row r="605" spans="1:42" ht="13">
      <c r="A605" s="462"/>
      <c r="B605" s="462"/>
      <c r="N605" s="448"/>
      <c r="O605" s="464"/>
      <c r="R605" s="448"/>
      <c r="S605" s="464"/>
      <c r="V605" s="448"/>
      <c r="W605" s="464"/>
      <c r="Z605" s="448"/>
      <c r="AA605" s="464"/>
      <c r="AD605" s="448"/>
      <c r="AE605" s="464"/>
      <c r="AH605" s="448"/>
      <c r="AI605" s="464"/>
      <c r="AL605" s="448"/>
      <c r="AP605" s="448"/>
    </row>
    <row r="606" spans="1:42" ht="13">
      <c r="A606" s="462"/>
      <c r="B606" s="462"/>
      <c r="N606" s="448"/>
      <c r="O606" s="464"/>
      <c r="R606" s="448"/>
      <c r="S606" s="464"/>
      <c r="V606" s="448"/>
      <c r="W606" s="464"/>
      <c r="Z606" s="448"/>
      <c r="AA606" s="464"/>
      <c r="AD606" s="448"/>
      <c r="AE606" s="464"/>
      <c r="AH606" s="448"/>
      <c r="AI606" s="464"/>
      <c r="AL606" s="448"/>
      <c r="AP606" s="448"/>
    </row>
    <row r="607" spans="1:42" ht="13">
      <c r="A607" s="462"/>
      <c r="B607" s="462"/>
      <c r="N607" s="448"/>
      <c r="O607" s="464"/>
      <c r="R607" s="448"/>
      <c r="S607" s="464"/>
      <c r="V607" s="448"/>
      <c r="W607" s="464"/>
      <c r="Z607" s="448"/>
      <c r="AA607" s="464"/>
      <c r="AD607" s="448"/>
      <c r="AE607" s="464"/>
      <c r="AH607" s="448"/>
      <c r="AI607" s="464"/>
      <c r="AL607" s="448"/>
      <c r="AP607" s="448"/>
    </row>
    <row r="608" spans="1:42" ht="13">
      <c r="A608" s="462"/>
      <c r="B608" s="462"/>
      <c r="N608" s="448"/>
      <c r="O608" s="464"/>
      <c r="R608" s="448"/>
      <c r="S608" s="464"/>
      <c r="V608" s="448"/>
      <c r="W608" s="464"/>
      <c r="Z608" s="448"/>
      <c r="AA608" s="464"/>
      <c r="AD608" s="448"/>
      <c r="AE608" s="464"/>
      <c r="AH608" s="448"/>
      <c r="AI608" s="464"/>
      <c r="AL608" s="448"/>
      <c r="AP608" s="448"/>
    </row>
    <row r="609" spans="1:42" ht="13">
      <c r="A609" s="462"/>
      <c r="B609" s="462"/>
      <c r="N609" s="448"/>
      <c r="O609" s="464"/>
      <c r="R609" s="448"/>
      <c r="S609" s="464"/>
      <c r="V609" s="448"/>
      <c r="W609" s="464"/>
      <c r="Z609" s="448"/>
      <c r="AA609" s="464"/>
      <c r="AD609" s="448"/>
      <c r="AE609" s="464"/>
      <c r="AH609" s="448"/>
      <c r="AI609" s="464"/>
      <c r="AL609" s="448"/>
      <c r="AP609" s="448"/>
    </row>
    <row r="610" spans="1:42" ht="13">
      <c r="A610" s="462"/>
      <c r="B610" s="462"/>
      <c r="N610" s="448"/>
      <c r="O610" s="464"/>
      <c r="R610" s="448"/>
      <c r="S610" s="464"/>
      <c r="V610" s="448"/>
      <c r="W610" s="464"/>
      <c r="Z610" s="448"/>
      <c r="AA610" s="464"/>
      <c r="AD610" s="448"/>
      <c r="AE610" s="464"/>
      <c r="AH610" s="448"/>
      <c r="AI610" s="464"/>
      <c r="AL610" s="448"/>
      <c r="AP610" s="448"/>
    </row>
    <row r="611" spans="1:42" ht="13">
      <c r="A611" s="462"/>
      <c r="B611" s="462"/>
      <c r="N611" s="448"/>
      <c r="O611" s="464"/>
      <c r="R611" s="448"/>
      <c r="S611" s="464"/>
      <c r="V611" s="448"/>
      <c r="W611" s="464"/>
      <c r="Z611" s="448"/>
      <c r="AA611" s="464"/>
      <c r="AD611" s="448"/>
      <c r="AE611" s="464"/>
      <c r="AH611" s="448"/>
      <c r="AI611" s="464"/>
      <c r="AL611" s="448"/>
      <c r="AP611" s="448"/>
    </row>
    <row r="612" spans="1:42" ht="13">
      <c r="A612" s="462"/>
      <c r="B612" s="462"/>
      <c r="N612" s="448"/>
      <c r="O612" s="464"/>
      <c r="R612" s="448"/>
      <c r="S612" s="464"/>
      <c r="V612" s="448"/>
      <c r="W612" s="464"/>
      <c r="Z612" s="448"/>
      <c r="AA612" s="464"/>
      <c r="AD612" s="448"/>
      <c r="AE612" s="464"/>
      <c r="AH612" s="448"/>
      <c r="AI612" s="464"/>
      <c r="AL612" s="448"/>
      <c r="AP612" s="448"/>
    </row>
    <row r="613" spans="1:42" ht="13">
      <c r="A613" s="462"/>
      <c r="B613" s="462"/>
      <c r="N613" s="448"/>
      <c r="O613" s="464"/>
      <c r="R613" s="448"/>
      <c r="S613" s="464"/>
      <c r="V613" s="448"/>
      <c r="W613" s="464"/>
      <c r="Z613" s="448"/>
      <c r="AA613" s="464"/>
      <c r="AD613" s="448"/>
      <c r="AE613" s="464"/>
      <c r="AH613" s="448"/>
      <c r="AI613" s="464"/>
      <c r="AL613" s="448"/>
      <c r="AP613" s="448"/>
    </row>
    <row r="614" spans="1:42" ht="13">
      <c r="A614" s="462"/>
      <c r="B614" s="462"/>
      <c r="N614" s="448"/>
      <c r="O614" s="464"/>
      <c r="R614" s="448"/>
      <c r="S614" s="464"/>
      <c r="V614" s="448"/>
      <c r="W614" s="464"/>
      <c r="Z614" s="448"/>
      <c r="AA614" s="464"/>
      <c r="AD614" s="448"/>
      <c r="AE614" s="464"/>
      <c r="AH614" s="448"/>
      <c r="AI614" s="464"/>
      <c r="AL614" s="448"/>
      <c r="AP614" s="448"/>
    </row>
    <row r="615" spans="1:42" ht="13">
      <c r="A615" s="462"/>
      <c r="B615" s="462"/>
      <c r="N615" s="448"/>
      <c r="O615" s="464"/>
      <c r="R615" s="448"/>
      <c r="S615" s="464"/>
      <c r="V615" s="448"/>
      <c r="W615" s="464"/>
      <c r="Z615" s="448"/>
      <c r="AA615" s="464"/>
      <c r="AD615" s="448"/>
      <c r="AE615" s="464"/>
      <c r="AH615" s="448"/>
      <c r="AI615" s="464"/>
      <c r="AL615" s="448"/>
      <c r="AP615" s="448"/>
    </row>
    <row r="616" spans="1:42" ht="13">
      <c r="A616" s="462"/>
      <c r="B616" s="462"/>
      <c r="N616" s="448"/>
      <c r="O616" s="464"/>
      <c r="R616" s="448"/>
      <c r="S616" s="464"/>
      <c r="V616" s="448"/>
      <c r="W616" s="464"/>
      <c r="Z616" s="448"/>
      <c r="AA616" s="464"/>
      <c r="AD616" s="448"/>
      <c r="AE616" s="464"/>
      <c r="AH616" s="448"/>
      <c r="AI616" s="464"/>
      <c r="AL616" s="448"/>
      <c r="AP616" s="448"/>
    </row>
    <row r="617" spans="1:42" ht="13">
      <c r="A617" s="462"/>
      <c r="B617" s="462"/>
      <c r="N617" s="448"/>
      <c r="O617" s="464"/>
      <c r="R617" s="448"/>
      <c r="S617" s="464"/>
      <c r="V617" s="448"/>
      <c r="W617" s="464"/>
      <c r="Z617" s="448"/>
      <c r="AA617" s="464"/>
      <c r="AD617" s="448"/>
      <c r="AE617" s="464"/>
      <c r="AH617" s="448"/>
      <c r="AI617" s="464"/>
      <c r="AL617" s="448"/>
      <c r="AP617" s="448"/>
    </row>
    <row r="618" spans="1:42" ht="13">
      <c r="A618" s="462"/>
      <c r="B618" s="462"/>
      <c r="N618" s="448"/>
      <c r="O618" s="464"/>
      <c r="R618" s="448"/>
      <c r="S618" s="464"/>
      <c r="V618" s="448"/>
      <c r="W618" s="464"/>
      <c r="Z618" s="448"/>
      <c r="AA618" s="464"/>
      <c r="AD618" s="448"/>
      <c r="AE618" s="464"/>
      <c r="AH618" s="448"/>
      <c r="AI618" s="464"/>
      <c r="AL618" s="448"/>
      <c r="AP618" s="448"/>
    </row>
    <row r="619" spans="1:42" ht="13">
      <c r="A619" s="462"/>
      <c r="B619" s="462"/>
      <c r="N619" s="448"/>
      <c r="O619" s="464"/>
      <c r="R619" s="448"/>
      <c r="S619" s="464"/>
      <c r="V619" s="448"/>
      <c r="W619" s="464"/>
      <c r="Z619" s="448"/>
      <c r="AA619" s="464"/>
      <c r="AD619" s="448"/>
      <c r="AE619" s="464"/>
      <c r="AH619" s="448"/>
      <c r="AI619" s="464"/>
      <c r="AL619" s="448"/>
      <c r="AP619" s="448"/>
    </row>
    <row r="620" spans="1:42" ht="13">
      <c r="A620" s="462"/>
      <c r="B620" s="462"/>
      <c r="N620" s="448"/>
      <c r="O620" s="464"/>
      <c r="R620" s="448"/>
      <c r="S620" s="464"/>
      <c r="V620" s="448"/>
      <c r="W620" s="464"/>
      <c r="Z620" s="448"/>
      <c r="AA620" s="464"/>
      <c r="AD620" s="448"/>
      <c r="AE620" s="464"/>
      <c r="AH620" s="448"/>
      <c r="AI620" s="464"/>
      <c r="AL620" s="448"/>
      <c r="AP620" s="448"/>
    </row>
    <row r="621" spans="1:42" ht="13">
      <c r="A621" s="462"/>
      <c r="B621" s="462"/>
      <c r="N621" s="448"/>
      <c r="O621" s="464"/>
      <c r="R621" s="448"/>
      <c r="S621" s="464"/>
      <c r="V621" s="448"/>
      <c r="W621" s="464"/>
      <c r="Z621" s="448"/>
      <c r="AA621" s="464"/>
      <c r="AD621" s="448"/>
      <c r="AE621" s="464"/>
      <c r="AH621" s="448"/>
      <c r="AI621" s="464"/>
      <c r="AL621" s="448"/>
      <c r="AP621" s="448"/>
    </row>
    <row r="622" spans="1:42" ht="13">
      <c r="A622" s="462"/>
      <c r="B622" s="462"/>
      <c r="N622" s="448"/>
      <c r="O622" s="464"/>
      <c r="R622" s="448"/>
      <c r="S622" s="464"/>
      <c r="V622" s="448"/>
      <c r="W622" s="464"/>
      <c r="Z622" s="448"/>
      <c r="AA622" s="464"/>
      <c r="AD622" s="448"/>
      <c r="AE622" s="464"/>
      <c r="AH622" s="448"/>
      <c r="AI622" s="464"/>
      <c r="AL622" s="448"/>
      <c r="AP622" s="448"/>
    </row>
    <row r="623" spans="1:42" ht="13">
      <c r="A623" s="462"/>
      <c r="B623" s="462"/>
      <c r="N623" s="448"/>
      <c r="O623" s="464"/>
      <c r="R623" s="448"/>
      <c r="S623" s="464"/>
      <c r="V623" s="448"/>
      <c r="W623" s="464"/>
      <c r="Z623" s="448"/>
      <c r="AA623" s="464"/>
      <c r="AD623" s="448"/>
      <c r="AE623" s="464"/>
      <c r="AH623" s="448"/>
      <c r="AI623" s="464"/>
      <c r="AL623" s="448"/>
      <c r="AP623" s="448"/>
    </row>
    <row r="624" spans="1:42" ht="13">
      <c r="A624" s="462"/>
      <c r="B624" s="462"/>
      <c r="N624" s="448"/>
      <c r="O624" s="464"/>
      <c r="R624" s="448"/>
      <c r="S624" s="464"/>
      <c r="V624" s="448"/>
      <c r="W624" s="464"/>
      <c r="Z624" s="448"/>
      <c r="AA624" s="464"/>
      <c r="AD624" s="448"/>
      <c r="AE624" s="464"/>
      <c r="AH624" s="448"/>
      <c r="AI624" s="464"/>
      <c r="AL624" s="448"/>
      <c r="AP624" s="448"/>
    </row>
    <row r="625" spans="1:42" ht="13">
      <c r="A625" s="462"/>
      <c r="B625" s="462"/>
      <c r="N625" s="448"/>
      <c r="O625" s="464"/>
      <c r="R625" s="448"/>
      <c r="S625" s="464"/>
      <c r="V625" s="448"/>
      <c r="W625" s="464"/>
      <c r="Z625" s="448"/>
      <c r="AA625" s="464"/>
      <c r="AD625" s="448"/>
      <c r="AE625" s="464"/>
      <c r="AH625" s="448"/>
      <c r="AI625" s="464"/>
      <c r="AL625" s="448"/>
      <c r="AP625" s="448"/>
    </row>
    <row r="626" spans="1:42" ht="13">
      <c r="A626" s="462"/>
      <c r="B626" s="462"/>
      <c r="N626" s="448"/>
      <c r="O626" s="464"/>
      <c r="R626" s="448"/>
      <c r="S626" s="464"/>
      <c r="V626" s="448"/>
      <c r="W626" s="464"/>
      <c r="Z626" s="448"/>
      <c r="AA626" s="464"/>
      <c r="AD626" s="448"/>
      <c r="AE626" s="464"/>
      <c r="AH626" s="448"/>
      <c r="AI626" s="464"/>
      <c r="AL626" s="448"/>
      <c r="AP626" s="448"/>
    </row>
    <row r="627" spans="1:42" ht="13">
      <c r="A627" s="462"/>
      <c r="B627" s="462"/>
      <c r="N627" s="448"/>
      <c r="O627" s="464"/>
      <c r="R627" s="448"/>
      <c r="S627" s="464"/>
      <c r="V627" s="448"/>
      <c r="W627" s="464"/>
      <c r="Z627" s="448"/>
      <c r="AA627" s="464"/>
      <c r="AD627" s="448"/>
      <c r="AE627" s="464"/>
      <c r="AH627" s="448"/>
      <c r="AI627" s="464"/>
      <c r="AL627" s="448"/>
      <c r="AP627" s="448"/>
    </row>
    <row r="628" spans="1:42" ht="13">
      <c r="A628" s="462"/>
      <c r="B628" s="462"/>
      <c r="N628" s="448"/>
      <c r="O628" s="464"/>
      <c r="R628" s="448"/>
      <c r="S628" s="464"/>
      <c r="V628" s="448"/>
      <c r="W628" s="464"/>
      <c r="Z628" s="448"/>
      <c r="AA628" s="464"/>
      <c r="AD628" s="448"/>
      <c r="AE628" s="464"/>
      <c r="AH628" s="448"/>
      <c r="AI628" s="464"/>
      <c r="AL628" s="448"/>
      <c r="AP628" s="448"/>
    </row>
    <row r="629" spans="1:42" ht="13">
      <c r="A629" s="462"/>
      <c r="B629" s="462"/>
      <c r="N629" s="448"/>
      <c r="O629" s="464"/>
      <c r="R629" s="448"/>
      <c r="S629" s="464"/>
      <c r="V629" s="448"/>
      <c r="W629" s="464"/>
      <c r="Z629" s="448"/>
      <c r="AA629" s="464"/>
      <c r="AD629" s="448"/>
      <c r="AE629" s="464"/>
      <c r="AH629" s="448"/>
      <c r="AI629" s="464"/>
      <c r="AL629" s="448"/>
      <c r="AP629" s="448"/>
    </row>
    <row r="630" spans="1:42" ht="13">
      <c r="A630" s="462"/>
      <c r="B630" s="462"/>
      <c r="N630" s="448"/>
      <c r="O630" s="464"/>
      <c r="R630" s="448"/>
      <c r="S630" s="464"/>
      <c r="V630" s="448"/>
      <c r="W630" s="464"/>
      <c r="Z630" s="448"/>
      <c r="AA630" s="464"/>
      <c r="AD630" s="448"/>
      <c r="AE630" s="464"/>
      <c r="AH630" s="448"/>
      <c r="AI630" s="464"/>
      <c r="AL630" s="448"/>
      <c r="AP630" s="448"/>
    </row>
    <row r="631" spans="1:42" ht="13">
      <c r="A631" s="462"/>
      <c r="B631" s="462"/>
      <c r="N631" s="448"/>
      <c r="O631" s="464"/>
      <c r="R631" s="448"/>
      <c r="S631" s="464"/>
      <c r="V631" s="448"/>
      <c r="W631" s="464"/>
      <c r="Z631" s="448"/>
      <c r="AA631" s="464"/>
      <c r="AD631" s="448"/>
      <c r="AE631" s="464"/>
      <c r="AH631" s="448"/>
      <c r="AI631" s="464"/>
      <c r="AL631" s="448"/>
      <c r="AP631" s="448"/>
    </row>
    <row r="632" spans="1:42" ht="13">
      <c r="A632" s="462"/>
      <c r="B632" s="462"/>
      <c r="N632" s="448"/>
      <c r="O632" s="464"/>
      <c r="R632" s="448"/>
      <c r="S632" s="464"/>
      <c r="V632" s="448"/>
      <c r="W632" s="464"/>
      <c r="Z632" s="448"/>
      <c r="AA632" s="464"/>
      <c r="AD632" s="448"/>
      <c r="AE632" s="464"/>
      <c r="AH632" s="448"/>
      <c r="AI632" s="464"/>
      <c r="AL632" s="448"/>
      <c r="AP632" s="448"/>
    </row>
    <row r="633" spans="1:42" ht="13">
      <c r="A633" s="462"/>
      <c r="B633" s="462"/>
      <c r="N633" s="448"/>
      <c r="O633" s="464"/>
      <c r="R633" s="448"/>
      <c r="S633" s="464"/>
      <c r="V633" s="448"/>
      <c r="W633" s="464"/>
      <c r="Z633" s="448"/>
      <c r="AA633" s="464"/>
      <c r="AD633" s="448"/>
      <c r="AE633" s="464"/>
      <c r="AH633" s="448"/>
      <c r="AI633" s="464"/>
      <c r="AL633" s="448"/>
      <c r="AP633" s="448"/>
    </row>
    <row r="634" spans="1:42" ht="13">
      <c r="A634" s="462"/>
      <c r="B634" s="462"/>
      <c r="N634" s="448"/>
      <c r="O634" s="464"/>
      <c r="R634" s="448"/>
      <c r="S634" s="464"/>
      <c r="V634" s="448"/>
      <c r="W634" s="464"/>
      <c r="Z634" s="448"/>
      <c r="AA634" s="464"/>
      <c r="AD634" s="448"/>
      <c r="AE634" s="464"/>
      <c r="AH634" s="448"/>
      <c r="AI634" s="464"/>
      <c r="AL634" s="448"/>
      <c r="AP634" s="448"/>
    </row>
    <row r="635" spans="1:42" ht="13">
      <c r="A635" s="462"/>
      <c r="B635" s="462"/>
      <c r="N635" s="448"/>
      <c r="O635" s="464"/>
      <c r="R635" s="448"/>
      <c r="S635" s="464"/>
      <c r="V635" s="448"/>
      <c r="W635" s="464"/>
      <c r="Z635" s="448"/>
      <c r="AA635" s="464"/>
      <c r="AD635" s="448"/>
      <c r="AE635" s="464"/>
      <c r="AH635" s="448"/>
      <c r="AI635" s="464"/>
      <c r="AL635" s="448"/>
      <c r="AP635" s="448"/>
    </row>
    <row r="636" spans="1:42" ht="13">
      <c r="A636" s="462"/>
      <c r="B636" s="462"/>
      <c r="N636" s="448"/>
      <c r="O636" s="464"/>
      <c r="R636" s="448"/>
      <c r="S636" s="464"/>
      <c r="V636" s="448"/>
      <c r="W636" s="464"/>
      <c r="Z636" s="448"/>
      <c r="AA636" s="464"/>
      <c r="AD636" s="448"/>
      <c r="AE636" s="464"/>
      <c r="AH636" s="448"/>
      <c r="AI636" s="464"/>
      <c r="AL636" s="448"/>
      <c r="AP636" s="448"/>
    </row>
    <row r="637" spans="1:42" ht="13">
      <c r="A637" s="462"/>
      <c r="B637" s="462"/>
      <c r="N637" s="448"/>
      <c r="O637" s="464"/>
      <c r="R637" s="448"/>
      <c r="S637" s="464"/>
      <c r="V637" s="448"/>
      <c r="W637" s="464"/>
      <c r="Z637" s="448"/>
      <c r="AA637" s="464"/>
      <c r="AD637" s="448"/>
      <c r="AE637" s="464"/>
      <c r="AH637" s="448"/>
      <c r="AI637" s="464"/>
      <c r="AL637" s="448"/>
      <c r="AP637" s="448"/>
    </row>
    <row r="638" spans="1:42" ht="13">
      <c r="A638" s="462"/>
      <c r="B638" s="462"/>
      <c r="N638" s="448"/>
      <c r="O638" s="464"/>
      <c r="R638" s="448"/>
      <c r="S638" s="464"/>
      <c r="V638" s="448"/>
      <c r="W638" s="464"/>
      <c r="Z638" s="448"/>
      <c r="AA638" s="464"/>
      <c r="AD638" s="448"/>
      <c r="AE638" s="464"/>
      <c r="AH638" s="448"/>
      <c r="AI638" s="464"/>
      <c r="AL638" s="448"/>
      <c r="AP638" s="448"/>
    </row>
    <row r="639" spans="1:42" ht="13">
      <c r="A639" s="462"/>
      <c r="B639" s="462"/>
      <c r="N639" s="448"/>
      <c r="O639" s="464"/>
      <c r="R639" s="448"/>
      <c r="S639" s="464"/>
      <c r="V639" s="448"/>
      <c r="W639" s="464"/>
      <c r="Z639" s="448"/>
      <c r="AA639" s="464"/>
      <c r="AD639" s="448"/>
      <c r="AE639" s="464"/>
      <c r="AH639" s="448"/>
      <c r="AI639" s="464"/>
      <c r="AL639" s="448"/>
      <c r="AP639" s="448"/>
    </row>
    <row r="640" spans="1:42" ht="13">
      <c r="A640" s="462"/>
      <c r="B640" s="462"/>
      <c r="N640" s="448"/>
      <c r="O640" s="464"/>
      <c r="R640" s="448"/>
      <c r="S640" s="464"/>
      <c r="V640" s="448"/>
      <c r="W640" s="464"/>
      <c r="Z640" s="448"/>
      <c r="AA640" s="464"/>
      <c r="AD640" s="448"/>
      <c r="AE640" s="464"/>
      <c r="AH640" s="448"/>
      <c r="AI640" s="464"/>
      <c r="AL640" s="448"/>
      <c r="AP640" s="448"/>
    </row>
    <row r="641" spans="1:42" ht="13">
      <c r="A641" s="462"/>
      <c r="B641" s="462"/>
      <c r="N641" s="448"/>
      <c r="O641" s="464"/>
      <c r="R641" s="448"/>
      <c r="S641" s="464"/>
      <c r="V641" s="448"/>
      <c r="W641" s="464"/>
      <c r="Z641" s="448"/>
      <c r="AA641" s="464"/>
      <c r="AD641" s="448"/>
      <c r="AE641" s="464"/>
      <c r="AH641" s="448"/>
      <c r="AI641" s="464"/>
      <c r="AL641" s="448"/>
      <c r="AP641" s="448"/>
    </row>
    <row r="642" spans="1:42" ht="13">
      <c r="A642" s="462"/>
      <c r="B642" s="462"/>
      <c r="N642" s="448"/>
      <c r="O642" s="464"/>
      <c r="R642" s="448"/>
      <c r="S642" s="464"/>
      <c r="V642" s="448"/>
      <c r="W642" s="464"/>
      <c r="Z642" s="448"/>
      <c r="AA642" s="464"/>
      <c r="AD642" s="448"/>
      <c r="AE642" s="464"/>
      <c r="AH642" s="448"/>
      <c r="AI642" s="464"/>
      <c r="AL642" s="448"/>
      <c r="AP642" s="448"/>
    </row>
    <row r="643" spans="1:42" ht="13">
      <c r="A643" s="462"/>
      <c r="B643" s="462"/>
      <c r="N643" s="448"/>
      <c r="O643" s="464"/>
      <c r="R643" s="448"/>
      <c r="S643" s="464"/>
      <c r="V643" s="448"/>
      <c r="W643" s="464"/>
      <c r="Z643" s="448"/>
      <c r="AA643" s="464"/>
      <c r="AD643" s="448"/>
      <c r="AE643" s="464"/>
      <c r="AH643" s="448"/>
      <c r="AI643" s="464"/>
      <c r="AL643" s="448"/>
      <c r="AP643" s="448"/>
    </row>
    <row r="644" spans="1:42" ht="13">
      <c r="A644" s="462"/>
      <c r="B644" s="462"/>
      <c r="N644" s="448"/>
      <c r="O644" s="464"/>
      <c r="R644" s="448"/>
      <c r="S644" s="464"/>
      <c r="V644" s="448"/>
      <c r="W644" s="464"/>
      <c r="Z644" s="448"/>
      <c r="AA644" s="464"/>
      <c r="AD644" s="448"/>
      <c r="AE644" s="464"/>
      <c r="AH644" s="448"/>
      <c r="AI644" s="464"/>
      <c r="AL644" s="448"/>
      <c r="AP644" s="448"/>
    </row>
    <row r="645" spans="1:42" ht="13">
      <c r="A645" s="462"/>
      <c r="B645" s="462"/>
      <c r="N645" s="448"/>
      <c r="O645" s="464"/>
      <c r="R645" s="448"/>
      <c r="S645" s="464"/>
      <c r="V645" s="448"/>
      <c r="W645" s="464"/>
      <c r="Z645" s="448"/>
      <c r="AA645" s="464"/>
      <c r="AD645" s="448"/>
      <c r="AE645" s="464"/>
      <c r="AH645" s="448"/>
      <c r="AI645" s="464"/>
      <c r="AL645" s="448"/>
      <c r="AP645" s="448"/>
    </row>
    <row r="646" spans="1:42" ht="13">
      <c r="A646" s="462"/>
      <c r="B646" s="462"/>
      <c r="N646" s="448"/>
      <c r="O646" s="464"/>
      <c r="R646" s="448"/>
      <c r="S646" s="464"/>
      <c r="V646" s="448"/>
      <c r="W646" s="464"/>
      <c r="Z646" s="448"/>
      <c r="AA646" s="464"/>
      <c r="AD646" s="448"/>
      <c r="AE646" s="464"/>
      <c r="AH646" s="448"/>
      <c r="AI646" s="464"/>
      <c r="AL646" s="448"/>
      <c r="AP646" s="448"/>
    </row>
    <row r="647" spans="1:42" ht="13">
      <c r="A647" s="462"/>
      <c r="B647" s="462"/>
      <c r="N647" s="448"/>
      <c r="O647" s="464"/>
      <c r="R647" s="448"/>
      <c r="S647" s="464"/>
      <c r="V647" s="448"/>
      <c r="W647" s="464"/>
      <c r="Z647" s="448"/>
      <c r="AA647" s="464"/>
      <c r="AD647" s="448"/>
      <c r="AE647" s="464"/>
      <c r="AH647" s="448"/>
      <c r="AI647" s="464"/>
      <c r="AL647" s="448"/>
      <c r="AP647" s="448"/>
    </row>
    <row r="648" spans="1:42" ht="13">
      <c r="A648" s="462"/>
      <c r="B648" s="462"/>
      <c r="N648" s="448"/>
      <c r="O648" s="464"/>
      <c r="R648" s="448"/>
      <c r="S648" s="464"/>
      <c r="V648" s="448"/>
      <c r="W648" s="464"/>
      <c r="Z648" s="448"/>
      <c r="AA648" s="464"/>
      <c r="AD648" s="448"/>
      <c r="AE648" s="464"/>
      <c r="AH648" s="448"/>
      <c r="AI648" s="464"/>
      <c r="AL648" s="448"/>
      <c r="AP648" s="448"/>
    </row>
    <row r="649" spans="1:42" ht="13">
      <c r="A649" s="462"/>
      <c r="B649" s="462"/>
      <c r="N649" s="448"/>
      <c r="O649" s="464"/>
      <c r="R649" s="448"/>
      <c r="S649" s="464"/>
      <c r="V649" s="448"/>
      <c r="W649" s="464"/>
      <c r="Z649" s="448"/>
      <c r="AA649" s="464"/>
      <c r="AD649" s="448"/>
      <c r="AE649" s="464"/>
      <c r="AH649" s="448"/>
      <c r="AI649" s="464"/>
      <c r="AL649" s="448"/>
      <c r="AP649" s="448"/>
    </row>
    <row r="650" spans="1:42" ht="13">
      <c r="A650" s="462"/>
      <c r="B650" s="462"/>
      <c r="N650" s="448"/>
      <c r="O650" s="464"/>
      <c r="R650" s="448"/>
      <c r="S650" s="464"/>
      <c r="V650" s="448"/>
      <c r="W650" s="464"/>
      <c r="Z650" s="448"/>
      <c r="AA650" s="464"/>
      <c r="AD650" s="448"/>
      <c r="AE650" s="464"/>
      <c r="AH650" s="448"/>
      <c r="AI650" s="464"/>
      <c r="AL650" s="448"/>
      <c r="AP650" s="448"/>
    </row>
    <row r="651" spans="1:42" ht="13">
      <c r="A651" s="462"/>
      <c r="B651" s="462"/>
      <c r="N651" s="448"/>
      <c r="O651" s="464"/>
      <c r="R651" s="448"/>
      <c r="S651" s="464"/>
      <c r="V651" s="448"/>
      <c r="W651" s="464"/>
      <c r="Z651" s="448"/>
      <c r="AA651" s="464"/>
      <c r="AD651" s="448"/>
      <c r="AE651" s="464"/>
      <c r="AH651" s="448"/>
      <c r="AI651" s="464"/>
      <c r="AL651" s="448"/>
      <c r="AP651" s="448"/>
    </row>
    <row r="652" spans="1:42" ht="13">
      <c r="A652" s="462"/>
      <c r="B652" s="462"/>
      <c r="N652" s="448"/>
      <c r="O652" s="464"/>
      <c r="R652" s="448"/>
      <c r="S652" s="464"/>
      <c r="V652" s="448"/>
      <c r="W652" s="464"/>
      <c r="Z652" s="448"/>
      <c r="AA652" s="464"/>
      <c r="AD652" s="448"/>
      <c r="AE652" s="464"/>
      <c r="AH652" s="448"/>
      <c r="AI652" s="464"/>
      <c r="AL652" s="448"/>
      <c r="AP652" s="448"/>
    </row>
    <row r="653" spans="1:42" ht="13">
      <c r="A653" s="462"/>
      <c r="B653" s="462"/>
      <c r="N653" s="448"/>
      <c r="O653" s="464"/>
      <c r="R653" s="448"/>
      <c r="S653" s="464"/>
      <c r="V653" s="448"/>
      <c r="W653" s="464"/>
      <c r="Z653" s="448"/>
      <c r="AA653" s="464"/>
      <c r="AD653" s="448"/>
      <c r="AE653" s="464"/>
      <c r="AH653" s="448"/>
      <c r="AI653" s="464"/>
      <c r="AL653" s="448"/>
      <c r="AP653" s="448"/>
    </row>
    <row r="654" spans="1:42" ht="13">
      <c r="A654" s="462"/>
      <c r="B654" s="462"/>
      <c r="N654" s="448"/>
      <c r="O654" s="464"/>
      <c r="R654" s="448"/>
      <c r="S654" s="464"/>
      <c r="V654" s="448"/>
      <c r="W654" s="464"/>
      <c r="Z654" s="448"/>
      <c r="AA654" s="464"/>
      <c r="AD654" s="448"/>
      <c r="AE654" s="464"/>
      <c r="AH654" s="448"/>
      <c r="AI654" s="464"/>
      <c r="AL654" s="448"/>
      <c r="AP654" s="448"/>
    </row>
    <row r="655" spans="1:42" ht="13">
      <c r="A655" s="462"/>
      <c r="B655" s="462"/>
      <c r="N655" s="448"/>
      <c r="O655" s="464"/>
      <c r="R655" s="448"/>
      <c r="S655" s="464"/>
      <c r="V655" s="448"/>
      <c r="W655" s="464"/>
      <c r="Z655" s="448"/>
      <c r="AA655" s="464"/>
      <c r="AD655" s="448"/>
      <c r="AE655" s="464"/>
      <c r="AH655" s="448"/>
      <c r="AI655" s="464"/>
      <c r="AL655" s="448"/>
      <c r="AP655" s="448"/>
    </row>
    <row r="656" spans="1:42" ht="13">
      <c r="A656" s="462"/>
      <c r="B656" s="462"/>
      <c r="N656" s="448"/>
      <c r="O656" s="464"/>
      <c r="R656" s="448"/>
      <c r="S656" s="464"/>
      <c r="V656" s="448"/>
      <c r="W656" s="464"/>
      <c r="Z656" s="448"/>
      <c r="AA656" s="464"/>
      <c r="AD656" s="448"/>
      <c r="AE656" s="464"/>
      <c r="AH656" s="448"/>
      <c r="AI656" s="464"/>
      <c r="AL656" s="448"/>
      <c r="AP656" s="448"/>
    </row>
    <row r="657" spans="1:42" ht="13">
      <c r="A657" s="462"/>
      <c r="B657" s="462"/>
      <c r="N657" s="448"/>
      <c r="O657" s="464"/>
      <c r="R657" s="448"/>
      <c r="S657" s="464"/>
      <c r="V657" s="448"/>
      <c r="W657" s="464"/>
      <c r="Z657" s="448"/>
      <c r="AA657" s="464"/>
      <c r="AD657" s="448"/>
      <c r="AE657" s="464"/>
      <c r="AH657" s="448"/>
      <c r="AI657" s="464"/>
      <c r="AL657" s="448"/>
      <c r="AP657" s="448"/>
    </row>
    <row r="658" spans="1:42" ht="13">
      <c r="A658" s="462"/>
      <c r="B658" s="462"/>
      <c r="N658" s="448"/>
      <c r="O658" s="464"/>
      <c r="R658" s="448"/>
      <c r="S658" s="464"/>
      <c r="V658" s="448"/>
      <c r="W658" s="464"/>
      <c r="Z658" s="448"/>
      <c r="AA658" s="464"/>
      <c r="AD658" s="448"/>
      <c r="AE658" s="464"/>
      <c r="AH658" s="448"/>
      <c r="AI658" s="464"/>
      <c r="AL658" s="448"/>
      <c r="AP658" s="448"/>
    </row>
    <row r="659" spans="1:42" ht="13">
      <c r="A659" s="462"/>
      <c r="B659" s="462"/>
      <c r="N659" s="448"/>
      <c r="O659" s="464"/>
      <c r="R659" s="448"/>
      <c r="S659" s="464"/>
      <c r="V659" s="448"/>
      <c r="W659" s="464"/>
      <c r="Z659" s="448"/>
      <c r="AA659" s="464"/>
      <c r="AD659" s="448"/>
      <c r="AE659" s="464"/>
      <c r="AH659" s="448"/>
      <c r="AI659" s="464"/>
      <c r="AL659" s="448"/>
      <c r="AP659" s="448"/>
    </row>
    <row r="660" spans="1:42" ht="13">
      <c r="A660" s="462"/>
      <c r="B660" s="462"/>
      <c r="N660" s="448"/>
      <c r="O660" s="464"/>
      <c r="R660" s="448"/>
      <c r="S660" s="464"/>
      <c r="V660" s="448"/>
      <c r="W660" s="464"/>
      <c r="Z660" s="448"/>
      <c r="AA660" s="464"/>
      <c r="AD660" s="448"/>
      <c r="AE660" s="464"/>
      <c r="AH660" s="448"/>
      <c r="AI660" s="464"/>
      <c r="AL660" s="448"/>
      <c r="AP660" s="448"/>
    </row>
    <row r="661" spans="1:42" ht="13">
      <c r="A661" s="462"/>
      <c r="B661" s="462"/>
      <c r="N661" s="448"/>
      <c r="O661" s="464"/>
      <c r="R661" s="448"/>
      <c r="S661" s="464"/>
      <c r="V661" s="448"/>
      <c r="W661" s="464"/>
      <c r="Z661" s="448"/>
      <c r="AA661" s="464"/>
      <c r="AD661" s="448"/>
      <c r="AE661" s="464"/>
      <c r="AH661" s="448"/>
      <c r="AI661" s="464"/>
      <c r="AL661" s="448"/>
      <c r="AP661" s="448"/>
    </row>
    <row r="662" spans="1:42" ht="13">
      <c r="A662" s="462"/>
      <c r="B662" s="462"/>
      <c r="N662" s="448"/>
      <c r="O662" s="464"/>
      <c r="R662" s="448"/>
      <c r="S662" s="464"/>
      <c r="V662" s="448"/>
      <c r="W662" s="464"/>
      <c r="Z662" s="448"/>
      <c r="AA662" s="464"/>
      <c r="AD662" s="448"/>
      <c r="AE662" s="464"/>
      <c r="AH662" s="448"/>
      <c r="AI662" s="464"/>
      <c r="AL662" s="448"/>
      <c r="AP662" s="448"/>
    </row>
    <row r="663" spans="1:42" ht="13">
      <c r="A663" s="462"/>
      <c r="B663" s="462"/>
      <c r="N663" s="448"/>
      <c r="O663" s="464"/>
      <c r="R663" s="448"/>
      <c r="S663" s="464"/>
      <c r="V663" s="448"/>
      <c r="W663" s="464"/>
      <c r="Z663" s="448"/>
      <c r="AA663" s="464"/>
      <c r="AD663" s="448"/>
      <c r="AE663" s="464"/>
      <c r="AH663" s="448"/>
      <c r="AI663" s="464"/>
      <c r="AL663" s="448"/>
      <c r="AP663" s="448"/>
    </row>
    <row r="664" spans="1:42" ht="13">
      <c r="A664" s="462"/>
      <c r="B664" s="462"/>
      <c r="N664" s="448"/>
      <c r="O664" s="464"/>
      <c r="R664" s="448"/>
      <c r="S664" s="464"/>
      <c r="V664" s="448"/>
      <c r="W664" s="464"/>
      <c r="Z664" s="448"/>
      <c r="AA664" s="464"/>
      <c r="AD664" s="448"/>
      <c r="AE664" s="464"/>
      <c r="AH664" s="448"/>
      <c r="AI664" s="464"/>
      <c r="AL664" s="448"/>
      <c r="AP664" s="448"/>
    </row>
    <row r="665" spans="1:42" ht="13">
      <c r="A665" s="462"/>
      <c r="B665" s="462"/>
      <c r="N665" s="448"/>
      <c r="O665" s="464"/>
      <c r="R665" s="448"/>
      <c r="S665" s="464"/>
      <c r="V665" s="448"/>
      <c r="W665" s="464"/>
      <c r="Z665" s="448"/>
      <c r="AA665" s="464"/>
      <c r="AD665" s="448"/>
      <c r="AE665" s="464"/>
      <c r="AH665" s="448"/>
      <c r="AI665" s="464"/>
      <c r="AL665" s="448"/>
      <c r="AP665" s="448"/>
    </row>
    <row r="666" spans="1:42" ht="13">
      <c r="A666" s="462"/>
      <c r="B666" s="462"/>
      <c r="N666" s="448"/>
      <c r="O666" s="464"/>
      <c r="R666" s="448"/>
      <c r="S666" s="464"/>
      <c r="V666" s="448"/>
      <c r="W666" s="464"/>
      <c r="Z666" s="448"/>
      <c r="AA666" s="464"/>
      <c r="AD666" s="448"/>
      <c r="AE666" s="464"/>
      <c r="AH666" s="448"/>
      <c r="AI666" s="464"/>
      <c r="AL666" s="448"/>
      <c r="AP666" s="448"/>
    </row>
    <row r="667" spans="1:42" ht="13">
      <c r="A667" s="462"/>
      <c r="B667" s="462"/>
      <c r="N667" s="448"/>
      <c r="O667" s="464"/>
      <c r="R667" s="448"/>
      <c r="S667" s="464"/>
      <c r="V667" s="448"/>
      <c r="W667" s="464"/>
      <c r="Z667" s="448"/>
      <c r="AA667" s="464"/>
      <c r="AD667" s="448"/>
      <c r="AE667" s="464"/>
      <c r="AH667" s="448"/>
      <c r="AI667" s="464"/>
      <c r="AL667" s="448"/>
      <c r="AP667" s="448"/>
    </row>
    <row r="668" spans="1:42" ht="13">
      <c r="A668" s="462"/>
      <c r="B668" s="462"/>
      <c r="N668" s="448"/>
      <c r="O668" s="464"/>
      <c r="R668" s="448"/>
      <c r="S668" s="464"/>
      <c r="V668" s="448"/>
      <c r="W668" s="464"/>
      <c r="Z668" s="448"/>
      <c r="AA668" s="464"/>
      <c r="AD668" s="448"/>
      <c r="AE668" s="464"/>
      <c r="AH668" s="448"/>
      <c r="AI668" s="464"/>
      <c r="AL668" s="448"/>
      <c r="AP668" s="448"/>
    </row>
    <row r="669" spans="1:42" ht="13">
      <c r="A669" s="462"/>
      <c r="B669" s="462"/>
      <c r="N669" s="448"/>
      <c r="O669" s="464"/>
      <c r="R669" s="448"/>
      <c r="S669" s="464"/>
      <c r="V669" s="448"/>
      <c r="W669" s="464"/>
      <c r="Z669" s="448"/>
      <c r="AA669" s="464"/>
      <c r="AD669" s="448"/>
      <c r="AE669" s="464"/>
      <c r="AH669" s="448"/>
      <c r="AI669" s="464"/>
      <c r="AL669" s="448"/>
      <c r="AP669" s="448"/>
    </row>
    <row r="670" spans="1:42" ht="13">
      <c r="A670" s="462"/>
      <c r="B670" s="462"/>
      <c r="N670" s="448"/>
      <c r="O670" s="464"/>
      <c r="R670" s="448"/>
      <c r="S670" s="464"/>
      <c r="V670" s="448"/>
      <c r="W670" s="464"/>
      <c r="Z670" s="448"/>
      <c r="AA670" s="464"/>
      <c r="AD670" s="448"/>
      <c r="AE670" s="464"/>
      <c r="AH670" s="448"/>
      <c r="AI670" s="464"/>
      <c r="AL670" s="448"/>
      <c r="AP670" s="448"/>
    </row>
    <row r="671" spans="1:42" ht="13">
      <c r="A671" s="462"/>
      <c r="B671" s="462"/>
      <c r="N671" s="448"/>
      <c r="O671" s="464"/>
      <c r="R671" s="448"/>
      <c r="S671" s="464"/>
      <c r="V671" s="448"/>
      <c r="W671" s="464"/>
      <c r="Z671" s="448"/>
      <c r="AA671" s="464"/>
      <c r="AD671" s="448"/>
      <c r="AE671" s="464"/>
      <c r="AH671" s="448"/>
      <c r="AI671" s="464"/>
      <c r="AL671" s="448"/>
      <c r="AP671" s="448"/>
    </row>
    <row r="672" spans="1:42" ht="13">
      <c r="A672" s="462"/>
      <c r="B672" s="462"/>
      <c r="N672" s="448"/>
      <c r="O672" s="464"/>
      <c r="R672" s="448"/>
      <c r="S672" s="464"/>
      <c r="V672" s="448"/>
      <c r="W672" s="464"/>
      <c r="Z672" s="448"/>
      <c r="AA672" s="464"/>
      <c r="AD672" s="448"/>
      <c r="AE672" s="464"/>
      <c r="AH672" s="448"/>
      <c r="AI672" s="464"/>
      <c r="AL672" s="448"/>
      <c r="AP672" s="448"/>
    </row>
    <row r="673" spans="1:42" ht="13">
      <c r="A673" s="462"/>
      <c r="B673" s="462"/>
      <c r="N673" s="448"/>
      <c r="O673" s="464"/>
      <c r="R673" s="448"/>
      <c r="S673" s="464"/>
      <c r="V673" s="448"/>
      <c r="W673" s="464"/>
      <c r="Z673" s="448"/>
      <c r="AA673" s="464"/>
      <c r="AD673" s="448"/>
      <c r="AE673" s="464"/>
      <c r="AH673" s="448"/>
      <c r="AI673" s="464"/>
      <c r="AL673" s="448"/>
      <c r="AP673" s="448"/>
    </row>
    <row r="674" spans="1:42" ht="13">
      <c r="A674" s="462"/>
      <c r="B674" s="462"/>
      <c r="N674" s="448"/>
      <c r="O674" s="464"/>
      <c r="R674" s="448"/>
      <c r="S674" s="464"/>
      <c r="V674" s="448"/>
      <c r="W674" s="464"/>
      <c r="Z674" s="448"/>
      <c r="AA674" s="464"/>
      <c r="AD674" s="448"/>
      <c r="AE674" s="464"/>
      <c r="AH674" s="448"/>
      <c r="AI674" s="464"/>
      <c r="AL674" s="448"/>
      <c r="AP674" s="448"/>
    </row>
    <row r="675" spans="1:42" ht="13">
      <c r="A675" s="462"/>
      <c r="B675" s="462"/>
      <c r="N675" s="448"/>
      <c r="O675" s="464"/>
      <c r="R675" s="448"/>
      <c r="S675" s="464"/>
      <c r="V675" s="448"/>
      <c r="W675" s="464"/>
      <c r="Z675" s="448"/>
      <c r="AA675" s="464"/>
      <c r="AD675" s="448"/>
      <c r="AE675" s="464"/>
      <c r="AH675" s="448"/>
      <c r="AI675" s="464"/>
      <c r="AL675" s="448"/>
      <c r="AP675" s="448"/>
    </row>
    <row r="676" spans="1:42" ht="13">
      <c r="A676" s="462"/>
      <c r="B676" s="462"/>
      <c r="N676" s="448"/>
      <c r="O676" s="464"/>
      <c r="R676" s="448"/>
      <c r="S676" s="464"/>
      <c r="V676" s="448"/>
      <c r="W676" s="464"/>
      <c r="Z676" s="448"/>
      <c r="AA676" s="464"/>
      <c r="AD676" s="448"/>
      <c r="AE676" s="464"/>
      <c r="AH676" s="448"/>
      <c r="AI676" s="464"/>
      <c r="AL676" s="448"/>
      <c r="AP676" s="448"/>
    </row>
    <row r="677" spans="1:42" ht="13">
      <c r="A677" s="462"/>
      <c r="B677" s="462"/>
      <c r="N677" s="448"/>
      <c r="O677" s="464"/>
      <c r="R677" s="448"/>
      <c r="S677" s="464"/>
      <c r="V677" s="448"/>
      <c r="W677" s="464"/>
      <c r="Z677" s="448"/>
      <c r="AA677" s="464"/>
      <c r="AD677" s="448"/>
      <c r="AE677" s="464"/>
      <c r="AH677" s="448"/>
      <c r="AI677" s="464"/>
      <c r="AL677" s="448"/>
      <c r="AP677" s="448"/>
    </row>
    <row r="678" spans="1:42" ht="13">
      <c r="A678" s="462"/>
      <c r="B678" s="462"/>
      <c r="N678" s="448"/>
      <c r="O678" s="464"/>
      <c r="R678" s="448"/>
      <c r="S678" s="464"/>
      <c r="V678" s="448"/>
      <c r="W678" s="464"/>
      <c r="Z678" s="448"/>
      <c r="AA678" s="464"/>
      <c r="AD678" s="448"/>
      <c r="AE678" s="464"/>
      <c r="AH678" s="448"/>
      <c r="AI678" s="464"/>
      <c r="AL678" s="448"/>
      <c r="AP678" s="448"/>
    </row>
    <row r="679" spans="1:42" ht="13">
      <c r="A679" s="462"/>
      <c r="B679" s="462"/>
      <c r="N679" s="448"/>
      <c r="O679" s="464"/>
      <c r="R679" s="448"/>
      <c r="S679" s="464"/>
      <c r="V679" s="448"/>
      <c r="W679" s="464"/>
      <c r="Z679" s="448"/>
      <c r="AA679" s="464"/>
      <c r="AD679" s="448"/>
      <c r="AE679" s="464"/>
      <c r="AH679" s="448"/>
      <c r="AI679" s="464"/>
      <c r="AL679" s="448"/>
      <c r="AP679" s="448"/>
    </row>
    <row r="680" spans="1:42" ht="13">
      <c r="A680" s="462"/>
      <c r="B680" s="462"/>
      <c r="N680" s="448"/>
      <c r="O680" s="464"/>
      <c r="R680" s="448"/>
      <c r="S680" s="464"/>
      <c r="V680" s="448"/>
      <c r="W680" s="464"/>
      <c r="Z680" s="448"/>
      <c r="AA680" s="464"/>
      <c r="AD680" s="448"/>
      <c r="AE680" s="464"/>
      <c r="AH680" s="448"/>
      <c r="AI680" s="464"/>
      <c r="AL680" s="448"/>
      <c r="AP680" s="448"/>
    </row>
    <row r="681" spans="1:42" ht="13">
      <c r="A681" s="462"/>
      <c r="B681" s="462"/>
      <c r="N681" s="448"/>
      <c r="O681" s="464"/>
      <c r="R681" s="448"/>
      <c r="S681" s="464"/>
      <c r="V681" s="448"/>
      <c r="W681" s="464"/>
      <c r="Z681" s="448"/>
      <c r="AA681" s="464"/>
      <c r="AD681" s="448"/>
      <c r="AE681" s="464"/>
      <c r="AH681" s="448"/>
      <c r="AI681" s="464"/>
      <c r="AL681" s="448"/>
      <c r="AP681" s="448"/>
    </row>
    <row r="682" spans="1:42" ht="13">
      <c r="A682" s="462"/>
      <c r="B682" s="462"/>
      <c r="N682" s="448"/>
      <c r="O682" s="464"/>
      <c r="R682" s="448"/>
      <c r="S682" s="464"/>
      <c r="V682" s="448"/>
      <c r="W682" s="464"/>
      <c r="Z682" s="448"/>
      <c r="AA682" s="464"/>
      <c r="AD682" s="448"/>
      <c r="AE682" s="464"/>
      <c r="AH682" s="448"/>
      <c r="AI682" s="464"/>
      <c r="AL682" s="448"/>
      <c r="AP682" s="448"/>
    </row>
    <row r="683" spans="1:42" ht="13">
      <c r="A683" s="462"/>
      <c r="B683" s="462"/>
      <c r="N683" s="448"/>
      <c r="O683" s="464"/>
      <c r="R683" s="448"/>
      <c r="S683" s="464"/>
      <c r="V683" s="448"/>
      <c r="W683" s="464"/>
      <c r="Z683" s="448"/>
      <c r="AA683" s="464"/>
      <c r="AD683" s="448"/>
      <c r="AE683" s="464"/>
      <c r="AH683" s="448"/>
      <c r="AI683" s="464"/>
      <c r="AL683" s="448"/>
      <c r="AP683" s="448"/>
    </row>
    <row r="684" spans="1:42" ht="13">
      <c r="A684" s="462"/>
      <c r="B684" s="462"/>
      <c r="N684" s="448"/>
      <c r="O684" s="464"/>
      <c r="R684" s="448"/>
      <c r="S684" s="464"/>
      <c r="V684" s="448"/>
      <c r="W684" s="464"/>
      <c r="Z684" s="448"/>
      <c r="AA684" s="464"/>
      <c r="AD684" s="448"/>
      <c r="AE684" s="464"/>
      <c r="AH684" s="448"/>
      <c r="AI684" s="464"/>
      <c r="AL684" s="448"/>
      <c r="AP684" s="448"/>
    </row>
    <row r="685" spans="1:42" ht="13">
      <c r="A685" s="462"/>
      <c r="B685" s="462"/>
      <c r="N685" s="448"/>
      <c r="O685" s="464"/>
      <c r="R685" s="448"/>
      <c r="S685" s="464"/>
      <c r="V685" s="448"/>
      <c r="W685" s="464"/>
      <c r="Z685" s="448"/>
      <c r="AA685" s="464"/>
      <c r="AD685" s="448"/>
      <c r="AE685" s="464"/>
      <c r="AH685" s="448"/>
      <c r="AI685" s="464"/>
      <c r="AL685" s="448"/>
      <c r="AP685" s="448"/>
    </row>
    <row r="686" spans="1:42" ht="13">
      <c r="A686" s="462"/>
      <c r="B686" s="462"/>
      <c r="N686" s="448"/>
      <c r="O686" s="464"/>
      <c r="R686" s="448"/>
      <c r="S686" s="464"/>
      <c r="V686" s="448"/>
      <c r="W686" s="464"/>
      <c r="Z686" s="448"/>
      <c r="AA686" s="464"/>
      <c r="AD686" s="448"/>
      <c r="AE686" s="464"/>
      <c r="AH686" s="448"/>
      <c r="AI686" s="464"/>
      <c r="AL686" s="448"/>
      <c r="AP686" s="448"/>
    </row>
    <row r="687" spans="1:42" ht="13">
      <c r="A687" s="462"/>
      <c r="B687" s="462"/>
      <c r="N687" s="448"/>
      <c r="O687" s="464"/>
      <c r="R687" s="448"/>
      <c r="S687" s="464"/>
      <c r="V687" s="448"/>
      <c r="W687" s="464"/>
      <c r="Z687" s="448"/>
      <c r="AA687" s="464"/>
      <c r="AD687" s="448"/>
      <c r="AE687" s="464"/>
      <c r="AH687" s="448"/>
      <c r="AI687" s="464"/>
      <c r="AL687" s="448"/>
      <c r="AP687" s="448"/>
    </row>
    <row r="688" spans="1:42" ht="13">
      <c r="A688" s="462"/>
      <c r="B688" s="462"/>
      <c r="N688" s="448"/>
      <c r="O688" s="464"/>
      <c r="R688" s="448"/>
      <c r="S688" s="464"/>
      <c r="V688" s="448"/>
      <c r="W688" s="464"/>
      <c r="Z688" s="448"/>
      <c r="AA688" s="464"/>
      <c r="AD688" s="448"/>
      <c r="AE688" s="464"/>
      <c r="AH688" s="448"/>
      <c r="AI688" s="464"/>
      <c r="AL688" s="448"/>
      <c r="AP688" s="448"/>
    </row>
    <row r="689" spans="1:42" ht="13">
      <c r="A689" s="462"/>
      <c r="B689" s="462"/>
      <c r="N689" s="448"/>
      <c r="O689" s="464"/>
      <c r="R689" s="448"/>
      <c r="S689" s="464"/>
      <c r="V689" s="448"/>
      <c r="W689" s="464"/>
      <c r="Z689" s="448"/>
      <c r="AA689" s="464"/>
      <c r="AD689" s="448"/>
      <c r="AE689" s="464"/>
      <c r="AH689" s="448"/>
      <c r="AI689" s="464"/>
      <c r="AL689" s="448"/>
      <c r="AP689" s="448"/>
    </row>
    <row r="690" spans="1:42" ht="13">
      <c r="A690" s="462"/>
      <c r="B690" s="462"/>
      <c r="N690" s="448"/>
      <c r="O690" s="464"/>
      <c r="R690" s="448"/>
      <c r="S690" s="464"/>
      <c r="V690" s="448"/>
      <c r="W690" s="464"/>
      <c r="Z690" s="448"/>
      <c r="AA690" s="464"/>
      <c r="AD690" s="448"/>
      <c r="AE690" s="464"/>
      <c r="AH690" s="448"/>
      <c r="AI690" s="464"/>
      <c r="AL690" s="448"/>
      <c r="AP690" s="448"/>
    </row>
    <row r="691" spans="1:42" ht="13">
      <c r="A691" s="462"/>
      <c r="B691" s="462"/>
      <c r="N691" s="448"/>
      <c r="O691" s="464"/>
      <c r="R691" s="448"/>
      <c r="S691" s="464"/>
      <c r="V691" s="448"/>
      <c r="W691" s="464"/>
      <c r="Z691" s="448"/>
      <c r="AA691" s="464"/>
      <c r="AD691" s="448"/>
      <c r="AE691" s="464"/>
      <c r="AH691" s="448"/>
      <c r="AI691" s="464"/>
      <c r="AL691" s="448"/>
      <c r="AP691" s="448"/>
    </row>
    <row r="692" spans="1:42" ht="13">
      <c r="A692" s="462"/>
      <c r="B692" s="462"/>
      <c r="N692" s="448"/>
      <c r="O692" s="464"/>
      <c r="R692" s="448"/>
      <c r="S692" s="464"/>
      <c r="V692" s="448"/>
      <c r="W692" s="464"/>
      <c r="Z692" s="448"/>
      <c r="AA692" s="464"/>
      <c r="AD692" s="448"/>
      <c r="AE692" s="464"/>
      <c r="AH692" s="448"/>
      <c r="AI692" s="464"/>
      <c r="AL692" s="448"/>
      <c r="AP692" s="448"/>
    </row>
    <row r="693" spans="1:42" ht="13">
      <c r="A693" s="462"/>
      <c r="B693" s="462"/>
      <c r="N693" s="448"/>
      <c r="O693" s="464"/>
      <c r="R693" s="448"/>
      <c r="S693" s="464"/>
      <c r="V693" s="448"/>
      <c r="W693" s="464"/>
      <c r="Z693" s="448"/>
      <c r="AA693" s="464"/>
      <c r="AD693" s="448"/>
      <c r="AE693" s="464"/>
      <c r="AH693" s="448"/>
      <c r="AI693" s="464"/>
      <c r="AL693" s="448"/>
      <c r="AP693" s="448"/>
    </row>
    <row r="694" spans="1:42" ht="13">
      <c r="A694" s="462"/>
      <c r="B694" s="462"/>
      <c r="N694" s="448"/>
      <c r="O694" s="464"/>
      <c r="R694" s="448"/>
      <c r="S694" s="464"/>
      <c r="V694" s="448"/>
      <c r="W694" s="464"/>
      <c r="Z694" s="448"/>
      <c r="AA694" s="464"/>
      <c r="AD694" s="448"/>
      <c r="AE694" s="464"/>
      <c r="AH694" s="448"/>
      <c r="AI694" s="464"/>
      <c r="AL694" s="448"/>
      <c r="AP694" s="448"/>
    </row>
    <row r="695" spans="1:42" ht="13">
      <c r="A695" s="462"/>
      <c r="B695" s="462"/>
      <c r="N695" s="448"/>
      <c r="O695" s="464"/>
      <c r="R695" s="448"/>
      <c r="S695" s="464"/>
      <c r="V695" s="448"/>
      <c r="W695" s="464"/>
      <c r="Z695" s="448"/>
      <c r="AA695" s="464"/>
      <c r="AD695" s="448"/>
      <c r="AE695" s="464"/>
      <c r="AH695" s="448"/>
      <c r="AI695" s="464"/>
      <c r="AL695" s="448"/>
      <c r="AP695" s="448"/>
    </row>
    <row r="696" spans="1:42" ht="13">
      <c r="A696" s="462"/>
      <c r="B696" s="462"/>
      <c r="N696" s="448"/>
      <c r="O696" s="464"/>
      <c r="R696" s="448"/>
      <c r="S696" s="464"/>
      <c r="V696" s="448"/>
      <c r="W696" s="464"/>
      <c r="Z696" s="448"/>
      <c r="AA696" s="464"/>
      <c r="AD696" s="448"/>
      <c r="AE696" s="464"/>
      <c r="AH696" s="448"/>
      <c r="AI696" s="464"/>
      <c r="AL696" s="448"/>
      <c r="AP696" s="448"/>
    </row>
    <row r="697" spans="1:42" ht="13">
      <c r="A697" s="462"/>
      <c r="B697" s="462"/>
      <c r="N697" s="448"/>
      <c r="O697" s="464"/>
      <c r="R697" s="448"/>
      <c r="S697" s="464"/>
      <c r="V697" s="448"/>
      <c r="W697" s="464"/>
      <c r="Z697" s="448"/>
      <c r="AA697" s="464"/>
      <c r="AD697" s="448"/>
      <c r="AE697" s="464"/>
      <c r="AH697" s="448"/>
      <c r="AI697" s="464"/>
      <c r="AL697" s="448"/>
      <c r="AP697" s="448"/>
    </row>
    <row r="698" spans="1:42" ht="13">
      <c r="A698" s="462"/>
      <c r="B698" s="462"/>
      <c r="N698" s="448"/>
      <c r="O698" s="464"/>
      <c r="R698" s="448"/>
      <c r="S698" s="464"/>
      <c r="V698" s="448"/>
      <c r="W698" s="464"/>
      <c r="Z698" s="448"/>
      <c r="AA698" s="464"/>
      <c r="AD698" s="448"/>
      <c r="AE698" s="464"/>
      <c r="AH698" s="448"/>
      <c r="AI698" s="464"/>
      <c r="AL698" s="448"/>
      <c r="AP698" s="448"/>
    </row>
    <row r="699" spans="1:42" ht="13">
      <c r="A699" s="462"/>
      <c r="B699" s="462"/>
      <c r="N699" s="448"/>
      <c r="O699" s="464"/>
      <c r="R699" s="448"/>
      <c r="S699" s="464"/>
      <c r="V699" s="448"/>
      <c r="W699" s="464"/>
      <c r="Z699" s="448"/>
      <c r="AA699" s="464"/>
      <c r="AD699" s="448"/>
      <c r="AE699" s="464"/>
      <c r="AH699" s="448"/>
      <c r="AI699" s="464"/>
      <c r="AL699" s="448"/>
      <c r="AP699" s="448"/>
    </row>
    <row r="700" spans="1:42" ht="13">
      <c r="A700" s="462"/>
      <c r="B700" s="462"/>
      <c r="N700" s="448"/>
      <c r="O700" s="464"/>
      <c r="R700" s="448"/>
      <c r="S700" s="464"/>
      <c r="V700" s="448"/>
      <c r="W700" s="464"/>
      <c r="Z700" s="448"/>
      <c r="AA700" s="464"/>
      <c r="AD700" s="448"/>
      <c r="AE700" s="464"/>
      <c r="AH700" s="448"/>
      <c r="AI700" s="464"/>
      <c r="AL700" s="448"/>
      <c r="AP700" s="448"/>
    </row>
    <row r="701" spans="1:42" ht="13">
      <c r="A701" s="462"/>
      <c r="B701" s="462"/>
      <c r="N701" s="448"/>
      <c r="O701" s="464"/>
      <c r="R701" s="448"/>
      <c r="S701" s="464"/>
      <c r="V701" s="448"/>
      <c r="W701" s="464"/>
      <c r="Z701" s="448"/>
      <c r="AA701" s="464"/>
      <c r="AD701" s="448"/>
      <c r="AE701" s="464"/>
      <c r="AH701" s="448"/>
      <c r="AI701" s="464"/>
      <c r="AL701" s="448"/>
      <c r="AP701" s="448"/>
    </row>
    <row r="702" spans="1:42" ht="13">
      <c r="A702" s="462"/>
      <c r="B702" s="462"/>
      <c r="N702" s="448"/>
      <c r="O702" s="464"/>
      <c r="R702" s="448"/>
      <c r="S702" s="464"/>
      <c r="V702" s="448"/>
      <c r="W702" s="464"/>
      <c r="Z702" s="448"/>
      <c r="AA702" s="464"/>
      <c r="AD702" s="448"/>
      <c r="AE702" s="464"/>
      <c r="AH702" s="448"/>
      <c r="AI702" s="464"/>
      <c r="AL702" s="448"/>
      <c r="AP702" s="448"/>
    </row>
    <row r="703" spans="1:42" ht="13">
      <c r="A703" s="462"/>
      <c r="B703" s="462"/>
      <c r="N703" s="448"/>
      <c r="O703" s="464"/>
      <c r="R703" s="448"/>
      <c r="S703" s="464"/>
      <c r="V703" s="448"/>
      <c r="W703" s="464"/>
      <c r="Z703" s="448"/>
      <c r="AA703" s="464"/>
      <c r="AD703" s="448"/>
      <c r="AE703" s="464"/>
      <c r="AH703" s="448"/>
      <c r="AI703" s="464"/>
      <c r="AL703" s="448"/>
      <c r="AP703" s="448"/>
    </row>
    <row r="704" spans="1:42" ht="13">
      <c r="A704" s="462"/>
      <c r="B704" s="462"/>
      <c r="N704" s="448"/>
      <c r="O704" s="464"/>
      <c r="R704" s="448"/>
      <c r="S704" s="464"/>
      <c r="V704" s="448"/>
      <c r="W704" s="464"/>
      <c r="Z704" s="448"/>
      <c r="AA704" s="464"/>
      <c r="AD704" s="448"/>
      <c r="AE704" s="464"/>
      <c r="AH704" s="448"/>
      <c r="AI704" s="464"/>
      <c r="AL704" s="448"/>
      <c r="AP704" s="448"/>
    </row>
    <row r="705" spans="1:42" ht="13">
      <c r="A705" s="462"/>
      <c r="B705" s="462"/>
      <c r="N705" s="448"/>
      <c r="O705" s="464"/>
      <c r="R705" s="448"/>
      <c r="S705" s="464"/>
      <c r="V705" s="448"/>
      <c r="W705" s="464"/>
      <c r="Z705" s="448"/>
      <c r="AA705" s="464"/>
      <c r="AD705" s="448"/>
      <c r="AE705" s="464"/>
      <c r="AH705" s="448"/>
      <c r="AI705" s="464"/>
      <c r="AL705" s="448"/>
      <c r="AP705" s="448"/>
    </row>
    <row r="706" spans="1:42" ht="13">
      <c r="A706" s="462"/>
      <c r="B706" s="462"/>
      <c r="N706" s="448"/>
      <c r="O706" s="464"/>
      <c r="R706" s="448"/>
      <c r="S706" s="464"/>
      <c r="V706" s="448"/>
      <c r="W706" s="464"/>
      <c r="Z706" s="448"/>
      <c r="AA706" s="464"/>
      <c r="AD706" s="448"/>
      <c r="AE706" s="464"/>
      <c r="AH706" s="448"/>
      <c r="AI706" s="464"/>
      <c r="AL706" s="448"/>
      <c r="AP706" s="448"/>
    </row>
    <row r="707" spans="1:42" ht="13">
      <c r="A707" s="462"/>
      <c r="B707" s="462"/>
      <c r="N707" s="448"/>
      <c r="O707" s="464"/>
      <c r="R707" s="448"/>
      <c r="S707" s="464"/>
      <c r="V707" s="448"/>
      <c r="W707" s="464"/>
      <c r="Z707" s="448"/>
      <c r="AA707" s="464"/>
      <c r="AD707" s="448"/>
      <c r="AE707" s="464"/>
      <c r="AH707" s="448"/>
      <c r="AI707" s="464"/>
      <c r="AL707" s="448"/>
      <c r="AP707" s="448"/>
    </row>
    <row r="708" spans="1:42" ht="13">
      <c r="A708" s="462"/>
      <c r="B708" s="462"/>
      <c r="N708" s="448"/>
      <c r="O708" s="464"/>
      <c r="R708" s="448"/>
      <c r="S708" s="464"/>
      <c r="V708" s="448"/>
      <c r="W708" s="464"/>
      <c r="Z708" s="448"/>
      <c r="AA708" s="464"/>
      <c r="AD708" s="448"/>
      <c r="AE708" s="464"/>
      <c r="AH708" s="448"/>
      <c r="AI708" s="464"/>
      <c r="AL708" s="448"/>
      <c r="AP708" s="448"/>
    </row>
    <row r="709" spans="1:42" ht="13">
      <c r="A709" s="462"/>
      <c r="B709" s="462"/>
      <c r="N709" s="448"/>
      <c r="O709" s="464"/>
      <c r="R709" s="448"/>
      <c r="S709" s="464"/>
      <c r="V709" s="448"/>
      <c r="W709" s="464"/>
      <c r="Z709" s="448"/>
      <c r="AA709" s="464"/>
      <c r="AD709" s="448"/>
      <c r="AE709" s="464"/>
      <c r="AH709" s="448"/>
      <c r="AI709" s="464"/>
      <c r="AL709" s="448"/>
      <c r="AP709" s="448"/>
    </row>
    <row r="710" spans="1:42" ht="13">
      <c r="A710" s="462"/>
      <c r="B710" s="462"/>
      <c r="N710" s="448"/>
      <c r="O710" s="464"/>
      <c r="R710" s="448"/>
      <c r="S710" s="464"/>
      <c r="V710" s="448"/>
      <c r="W710" s="464"/>
      <c r="Z710" s="448"/>
      <c r="AA710" s="464"/>
      <c r="AD710" s="448"/>
      <c r="AE710" s="464"/>
      <c r="AH710" s="448"/>
      <c r="AI710" s="464"/>
      <c r="AL710" s="448"/>
      <c r="AP710" s="448"/>
    </row>
    <row r="711" spans="1:42" ht="13">
      <c r="A711" s="462"/>
      <c r="B711" s="462"/>
      <c r="N711" s="448"/>
      <c r="O711" s="464"/>
      <c r="R711" s="448"/>
      <c r="S711" s="464"/>
      <c r="V711" s="448"/>
      <c r="W711" s="464"/>
      <c r="Z711" s="448"/>
      <c r="AA711" s="464"/>
      <c r="AD711" s="448"/>
      <c r="AE711" s="464"/>
      <c r="AH711" s="448"/>
      <c r="AI711" s="464"/>
      <c r="AL711" s="448"/>
      <c r="AP711" s="448"/>
    </row>
    <row r="712" spans="1:42" ht="13">
      <c r="A712" s="462"/>
      <c r="B712" s="462"/>
      <c r="N712" s="448"/>
      <c r="O712" s="464"/>
      <c r="R712" s="448"/>
      <c r="S712" s="464"/>
      <c r="V712" s="448"/>
      <c r="W712" s="464"/>
      <c r="Z712" s="448"/>
      <c r="AA712" s="464"/>
      <c r="AD712" s="448"/>
      <c r="AE712" s="464"/>
      <c r="AH712" s="448"/>
      <c r="AI712" s="464"/>
      <c r="AL712" s="448"/>
      <c r="AP712" s="448"/>
    </row>
    <row r="713" spans="1:42" ht="13">
      <c r="A713" s="462"/>
      <c r="B713" s="462"/>
      <c r="N713" s="448"/>
      <c r="O713" s="464"/>
      <c r="R713" s="448"/>
      <c r="S713" s="464"/>
      <c r="V713" s="448"/>
      <c r="W713" s="464"/>
      <c r="Z713" s="448"/>
      <c r="AA713" s="464"/>
      <c r="AD713" s="448"/>
      <c r="AE713" s="464"/>
      <c r="AH713" s="448"/>
      <c r="AI713" s="464"/>
      <c r="AL713" s="448"/>
      <c r="AP713" s="448"/>
    </row>
    <row r="714" spans="1:42" ht="13">
      <c r="A714" s="462"/>
      <c r="B714" s="462"/>
      <c r="N714" s="448"/>
      <c r="O714" s="464"/>
      <c r="R714" s="448"/>
      <c r="S714" s="464"/>
      <c r="V714" s="448"/>
      <c r="W714" s="464"/>
      <c r="Z714" s="448"/>
      <c r="AA714" s="464"/>
      <c r="AD714" s="448"/>
      <c r="AE714" s="464"/>
      <c r="AH714" s="448"/>
      <c r="AI714" s="464"/>
      <c r="AL714" s="448"/>
      <c r="AP714" s="448"/>
    </row>
    <row r="715" spans="1:42" ht="13">
      <c r="A715" s="462"/>
      <c r="B715" s="462"/>
      <c r="N715" s="448"/>
      <c r="O715" s="464"/>
      <c r="R715" s="448"/>
      <c r="S715" s="464"/>
      <c r="V715" s="448"/>
      <c r="W715" s="464"/>
      <c r="Z715" s="448"/>
      <c r="AA715" s="464"/>
      <c r="AD715" s="448"/>
      <c r="AE715" s="464"/>
      <c r="AH715" s="448"/>
      <c r="AI715" s="464"/>
      <c r="AL715" s="448"/>
      <c r="AP715" s="448"/>
    </row>
    <row r="716" spans="1:42" ht="13">
      <c r="A716" s="462"/>
      <c r="B716" s="462"/>
      <c r="N716" s="448"/>
      <c r="O716" s="464"/>
      <c r="R716" s="448"/>
      <c r="S716" s="464"/>
      <c r="V716" s="448"/>
      <c r="W716" s="464"/>
      <c r="Z716" s="448"/>
      <c r="AA716" s="464"/>
      <c r="AD716" s="448"/>
      <c r="AE716" s="464"/>
      <c r="AH716" s="448"/>
      <c r="AI716" s="464"/>
      <c r="AL716" s="448"/>
      <c r="AP716" s="448"/>
    </row>
    <row r="717" spans="1:42" ht="13">
      <c r="A717" s="462"/>
      <c r="B717" s="462"/>
      <c r="N717" s="448"/>
      <c r="O717" s="464"/>
      <c r="R717" s="448"/>
      <c r="S717" s="464"/>
      <c r="V717" s="448"/>
      <c r="W717" s="464"/>
      <c r="Z717" s="448"/>
      <c r="AA717" s="464"/>
      <c r="AD717" s="448"/>
      <c r="AE717" s="464"/>
      <c r="AH717" s="448"/>
      <c r="AI717" s="464"/>
      <c r="AL717" s="448"/>
      <c r="AP717" s="448"/>
    </row>
    <row r="718" spans="1:42" ht="13">
      <c r="A718" s="462"/>
      <c r="B718" s="462"/>
      <c r="N718" s="448"/>
      <c r="O718" s="464"/>
      <c r="R718" s="448"/>
      <c r="S718" s="464"/>
      <c r="V718" s="448"/>
      <c r="W718" s="464"/>
      <c r="Z718" s="448"/>
      <c r="AA718" s="464"/>
      <c r="AD718" s="448"/>
      <c r="AE718" s="464"/>
      <c r="AH718" s="448"/>
      <c r="AI718" s="464"/>
      <c r="AL718" s="448"/>
      <c r="AP718" s="448"/>
    </row>
    <row r="719" spans="1:42" ht="13">
      <c r="A719" s="462"/>
      <c r="B719" s="462"/>
      <c r="N719" s="448"/>
      <c r="O719" s="464"/>
      <c r="R719" s="448"/>
      <c r="S719" s="464"/>
      <c r="V719" s="448"/>
      <c r="W719" s="464"/>
      <c r="Z719" s="448"/>
      <c r="AA719" s="464"/>
      <c r="AD719" s="448"/>
      <c r="AE719" s="464"/>
      <c r="AH719" s="448"/>
      <c r="AI719" s="464"/>
      <c r="AL719" s="448"/>
      <c r="AP719" s="448"/>
    </row>
    <row r="720" spans="1:42" ht="13">
      <c r="A720" s="462"/>
      <c r="B720" s="462"/>
      <c r="N720" s="448"/>
      <c r="O720" s="464"/>
      <c r="R720" s="448"/>
      <c r="S720" s="464"/>
      <c r="V720" s="448"/>
      <c r="W720" s="464"/>
      <c r="Z720" s="448"/>
      <c r="AA720" s="464"/>
      <c r="AD720" s="448"/>
      <c r="AE720" s="464"/>
      <c r="AH720" s="448"/>
      <c r="AI720" s="464"/>
      <c r="AL720" s="448"/>
      <c r="AP720" s="448"/>
    </row>
    <row r="721" spans="1:42" ht="13">
      <c r="A721" s="462"/>
      <c r="B721" s="462"/>
      <c r="N721" s="448"/>
      <c r="O721" s="464"/>
      <c r="R721" s="448"/>
      <c r="S721" s="464"/>
      <c r="V721" s="448"/>
      <c r="W721" s="464"/>
      <c r="Z721" s="448"/>
      <c r="AA721" s="464"/>
      <c r="AD721" s="448"/>
      <c r="AE721" s="464"/>
      <c r="AH721" s="448"/>
      <c r="AI721" s="464"/>
      <c r="AL721" s="448"/>
      <c r="AP721" s="448"/>
    </row>
    <row r="722" spans="1:42" ht="13">
      <c r="A722" s="462"/>
      <c r="B722" s="462"/>
      <c r="N722" s="448"/>
      <c r="O722" s="464"/>
      <c r="R722" s="448"/>
      <c r="S722" s="464"/>
      <c r="V722" s="448"/>
      <c r="W722" s="464"/>
      <c r="Z722" s="448"/>
      <c r="AA722" s="464"/>
      <c r="AD722" s="448"/>
      <c r="AE722" s="464"/>
      <c r="AH722" s="448"/>
      <c r="AI722" s="464"/>
      <c r="AL722" s="448"/>
      <c r="AP722" s="448"/>
    </row>
    <row r="723" spans="1:42" ht="13">
      <c r="A723" s="462"/>
      <c r="B723" s="462"/>
      <c r="N723" s="448"/>
      <c r="O723" s="464"/>
      <c r="R723" s="448"/>
      <c r="S723" s="464"/>
      <c r="V723" s="448"/>
      <c r="W723" s="464"/>
      <c r="Z723" s="448"/>
      <c r="AA723" s="464"/>
      <c r="AD723" s="448"/>
      <c r="AE723" s="464"/>
      <c r="AH723" s="448"/>
      <c r="AI723" s="464"/>
      <c r="AL723" s="448"/>
      <c r="AP723" s="448"/>
    </row>
    <row r="724" spans="1:42" ht="13">
      <c r="A724" s="462"/>
      <c r="B724" s="462"/>
      <c r="N724" s="448"/>
      <c r="O724" s="464"/>
      <c r="R724" s="448"/>
      <c r="S724" s="464"/>
      <c r="V724" s="448"/>
      <c r="W724" s="464"/>
      <c r="Z724" s="448"/>
      <c r="AA724" s="464"/>
      <c r="AD724" s="448"/>
      <c r="AE724" s="464"/>
      <c r="AH724" s="448"/>
      <c r="AI724" s="464"/>
      <c r="AL724" s="448"/>
      <c r="AP724" s="448"/>
    </row>
    <row r="725" spans="1:42" ht="13">
      <c r="A725" s="462"/>
      <c r="B725" s="462"/>
      <c r="N725" s="448"/>
      <c r="O725" s="464"/>
      <c r="R725" s="448"/>
      <c r="S725" s="464"/>
      <c r="V725" s="448"/>
      <c r="W725" s="464"/>
      <c r="Z725" s="448"/>
      <c r="AA725" s="464"/>
      <c r="AD725" s="448"/>
      <c r="AE725" s="464"/>
      <c r="AH725" s="448"/>
      <c r="AI725" s="464"/>
      <c r="AL725" s="448"/>
      <c r="AP725" s="448"/>
    </row>
    <row r="726" spans="1:42" ht="13">
      <c r="A726" s="462"/>
      <c r="B726" s="462"/>
      <c r="N726" s="448"/>
      <c r="O726" s="464"/>
      <c r="R726" s="448"/>
      <c r="S726" s="464"/>
      <c r="V726" s="448"/>
      <c r="W726" s="464"/>
      <c r="Z726" s="448"/>
      <c r="AA726" s="464"/>
      <c r="AD726" s="448"/>
      <c r="AE726" s="464"/>
      <c r="AH726" s="448"/>
      <c r="AI726" s="464"/>
      <c r="AL726" s="448"/>
      <c r="AP726" s="448"/>
    </row>
    <row r="727" spans="1:42" ht="13">
      <c r="A727" s="462"/>
      <c r="B727" s="462"/>
      <c r="N727" s="448"/>
      <c r="O727" s="464"/>
      <c r="R727" s="448"/>
      <c r="S727" s="464"/>
      <c r="V727" s="448"/>
      <c r="W727" s="464"/>
      <c r="Z727" s="448"/>
      <c r="AA727" s="464"/>
      <c r="AD727" s="448"/>
      <c r="AE727" s="464"/>
      <c r="AH727" s="448"/>
      <c r="AI727" s="464"/>
      <c r="AL727" s="448"/>
      <c r="AP727" s="448"/>
    </row>
    <row r="728" spans="1:42" ht="13">
      <c r="A728" s="462"/>
      <c r="B728" s="462"/>
      <c r="N728" s="448"/>
      <c r="O728" s="464"/>
      <c r="R728" s="448"/>
      <c r="S728" s="464"/>
      <c r="V728" s="448"/>
      <c r="W728" s="464"/>
      <c r="Z728" s="448"/>
      <c r="AA728" s="464"/>
      <c r="AD728" s="448"/>
      <c r="AE728" s="464"/>
      <c r="AH728" s="448"/>
      <c r="AI728" s="464"/>
      <c r="AL728" s="448"/>
      <c r="AP728" s="448"/>
    </row>
    <row r="729" spans="1:42" ht="13">
      <c r="A729" s="462"/>
      <c r="B729" s="462"/>
      <c r="N729" s="448"/>
      <c r="O729" s="464"/>
      <c r="R729" s="448"/>
      <c r="S729" s="464"/>
      <c r="V729" s="448"/>
      <c r="W729" s="464"/>
      <c r="Z729" s="448"/>
      <c r="AA729" s="464"/>
      <c r="AD729" s="448"/>
      <c r="AE729" s="464"/>
      <c r="AH729" s="448"/>
      <c r="AI729" s="464"/>
      <c r="AL729" s="448"/>
      <c r="AP729" s="448"/>
    </row>
    <row r="730" spans="1:42" ht="13">
      <c r="A730" s="462"/>
      <c r="B730" s="462"/>
      <c r="N730" s="448"/>
      <c r="O730" s="464"/>
      <c r="R730" s="448"/>
      <c r="S730" s="464"/>
      <c r="V730" s="448"/>
      <c r="W730" s="464"/>
      <c r="Z730" s="448"/>
      <c r="AA730" s="464"/>
      <c r="AD730" s="448"/>
      <c r="AE730" s="464"/>
      <c r="AH730" s="448"/>
      <c r="AI730" s="464"/>
      <c r="AL730" s="448"/>
      <c r="AP730" s="448"/>
    </row>
    <row r="731" spans="1:42" ht="13">
      <c r="A731" s="462"/>
      <c r="B731" s="462"/>
      <c r="N731" s="448"/>
      <c r="O731" s="464"/>
      <c r="R731" s="448"/>
      <c r="S731" s="464"/>
      <c r="V731" s="448"/>
      <c r="W731" s="464"/>
      <c r="Z731" s="448"/>
      <c r="AA731" s="464"/>
      <c r="AD731" s="448"/>
      <c r="AE731" s="464"/>
      <c r="AH731" s="448"/>
      <c r="AI731" s="464"/>
      <c r="AL731" s="448"/>
      <c r="AP731" s="448"/>
    </row>
    <row r="732" spans="1:42" ht="13">
      <c r="A732" s="462"/>
      <c r="B732" s="462"/>
      <c r="N732" s="448"/>
      <c r="O732" s="464"/>
      <c r="R732" s="448"/>
      <c r="S732" s="464"/>
      <c r="V732" s="448"/>
      <c r="W732" s="464"/>
      <c r="Z732" s="448"/>
      <c r="AA732" s="464"/>
      <c r="AD732" s="448"/>
      <c r="AE732" s="464"/>
      <c r="AH732" s="448"/>
      <c r="AI732" s="464"/>
      <c r="AL732" s="448"/>
      <c r="AP732" s="448"/>
    </row>
    <row r="733" spans="1:42" ht="13">
      <c r="A733" s="462"/>
      <c r="B733" s="462"/>
      <c r="N733" s="448"/>
      <c r="O733" s="464"/>
      <c r="R733" s="448"/>
      <c r="S733" s="464"/>
      <c r="V733" s="448"/>
      <c r="W733" s="464"/>
      <c r="Z733" s="448"/>
      <c r="AA733" s="464"/>
      <c r="AD733" s="448"/>
      <c r="AE733" s="464"/>
      <c r="AH733" s="448"/>
      <c r="AI733" s="464"/>
      <c r="AL733" s="448"/>
      <c r="AP733" s="448"/>
    </row>
    <row r="734" spans="1:42" ht="13">
      <c r="A734" s="462"/>
      <c r="B734" s="462"/>
      <c r="N734" s="448"/>
      <c r="O734" s="464"/>
      <c r="R734" s="448"/>
      <c r="S734" s="464"/>
      <c r="V734" s="448"/>
      <c r="W734" s="464"/>
      <c r="Z734" s="448"/>
      <c r="AA734" s="464"/>
      <c r="AD734" s="448"/>
      <c r="AE734" s="464"/>
      <c r="AH734" s="448"/>
      <c r="AI734" s="464"/>
      <c r="AL734" s="448"/>
      <c r="AP734" s="448"/>
    </row>
    <row r="735" spans="1:42" ht="13">
      <c r="A735" s="462"/>
      <c r="B735" s="462"/>
      <c r="N735" s="448"/>
      <c r="O735" s="464"/>
      <c r="R735" s="448"/>
      <c r="S735" s="464"/>
      <c r="V735" s="448"/>
      <c r="W735" s="464"/>
      <c r="Z735" s="448"/>
      <c r="AA735" s="464"/>
      <c r="AD735" s="448"/>
      <c r="AE735" s="464"/>
      <c r="AH735" s="448"/>
      <c r="AI735" s="464"/>
      <c r="AL735" s="448"/>
      <c r="AP735" s="448"/>
    </row>
    <row r="736" spans="1:42" ht="13">
      <c r="A736" s="462"/>
      <c r="B736" s="462"/>
      <c r="N736" s="448"/>
      <c r="O736" s="464"/>
      <c r="R736" s="448"/>
      <c r="S736" s="464"/>
      <c r="V736" s="448"/>
      <c r="W736" s="464"/>
      <c r="Z736" s="448"/>
      <c r="AA736" s="464"/>
      <c r="AD736" s="448"/>
      <c r="AE736" s="464"/>
      <c r="AH736" s="448"/>
      <c r="AI736" s="464"/>
      <c r="AL736" s="448"/>
      <c r="AP736" s="448"/>
    </row>
    <row r="737" spans="1:42" ht="13">
      <c r="A737" s="462"/>
      <c r="B737" s="462"/>
      <c r="N737" s="448"/>
      <c r="O737" s="464"/>
      <c r="R737" s="448"/>
      <c r="S737" s="464"/>
      <c r="V737" s="448"/>
      <c r="W737" s="464"/>
      <c r="Z737" s="448"/>
      <c r="AA737" s="464"/>
      <c r="AD737" s="448"/>
      <c r="AE737" s="464"/>
      <c r="AH737" s="448"/>
      <c r="AI737" s="464"/>
      <c r="AL737" s="448"/>
      <c r="AP737" s="448"/>
    </row>
    <row r="738" spans="1:42" ht="13">
      <c r="A738" s="462"/>
      <c r="B738" s="462"/>
      <c r="N738" s="448"/>
      <c r="O738" s="464"/>
      <c r="R738" s="448"/>
      <c r="S738" s="464"/>
      <c r="V738" s="448"/>
      <c r="W738" s="464"/>
      <c r="Z738" s="448"/>
      <c r="AA738" s="464"/>
      <c r="AD738" s="448"/>
      <c r="AE738" s="464"/>
      <c r="AH738" s="448"/>
      <c r="AI738" s="464"/>
      <c r="AL738" s="448"/>
      <c r="AP738" s="448"/>
    </row>
    <row r="739" spans="1:42" ht="13">
      <c r="A739" s="462"/>
      <c r="B739" s="462"/>
      <c r="N739" s="448"/>
      <c r="O739" s="464"/>
      <c r="R739" s="448"/>
      <c r="S739" s="464"/>
      <c r="V739" s="448"/>
      <c r="W739" s="464"/>
      <c r="Z739" s="448"/>
      <c r="AA739" s="464"/>
      <c r="AD739" s="448"/>
      <c r="AE739" s="464"/>
      <c r="AH739" s="448"/>
      <c r="AI739" s="464"/>
      <c r="AL739" s="448"/>
      <c r="AP739" s="448"/>
    </row>
    <row r="740" spans="1:42" ht="13">
      <c r="A740" s="462"/>
      <c r="B740" s="462"/>
      <c r="N740" s="448"/>
      <c r="O740" s="464"/>
      <c r="R740" s="448"/>
      <c r="S740" s="464"/>
      <c r="V740" s="448"/>
      <c r="W740" s="464"/>
      <c r="Z740" s="448"/>
      <c r="AA740" s="464"/>
      <c r="AD740" s="448"/>
      <c r="AE740" s="464"/>
      <c r="AH740" s="448"/>
      <c r="AI740" s="464"/>
      <c r="AL740" s="448"/>
      <c r="AP740" s="448"/>
    </row>
    <row r="741" spans="1:42" ht="13">
      <c r="A741" s="462"/>
      <c r="B741" s="462"/>
      <c r="N741" s="448"/>
      <c r="O741" s="464"/>
      <c r="R741" s="448"/>
      <c r="S741" s="464"/>
      <c r="V741" s="448"/>
      <c r="W741" s="464"/>
      <c r="Z741" s="448"/>
      <c r="AA741" s="464"/>
      <c r="AD741" s="448"/>
      <c r="AE741" s="464"/>
      <c r="AH741" s="448"/>
      <c r="AI741" s="464"/>
      <c r="AL741" s="448"/>
      <c r="AP741" s="448"/>
    </row>
    <row r="742" spans="1:42" ht="13">
      <c r="A742" s="462"/>
      <c r="B742" s="462"/>
      <c r="N742" s="448"/>
      <c r="O742" s="464"/>
      <c r="R742" s="448"/>
      <c r="S742" s="464"/>
      <c r="V742" s="448"/>
      <c r="W742" s="464"/>
      <c r="Z742" s="448"/>
      <c r="AA742" s="464"/>
      <c r="AD742" s="448"/>
      <c r="AE742" s="464"/>
      <c r="AH742" s="448"/>
      <c r="AI742" s="464"/>
      <c r="AL742" s="448"/>
      <c r="AP742" s="448"/>
    </row>
    <row r="743" spans="1:42" ht="13">
      <c r="A743" s="462"/>
      <c r="B743" s="462"/>
      <c r="N743" s="448"/>
      <c r="O743" s="464"/>
      <c r="R743" s="448"/>
      <c r="S743" s="464"/>
      <c r="V743" s="448"/>
      <c r="W743" s="464"/>
      <c r="Z743" s="448"/>
      <c r="AA743" s="464"/>
      <c r="AD743" s="448"/>
      <c r="AE743" s="464"/>
      <c r="AH743" s="448"/>
      <c r="AI743" s="464"/>
      <c r="AL743" s="448"/>
      <c r="AP743" s="448"/>
    </row>
    <row r="744" spans="1:42" ht="13">
      <c r="A744" s="462"/>
      <c r="B744" s="462"/>
      <c r="N744" s="448"/>
      <c r="O744" s="464"/>
      <c r="R744" s="448"/>
      <c r="S744" s="464"/>
      <c r="V744" s="448"/>
      <c r="W744" s="464"/>
      <c r="Z744" s="448"/>
      <c r="AA744" s="464"/>
      <c r="AD744" s="448"/>
      <c r="AE744" s="464"/>
      <c r="AH744" s="448"/>
      <c r="AI744" s="464"/>
      <c r="AL744" s="448"/>
      <c r="AP744" s="448"/>
    </row>
    <row r="745" spans="1:42" ht="13">
      <c r="A745" s="462"/>
      <c r="B745" s="462"/>
      <c r="N745" s="448"/>
      <c r="O745" s="464"/>
      <c r="R745" s="448"/>
      <c r="S745" s="464"/>
      <c r="V745" s="448"/>
      <c r="W745" s="464"/>
      <c r="Z745" s="448"/>
      <c r="AA745" s="464"/>
      <c r="AD745" s="448"/>
      <c r="AE745" s="464"/>
      <c r="AH745" s="448"/>
      <c r="AI745" s="464"/>
      <c r="AL745" s="448"/>
      <c r="AP745" s="448"/>
    </row>
    <row r="746" spans="1:42" ht="13">
      <c r="A746" s="462"/>
      <c r="B746" s="462"/>
      <c r="N746" s="448"/>
      <c r="O746" s="464"/>
      <c r="R746" s="448"/>
      <c r="S746" s="464"/>
      <c r="V746" s="448"/>
      <c r="W746" s="464"/>
      <c r="Z746" s="448"/>
      <c r="AA746" s="464"/>
      <c r="AD746" s="448"/>
      <c r="AE746" s="464"/>
      <c r="AH746" s="448"/>
      <c r="AI746" s="464"/>
      <c r="AL746" s="448"/>
      <c r="AP746" s="448"/>
    </row>
    <row r="747" spans="1:42" ht="13">
      <c r="A747" s="462"/>
      <c r="B747" s="462"/>
      <c r="N747" s="448"/>
      <c r="O747" s="464"/>
      <c r="R747" s="448"/>
      <c r="S747" s="464"/>
      <c r="V747" s="448"/>
      <c r="W747" s="464"/>
      <c r="Z747" s="448"/>
      <c r="AA747" s="464"/>
      <c r="AD747" s="448"/>
      <c r="AE747" s="464"/>
      <c r="AH747" s="448"/>
      <c r="AI747" s="464"/>
      <c r="AL747" s="448"/>
      <c r="AP747" s="448"/>
    </row>
    <row r="748" spans="1:42" ht="13">
      <c r="A748" s="462"/>
      <c r="B748" s="462"/>
      <c r="N748" s="448"/>
      <c r="O748" s="464"/>
      <c r="R748" s="448"/>
      <c r="S748" s="464"/>
      <c r="V748" s="448"/>
      <c r="W748" s="464"/>
      <c r="Z748" s="448"/>
      <c r="AA748" s="464"/>
      <c r="AD748" s="448"/>
      <c r="AE748" s="464"/>
      <c r="AH748" s="448"/>
      <c r="AI748" s="464"/>
      <c r="AL748" s="448"/>
      <c r="AP748" s="448"/>
    </row>
    <row r="749" spans="1:42" ht="13">
      <c r="A749" s="462"/>
      <c r="B749" s="462"/>
      <c r="N749" s="448"/>
      <c r="O749" s="464"/>
      <c r="R749" s="448"/>
      <c r="S749" s="464"/>
      <c r="V749" s="448"/>
      <c r="W749" s="464"/>
      <c r="Z749" s="448"/>
      <c r="AA749" s="464"/>
      <c r="AD749" s="448"/>
      <c r="AE749" s="464"/>
      <c r="AH749" s="448"/>
      <c r="AI749" s="464"/>
      <c r="AL749" s="448"/>
      <c r="AP749" s="448"/>
    </row>
    <row r="750" spans="1:42" ht="13">
      <c r="A750" s="462"/>
      <c r="B750" s="462"/>
      <c r="N750" s="448"/>
      <c r="O750" s="464"/>
      <c r="R750" s="448"/>
      <c r="S750" s="464"/>
      <c r="V750" s="448"/>
      <c r="W750" s="464"/>
      <c r="Z750" s="448"/>
      <c r="AA750" s="464"/>
      <c r="AD750" s="448"/>
      <c r="AE750" s="464"/>
      <c r="AH750" s="448"/>
      <c r="AI750" s="464"/>
      <c r="AL750" s="448"/>
      <c r="AP750" s="448"/>
    </row>
    <row r="751" spans="1:42" ht="13">
      <c r="A751" s="462"/>
      <c r="B751" s="462"/>
      <c r="N751" s="448"/>
      <c r="O751" s="464"/>
      <c r="R751" s="448"/>
      <c r="S751" s="464"/>
      <c r="V751" s="448"/>
      <c r="W751" s="464"/>
      <c r="Z751" s="448"/>
      <c r="AA751" s="464"/>
      <c r="AD751" s="448"/>
      <c r="AE751" s="464"/>
      <c r="AH751" s="448"/>
      <c r="AI751" s="464"/>
      <c r="AL751" s="448"/>
      <c r="AP751" s="448"/>
    </row>
    <row r="752" spans="1:42" ht="13">
      <c r="A752" s="462"/>
      <c r="B752" s="462"/>
      <c r="N752" s="448"/>
      <c r="O752" s="464"/>
      <c r="R752" s="448"/>
      <c r="S752" s="464"/>
      <c r="V752" s="448"/>
      <c r="W752" s="464"/>
      <c r="Z752" s="448"/>
      <c r="AA752" s="464"/>
      <c r="AD752" s="448"/>
      <c r="AE752" s="464"/>
      <c r="AH752" s="448"/>
      <c r="AI752" s="464"/>
      <c r="AL752" s="448"/>
      <c r="AP752" s="448"/>
    </row>
    <row r="753" spans="1:42" ht="13">
      <c r="A753" s="462"/>
      <c r="B753" s="462"/>
      <c r="N753" s="448"/>
      <c r="O753" s="464"/>
      <c r="R753" s="448"/>
      <c r="S753" s="464"/>
      <c r="V753" s="448"/>
      <c r="W753" s="464"/>
      <c r="Z753" s="448"/>
      <c r="AA753" s="464"/>
      <c r="AD753" s="448"/>
      <c r="AE753" s="464"/>
      <c r="AH753" s="448"/>
      <c r="AI753" s="464"/>
      <c r="AL753" s="448"/>
      <c r="AP753" s="448"/>
    </row>
    <row r="754" spans="1:42" ht="13">
      <c r="A754" s="462"/>
      <c r="B754" s="462"/>
      <c r="N754" s="448"/>
      <c r="O754" s="464"/>
      <c r="R754" s="448"/>
      <c r="S754" s="464"/>
      <c r="V754" s="448"/>
      <c r="W754" s="464"/>
      <c r="Z754" s="448"/>
      <c r="AA754" s="464"/>
      <c r="AD754" s="448"/>
      <c r="AE754" s="464"/>
      <c r="AH754" s="448"/>
      <c r="AI754" s="464"/>
      <c r="AL754" s="448"/>
      <c r="AP754" s="448"/>
    </row>
    <row r="755" spans="1:42" ht="13">
      <c r="A755" s="462"/>
      <c r="B755" s="462"/>
      <c r="N755" s="448"/>
      <c r="O755" s="464"/>
      <c r="R755" s="448"/>
      <c r="S755" s="464"/>
      <c r="V755" s="448"/>
      <c r="W755" s="464"/>
      <c r="Z755" s="448"/>
      <c r="AA755" s="464"/>
      <c r="AD755" s="448"/>
      <c r="AE755" s="464"/>
      <c r="AH755" s="448"/>
      <c r="AI755" s="464"/>
      <c r="AL755" s="448"/>
      <c r="AP755" s="448"/>
    </row>
    <row r="756" spans="1:42" ht="13">
      <c r="A756" s="462"/>
      <c r="B756" s="462"/>
      <c r="N756" s="448"/>
      <c r="O756" s="464"/>
      <c r="R756" s="448"/>
      <c r="S756" s="464"/>
      <c r="V756" s="448"/>
      <c r="W756" s="464"/>
      <c r="Z756" s="448"/>
      <c r="AA756" s="464"/>
      <c r="AD756" s="448"/>
      <c r="AE756" s="464"/>
      <c r="AH756" s="448"/>
      <c r="AI756" s="464"/>
      <c r="AL756" s="448"/>
      <c r="AP756" s="448"/>
    </row>
    <row r="757" spans="1:42" ht="13">
      <c r="A757" s="462"/>
      <c r="B757" s="462"/>
      <c r="N757" s="448"/>
      <c r="O757" s="464"/>
      <c r="R757" s="448"/>
      <c r="S757" s="464"/>
      <c r="V757" s="448"/>
      <c r="W757" s="464"/>
      <c r="Z757" s="448"/>
      <c r="AA757" s="464"/>
      <c r="AD757" s="448"/>
      <c r="AE757" s="464"/>
      <c r="AH757" s="448"/>
      <c r="AI757" s="464"/>
      <c r="AL757" s="448"/>
      <c r="AP757" s="448"/>
    </row>
    <row r="758" spans="1:42" ht="13">
      <c r="A758" s="462"/>
      <c r="B758" s="462"/>
      <c r="N758" s="448"/>
      <c r="O758" s="464"/>
      <c r="R758" s="448"/>
      <c r="S758" s="464"/>
      <c r="V758" s="448"/>
      <c r="W758" s="464"/>
      <c r="Z758" s="448"/>
      <c r="AA758" s="464"/>
      <c r="AD758" s="448"/>
      <c r="AE758" s="464"/>
      <c r="AH758" s="448"/>
      <c r="AI758" s="464"/>
      <c r="AL758" s="448"/>
      <c r="AP758" s="448"/>
    </row>
    <row r="759" spans="1:42" ht="13">
      <c r="A759" s="462"/>
      <c r="B759" s="462"/>
      <c r="N759" s="448"/>
      <c r="O759" s="464"/>
      <c r="R759" s="448"/>
      <c r="S759" s="464"/>
      <c r="V759" s="448"/>
      <c r="W759" s="464"/>
      <c r="Z759" s="448"/>
      <c r="AA759" s="464"/>
      <c r="AD759" s="448"/>
      <c r="AE759" s="464"/>
      <c r="AH759" s="448"/>
      <c r="AI759" s="464"/>
      <c r="AL759" s="448"/>
      <c r="AP759" s="448"/>
    </row>
    <row r="760" spans="1:42" ht="13">
      <c r="A760" s="462"/>
      <c r="B760" s="462"/>
      <c r="N760" s="448"/>
      <c r="O760" s="464"/>
      <c r="R760" s="448"/>
      <c r="S760" s="464"/>
      <c r="V760" s="448"/>
      <c r="W760" s="464"/>
      <c r="Z760" s="448"/>
      <c r="AA760" s="464"/>
      <c r="AD760" s="448"/>
      <c r="AE760" s="464"/>
      <c r="AH760" s="448"/>
      <c r="AI760" s="464"/>
      <c r="AL760" s="448"/>
      <c r="AP760" s="448"/>
    </row>
    <row r="761" spans="1:42" ht="13">
      <c r="A761" s="462"/>
      <c r="B761" s="462"/>
      <c r="N761" s="448"/>
      <c r="O761" s="464"/>
      <c r="R761" s="448"/>
      <c r="S761" s="464"/>
      <c r="V761" s="448"/>
      <c r="W761" s="464"/>
      <c r="Z761" s="448"/>
      <c r="AA761" s="464"/>
      <c r="AD761" s="448"/>
      <c r="AE761" s="464"/>
      <c r="AH761" s="448"/>
      <c r="AI761" s="464"/>
      <c r="AL761" s="448"/>
      <c r="AP761" s="448"/>
    </row>
    <row r="762" spans="1:42" ht="13">
      <c r="A762" s="462"/>
      <c r="B762" s="462"/>
      <c r="N762" s="448"/>
      <c r="O762" s="464"/>
      <c r="R762" s="448"/>
      <c r="S762" s="464"/>
      <c r="V762" s="448"/>
      <c r="W762" s="464"/>
      <c r="Z762" s="448"/>
      <c r="AA762" s="464"/>
      <c r="AD762" s="448"/>
      <c r="AE762" s="464"/>
      <c r="AH762" s="448"/>
      <c r="AI762" s="464"/>
      <c r="AL762" s="448"/>
      <c r="AP762" s="448"/>
    </row>
    <row r="763" spans="1:42" ht="13">
      <c r="A763" s="462"/>
      <c r="B763" s="462"/>
      <c r="N763" s="448"/>
      <c r="O763" s="464"/>
      <c r="R763" s="448"/>
      <c r="S763" s="464"/>
      <c r="V763" s="448"/>
      <c r="W763" s="464"/>
      <c r="Z763" s="448"/>
      <c r="AA763" s="464"/>
      <c r="AD763" s="448"/>
      <c r="AE763" s="464"/>
      <c r="AH763" s="448"/>
      <c r="AI763" s="464"/>
      <c r="AL763" s="448"/>
      <c r="AP763" s="448"/>
    </row>
    <row r="764" spans="1:42" ht="13">
      <c r="A764" s="462"/>
      <c r="B764" s="462"/>
      <c r="N764" s="448"/>
      <c r="O764" s="464"/>
      <c r="R764" s="448"/>
      <c r="S764" s="464"/>
      <c r="V764" s="448"/>
      <c r="W764" s="464"/>
      <c r="Z764" s="448"/>
      <c r="AA764" s="464"/>
      <c r="AD764" s="448"/>
      <c r="AE764" s="464"/>
      <c r="AH764" s="448"/>
      <c r="AI764" s="464"/>
      <c r="AL764" s="448"/>
      <c r="AP764" s="448"/>
    </row>
    <row r="765" spans="1:42" ht="13">
      <c r="A765" s="462"/>
      <c r="B765" s="462"/>
      <c r="N765" s="448"/>
      <c r="O765" s="464"/>
      <c r="R765" s="448"/>
      <c r="S765" s="464"/>
      <c r="V765" s="448"/>
      <c r="W765" s="464"/>
      <c r="Z765" s="448"/>
      <c r="AA765" s="464"/>
      <c r="AD765" s="448"/>
      <c r="AE765" s="464"/>
      <c r="AH765" s="448"/>
      <c r="AI765" s="464"/>
      <c r="AL765" s="448"/>
      <c r="AP765" s="448"/>
    </row>
    <row r="766" spans="1:42" ht="13">
      <c r="A766" s="462"/>
      <c r="B766" s="462"/>
      <c r="N766" s="448"/>
      <c r="O766" s="464"/>
      <c r="R766" s="448"/>
      <c r="S766" s="464"/>
      <c r="V766" s="448"/>
      <c r="W766" s="464"/>
      <c r="Z766" s="448"/>
      <c r="AA766" s="464"/>
      <c r="AD766" s="448"/>
      <c r="AE766" s="464"/>
      <c r="AH766" s="448"/>
      <c r="AI766" s="464"/>
      <c r="AL766" s="448"/>
      <c r="AP766" s="448"/>
    </row>
    <row r="767" spans="1:42" ht="13">
      <c r="A767" s="462"/>
      <c r="B767" s="462"/>
      <c r="N767" s="448"/>
      <c r="O767" s="464"/>
      <c r="R767" s="448"/>
      <c r="S767" s="464"/>
      <c r="V767" s="448"/>
      <c r="W767" s="464"/>
      <c r="Z767" s="448"/>
      <c r="AA767" s="464"/>
      <c r="AD767" s="448"/>
      <c r="AE767" s="464"/>
      <c r="AH767" s="448"/>
      <c r="AI767" s="464"/>
      <c r="AL767" s="448"/>
      <c r="AP767" s="448"/>
    </row>
    <row r="768" spans="1:42" ht="13">
      <c r="A768" s="462"/>
      <c r="B768" s="462"/>
      <c r="N768" s="448"/>
      <c r="O768" s="464"/>
      <c r="R768" s="448"/>
      <c r="S768" s="464"/>
      <c r="V768" s="448"/>
      <c r="W768" s="464"/>
      <c r="Z768" s="448"/>
      <c r="AA768" s="464"/>
      <c r="AD768" s="448"/>
      <c r="AE768" s="464"/>
      <c r="AH768" s="448"/>
      <c r="AI768" s="464"/>
      <c r="AL768" s="448"/>
      <c r="AP768" s="448"/>
    </row>
    <row r="769" spans="1:42" ht="13">
      <c r="A769" s="462"/>
      <c r="B769" s="462"/>
      <c r="N769" s="448"/>
      <c r="O769" s="464"/>
      <c r="R769" s="448"/>
      <c r="S769" s="464"/>
      <c r="V769" s="448"/>
      <c r="W769" s="464"/>
      <c r="Z769" s="448"/>
      <c r="AA769" s="464"/>
      <c r="AD769" s="448"/>
      <c r="AE769" s="464"/>
      <c r="AH769" s="448"/>
      <c r="AI769" s="464"/>
      <c r="AL769" s="448"/>
      <c r="AP769" s="448"/>
    </row>
    <row r="770" spans="1:42" ht="13">
      <c r="A770" s="462"/>
      <c r="B770" s="462"/>
      <c r="N770" s="448"/>
      <c r="O770" s="464"/>
      <c r="R770" s="448"/>
      <c r="S770" s="464"/>
      <c r="V770" s="448"/>
      <c r="W770" s="464"/>
      <c r="Z770" s="448"/>
      <c r="AA770" s="464"/>
      <c r="AD770" s="448"/>
      <c r="AE770" s="464"/>
      <c r="AH770" s="448"/>
      <c r="AI770" s="464"/>
      <c r="AL770" s="448"/>
      <c r="AP770" s="448"/>
    </row>
    <row r="771" spans="1:42" ht="13">
      <c r="A771" s="462"/>
      <c r="B771" s="462"/>
      <c r="N771" s="448"/>
      <c r="O771" s="464"/>
      <c r="R771" s="448"/>
      <c r="S771" s="464"/>
      <c r="V771" s="448"/>
      <c r="W771" s="464"/>
      <c r="Z771" s="448"/>
      <c r="AA771" s="464"/>
      <c r="AD771" s="448"/>
      <c r="AE771" s="464"/>
      <c r="AH771" s="448"/>
      <c r="AI771" s="464"/>
      <c r="AL771" s="448"/>
      <c r="AP771" s="448"/>
    </row>
    <row r="772" spans="1:42" ht="13">
      <c r="A772" s="462"/>
      <c r="B772" s="462"/>
      <c r="N772" s="448"/>
      <c r="O772" s="464"/>
      <c r="R772" s="448"/>
      <c r="S772" s="464"/>
      <c r="V772" s="448"/>
      <c r="W772" s="464"/>
      <c r="Z772" s="448"/>
      <c r="AA772" s="464"/>
      <c r="AD772" s="448"/>
      <c r="AE772" s="464"/>
      <c r="AH772" s="448"/>
      <c r="AI772" s="464"/>
      <c r="AL772" s="448"/>
      <c r="AP772" s="448"/>
    </row>
    <row r="773" spans="1:42" ht="13">
      <c r="A773" s="462"/>
      <c r="B773" s="462"/>
      <c r="N773" s="448"/>
      <c r="O773" s="464"/>
      <c r="R773" s="448"/>
      <c r="S773" s="464"/>
      <c r="V773" s="448"/>
      <c r="W773" s="464"/>
      <c r="Z773" s="448"/>
      <c r="AA773" s="464"/>
      <c r="AD773" s="448"/>
      <c r="AE773" s="464"/>
      <c r="AH773" s="448"/>
      <c r="AI773" s="464"/>
      <c r="AL773" s="448"/>
      <c r="AP773" s="448"/>
    </row>
    <row r="774" spans="1:42" ht="13">
      <c r="A774" s="462"/>
      <c r="B774" s="462"/>
      <c r="N774" s="448"/>
      <c r="O774" s="464"/>
      <c r="R774" s="448"/>
      <c r="S774" s="464"/>
      <c r="V774" s="448"/>
      <c r="W774" s="464"/>
      <c r="Z774" s="448"/>
      <c r="AA774" s="464"/>
      <c r="AD774" s="448"/>
      <c r="AE774" s="464"/>
      <c r="AH774" s="448"/>
      <c r="AI774" s="464"/>
      <c r="AL774" s="448"/>
      <c r="AP774" s="448"/>
    </row>
    <row r="775" spans="1:42" ht="13">
      <c r="A775" s="462"/>
      <c r="B775" s="462"/>
      <c r="N775" s="448"/>
      <c r="O775" s="464"/>
      <c r="R775" s="448"/>
      <c r="S775" s="464"/>
      <c r="V775" s="448"/>
      <c r="W775" s="464"/>
      <c r="Z775" s="448"/>
      <c r="AA775" s="464"/>
      <c r="AD775" s="448"/>
      <c r="AE775" s="464"/>
      <c r="AH775" s="448"/>
      <c r="AI775" s="464"/>
      <c r="AL775" s="448"/>
      <c r="AP775" s="448"/>
    </row>
    <row r="776" spans="1:42" ht="13">
      <c r="A776" s="462"/>
      <c r="B776" s="462"/>
      <c r="N776" s="448"/>
      <c r="O776" s="464"/>
      <c r="R776" s="448"/>
      <c r="S776" s="464"/>
      <c r="V776" s="448"/>
      <c r="W776" s="464"/>
      <c r="Z776" s="448"/>
      <c r="AA776" s="464"/>
      <c r="AD776" s="448"/>
      <c r="AE776" s="464"/>
      <c r="AH776" s="448"/>
      <c r="AI776" s="464"/>
      <c r="AL776" s="448"/>
      <c r="AP776" s="448"/>
    </row>
    <row r="777" spans="1:42" ht="13">
      <c r="A777" s="462"/>
      <c r="B777" s="462"/>
      <c r="N777" s="448"/>
      <c r="O777" s="464"/>
      <c r="R777" s="448"/>
      <c r="S777" s="464"/>
      <c r="V777" s="448"/>
      <c r="W777" s="464"/>
      <c r="Z777" s="448"/>
      <c r="AA777" s="464"/>
      <c r="AD777" s="448"/>
      <c r="AE777" s="464"/>
      <c r="AH777" s="448"/>
      <c r="AI777" s="464"/>
      <c r="AL777" s="448"/>
      <c r="AP777" s="448"/>
    </row>
    <row r="778" spans="1:42" ht="13">
      <c r="A778" s="462"/>
      <c r="B778" s="462"/>
      <c r="N778" s="448"/>
      <c r="O778" s="464"/>
      <c r="R778" s="448"/>
      <c r="S778" s="464"/>
      <c r="V778" s="448"/>
      <c r="W778" s="464"/>
      <c r="Z778" s="448"/>
      <c r="AA778" s="464"/>
      <c r="AD778" s="448"/>
      <c r="AE778" s="464"/>
      <c r="AH778" s="448"/>
      <c r="AI778" s="464"/>
      <c r="AL778" s="448"/>
      <c r="AP778" s="448"/>
    </row>
    <row r="779" spans="1:42" ht="13">
      <c r="A779" s="462"/>
      <c r="B779" s="462"/>
      <c r="N779" s="448"/>
      <c r="O779" s="464"/>
      <c r="R779" s="448"/>
      <c r="S779" s="464"/>
      <c r="V779" s="448"/>
      <c r="W779" s="464"/>
      <c r="Z779" s="448"/>
      <c r="AA779" s="464"/>
      <c r="AD779" s="448"/>
      <c r="AE779" s="464"/>
      <c r="AH779" s="448"/>
      <c r="AI779" s="464"/>
      <c r="AL779" s="448"/>
      <c r="AP779" s="448"/>
    </row>
    <row r="780" spans="1:42" ht="13">
      <c r="A780" s="462"/>
      <c r="B780" s="462"/>
      <c r="N780" s="448"/>
      <c r="O780" s="464"/>
      <c r="R780" s="448"/>
      <c r="S780" s="464"/>
      <c r="V780" s="448"/>
      <c r="W780" s="464"/>
      <c r="Z780" s="448"/>
      <c r="AA780" s="464"/>
      <c r="AD780" s="448"/>
      <c r="AE780" s="464"/>
      <c r="AH780" s="448"/>
      <c r="AI780" s="464"/>
      <c r="AL780" s="448"/>
      <c r="AP780" s="448"/>
    </row>
    <row r="781" spans="1:42" ht="13">
      <c r="A781" s="462"/>
      <c r="B781" s="462"/>
      <c r="N781" s="448"/>
      <c r="O781" s="464"/>
      <c r="R781" s="448"/>
      <c r="S781" s="464"/>
      <c r="V781" s="448"/>
      <c r="W781" s="464"/>
      <c r="Z781" s="448"/>
      <c r="AA781" s="464"/>
      <c r="AD781" s="448"/>
      <c r="AE781" s="464"/>
      <c r="AH781" s="448"/>
      <c r="AI781" s="464"/>
      <c r="AL781" s="448"/>
      <c r="AP781" s="448"/>
    </row>
    <row r="782" spans="1:42" ht="13">
      <c r="A782" s="462"/>
      <c r="B782" s="462"/>
      <c r="N782" s="448"/>
      <c r="O782" s="464"/>
      <c r="R782" s="448"/>
      <c r="S782" s="464"/>
      <c r="V782" s="448"/>
      <c r="W782" s="464"/>
      <c r="Z782" s="448"/>
      <c r="AA782" s="464"/>
      <c r="AD782" s="448"/>
      <c r="AE782" s="464"/>
      <c r="AH782" s="448"/>
      <c r="AI782" s="464"/>
      <c r="AL782" s="448"/>
      <c r="AP782" s="448"/>
    </row>
    <row r="783" spans="1:42" ht="13">
      <c r="A783" s="462"/>
      <c r="B783" s="462"/>
      <c r="N783" s="448"/>
      <c r="O783" s="464"/>
      <c r="R783" s="448"/>
      <c r="S783" s="464"/>
      <c r="V783" s="448"/>
      <c r="W783" s="464"/>
      <c r="Z783" s="448"/>
      <c r="AA783" s="464"/>
      <c r="AD783" s="448"/>
      <c r="AE783" s="464"/>
      <c r="AH783" s="448"/>
      <c r="AI783" s="464"/>
      <c r="AL783" s="448"/>
      <c r="AP783" s="448"/>
    </row>
    <row r="784" spans="1:42" ht="13">
      <c r="A784" s="462"/>
      <c r="B784" s="462"/>
      <c r="N784" s="448"/>
      <c r="O784" s="464"/>
      <c r="R784" s="448"/>
      <c r="S784" s="464"/>
      <c r="V784" s="448"/>
      <c r="W784" s="464"/>
      <c r="Z784" s="448"/>
      <c r="AA784" s="464"/>
      <c r="AD784" s="448"/>
      <c r="AE784" s="464"/>
      <c r="AH784" s="448"/>
      <c r="AI784" s="464"/>
      <c r="AL784" s="448"/>
      <c r="AP784" s="448"/>
    </row>
    <row r="785" spans="1:42" ht="13">
      <c r="A785" s="462"/>
      <c r="B785" s="462"/>
      <c r="N785" s="448"/>
      <c r="O785" s="464"/>
      <c r="R785" s="448"/>
      <c r="S785" s="464"/>
      <c r="V785" s="448"/>
      <c r="W785" s="464"/>
      <c r="Z785" s="448"/>
      <c r="AA785" s="464"/>
      <c r="AD785" s="448"/>
      <c r="AE785" s="464"/>
      <c r="AH785" s="448"/>
      <c r="AI785" s="464"/>
      <c r="AL785" s="448"/>
      <c r="AP785" s="448"/>
    </row>
    <row r="786" spans="1:42" ht="13">
      <c r="A786" s="462"/>
      <c r="B786" s="462"/>
      <c r="N786" s="448"/>
      <c r="O786" s="464"/>
      <c r="R786" s="448"/>
      <c r="S786" s="464"/>
      <c r="V786" s="448"/>
      <c r="W786" s="464"/>
      <c r="Z786" s="448"/>
      <c r="AA786" s="464"/>
      <c r="AD786" s="448"/>
      <c r="AE786" s="464"/>
      <c r="AH786" s="448"/>
      <c r="AI786" s="464"/>
      <c r="AL786" s="448"/>
      <c r="AP786" s="448"/>
    </row>
    <row r="787" spans="1:42" ht="13">
      <c r="A787" s="462"/>
      <c r="B787" s="462"/>
      <c r="N787" s="448"/>
      <c r="O787" s="464"/>
      <c r="R787" s="448"/>
      <c r="S787" s="464"/>
      <c r="V787" s="448"/>
      <c r="W787" s="464"/>
      <c r="Z787" s="448"/>
      <c r="AA787" s="464"/>
      <c r="AD787" s="448"/>
      <c r="AE787" s="464"/>
      <c r="AH787" s="448"/>
      <c r="AI787" s="464"/>
      <c r="AL787" s="448"/>
      <c r="AP787" s="448"/>
    </row>
    <row r="788" spans="1:42" ht="13">
      <c r="A788" s="462"/>
      <c r="B788" s="462"/>
      <c r="N788" s="448"/>
      <c r="O788" s="464"/>
      <c r="R788" s="448"/>
      <c r="S788" s="464"/>
      <c r="V788" s="448"/>
      <c r="W788" s="464"/>
      <c r="Z788" s="448"/>
      <c r="AA788" s="464"/>
      <c r="AD788" s="448"/>
      <c r="AE788" s="464"/>
      <c r="AH788" s="448"/>
      <c r="AI788" s="464"/>
      <c r="AL788" s="448"/>
      <c r="AP788" s="448"/>
    </row>
    <row r="789" spans="1:42" ht="13">
      <c r="A789" s="462"/>
      <c r="B789" s="462"/>
      <c r="N789" s="448"/>
      <c r="O789" s="464"/>
      <c r="R789" s="448"/>
      <c r="S789" s="464"/>
      <c r="V789" s="448"/>
      <c r="W789" s="464"/>
      <c r="Z789" s="448"/>
      <c r="AA789" s="464"/>
      <c r="AD789" s="448"/>
      <c r="AE789" s="464"/>
      <c r="AH789" s="448"/>
      <c r="AI789" s="464"/>
      <c r="AL789" s="448"/>
      <c r="AP789" s="448"/>
    </row>
    <row r="790" spans="1:42" ht="13">
      <c r="A790" s="462"/>
      <c r="B790" s="462"/>
      <c r="N790" s="448"/>
      <c r="O790" s="464"/>
      <c r="R790" s="448"/>
      <c r="S790" s="464"/>
      <c r="V790" s="448"/>
      <c r="W790" s="464"/>
      <c r="Z790" s="448"/>
      <c r="AA790" s="464"/>
      <c r="AD790" s="448"/>
      <c r="AE790" s="464"/>
      <c r="AH790" s="448"/>
      <c r="AI790" s="464"/>
      <c r="AL790" s="448"/>
      <c r="AP790" s="448"/>
    </row>
    <row r="791" spans="1:42" ht="13">
      <c r="A791" s="462"/>
      <c r="B791" s="462"/>
      <c r="N791" s="448"/>
      <c r="O791" s="464"/>
      <c r="R791" s="448"/>
      <c r="S791" s="464"/>
      <c r="V791" s="448"/>
      <c r="W791" s="464"/>
      <c r="Z791" s="448"/>
      <c r="AA791" s="464"/>
      <c r="AD791" s="448"/>
      <c r="AE791" s="464"/>
      <c r="AH791" s="448"/>
      <c r="AI791" s="464"/>
      <c r="AL791" s="448"/>
      <c r="AP791" s="448"/>
    </row>
    <row r="792" spans="1:42" ht="13">
      <c r="A792" s="462"/>
      <c r="B792" s="462"/>
      <c r="N792" s="448"/>
      <c r="O792" s="464"/>
      <c r="R792" s="448"/>
      <c r="S792" s="464"/>
      <c r="V792" s="448"/>
      <c r="W792" s="464"/>
      <c r="Z792" s="448"/>
      <c r="AA792" s="464"/>
      <c r="AD792" s="448"/>
      <c r="AE792" s="464"/>
      <c r="AH792" s="448"/>
      <c r="AI792" s="464"/>
      <c r="AL792" s="448"/>
      <c r="AP792" s="448"/>
    </row>
    <row r="793" spans="1:42" ht="13">
      <c r="A793" s="462"/>
      <c r="B793" s="462"/>
      <c r="N793" s="448"/>
      <c r="O793" s="464"/>
      <c r="R793" s="448"/>
      <c r="S793" s="464"/>
      <c r="V793" s="448"/>
      <c r="W793" s="464"/>
      <c r="Z793" s="448"/>
      <c r="AA793" s="464"/>
      <c r="AD793" s="448"/>
      <c r="AE793" s="464"/>
      <c r="AH793" s="448"/>
      <c r="AI793" s="464"/>
      <c r="AL793" s="448"/>
      <c r="AP793" s="448"/>
    </row>
    <row r="794" spans="1:42" ht="13">
      <c r="A794" s="462"/>
      <c r="B794" s="462"/>
      <c r="N794" s="448"/>
      <c r="O794" s="464"/>
      <c r="R794" s="448"/>
      <c r="S794" s="464"/>
      <c r="V794" s="448"/>
      <c r="W794" s="464"/>
      <c r="Z794" s="448"/>
      <c r="AA794" s="464"/>
      <c r="AD794" s="448"/>
      <c r="AE794" s="464"/>
      <c r="AH794" s="448"/>
      <c r="AI794" s="464"/>
      <c r="AL794" s="448"/>
      <c r="AP794" s="448"/>
    </row>
    <row r="795" spans="1:42" ht="13">
      <c r="A795" s="462"/>
      <c r="B795" s="462"/>
      <c r="N795" s="448"/>
      <c r="O795" s="464"/>
      <c r="R795" s="448"/>
      <c r="S795" s="464"/>
      <c r="V795" s="448"/>
      <c r="W795" s="464"/>
      <c r="Z795" s="448"/>
      <c r="AA795" s="464"/>
      <c r="AD795" s="448"/>
      <c r="AE795" s="464"/>
      <c r="AH795" s="448"/>
      <c r="AI795" s="464"/>
      <c r="AL795" s="448"/>
      <c r="AP795" s="448"/>
    </row>
    <row r="796" spans="1:42" ht="13">
      <c r="A796" s="462"/>
      <c r="B796" s="462"/>
      <c r="N796" s="448"/>
      <c r="O796" s="464"/>
      <c r="R796" s="448"/>
      <c r="S796" s="464"/>
      <c r="V796" s="448"/>
      <c r="W796" s="464"/>
      <c r="Z796" s="448"/>
      <c r="AA796" s="464"/>
      <c r="AD796" s="448"/>
      <c r="AE796" s="464"/>
      <c r="AH796" s="448"/>
      <c r="AI796" s="464"/>
      <c r="AL796" s="448"/>
      <c r="AP796" s="448"/>
    </row>
    <row r="797" spans="1:42" ht="13">
      <c r="A797" s="462"/>
      <c r="B797" s="462"/>
      <c r="N797" s="448"/>
      <c r="O797" s="464"/>
      <c r="R797" s="448"/>
      <c r="S797" s="464"/>
      <c r="V797" s="448"/>
      <c r="W797" s="464"/>
      <c r="Z797" s="448"/>
      <c r="AA797" s="464"/>
      <c r="AD797" s="448"/>
      <c r="AE797" s="464"/>
      <c r="AH797" s="448"/>
      <c r="AI797" s="464"/>
      <c r="AL797" s="448"/>
      <c r="AP797" s="448"/>
    </row>
    <row r="798" spans="1:42" ht="13">
      <c r="A798" s="462"/>
      <c r="B798" s="462"/>
      <c r="N798" s="448"/>
      <c r="O798" s="464"/>
      <c r="R798" s="448"/>
      <c r="S798" s="464"/>
      <c r="V798" s="448"/>
      <c r="W798" s="464"/>
      <c r="Z798" s="448"/>
      <c r="AA798" s="464"/>
      <c r="AD798" s="448"/>
      <c r="AE798" s="464"/>
      <c r="AH798" s="448"/>
      <c r="AI798" s="464"/>
      <c r="AL798" s="448"/>
      <c r="AP798" s="448"/>
    </row>
    <row r="799" spans="1:42" ht="13">
      <c r="A799" s="462"/>
      <c r="B799" s="462"/>
      <c r="N799" s="448"/>
      <c r="O799" s="464"/>
      <c r="R799" s="448"/>
      <c r="S799" s="464"/>
      <c r="V799" s="448"/>
      <c r="W799" s="464"/>
      <c r="Z799" s="448"/>
      <c r="AA799" s="464"/>
      <c r="AD799" s="448"/>
      <c r="AE799" s="464"/>
      <c r="AH799" s="448"/>
      <c r="AI799" s="464"/>
      <c r="AL799" s="448"/>
      <c r="AP799" s="448"/>
    </row>
    <row r="800" spans="1:42" ht="13">
      <c r="A800" s="462"/>
      <c r="B800" s="462"/>
      <c r="N800" s="448"/>
      <c r="O800" s="464"/>
      <c r="R800" s="448"/>
      <c r="S800" s="464"/>
      <c r="V800" s="448"/>
      <c r="W800" s="464"/>
      <c r="Z800" s="448"/>
      <c r="AA800" s="464"/>
      <c r="AD800" s="448"/>
      <c r="AE800" s="464"/>
      <c r="AH800" s="448"/>
      <c r="AI800" s="464"/>
      <c r="AL800" s="448"/>
      <c r="AP800" s="448"/>
    </row>
    <row r="801" spans="1:42" ht="13">
      <c r="A801" s="462"/>
      <c r="B801" s="462"/>
      <c r="N801" s="448"/>
      <c r="O801" s="464"/>
      <c r="R801" s="448"/>
      <c r="S801" s="464"/>
      <c r="V801" s="448"/>
      <c r="W801" s="464"/>
      <c r="Z801" s="448"/>
      <c r="AA801" s="464"/>
      <c r="AD801" s="448"/>
      <c r="AE801" s="464"/>
      <c r="AH801" s="448"/>
      <c r="AI801" s="464"/>
      <c r="AL801" s="448"/>
      <c r="AP801" s="448"/>
    </row>
    <row r="802" spans="1:42" ht="13">
      <c r="A802" s="462"/>
      <c r="B802" s="462"/>
      <c r="N802" s="448"/>
      <c r="O802" s="464"/>
      <c r="R802" s="448"/>
      <c r="S802" s="464"/>
      <c r="V802" s="448"/>
      <c r="W802" s="464"/>
      <c r="Z802" s="448"/>
      <c r="AA802" s="464"/>
      <c r="AD802" s="448"/>
      <c r="AE802" s="464"/>
      <c r="AH802" s="448"/>
      <c r="AI802" s="464"/>
      <c r="AL802" s="448"/>
      <c r="AP802" s="448"/>
    </row>
    <row r="803" spans="1:42" ht="13">
      <c r="A803" s="462"/>
      <c r="B803" s="462"/>
      <c r="N803" s="448"/>
      <c r="O803" s="464"/>
      <c r="R803" s="448"/>
      <c r="S803" s="464"/>
      <c r="V803" s="448"/>
      <c r="W803" s="464"/>
      <c r="Z803" s="448"/>
      <c r="AA803" s="464"/>
      <c r="AD803" s="448"/>
      <c r="AE803" s="464"/>
      <c r="AH803" s="448"/>
      <c r="AI803" s="464"/>
      <c r="AL803" s="448"/>
      <c r="AP803" s="448"/>
    </row>
    <row r="804" spans="1:42" ht="13">
      <c r="A804" s="462"/>
      <c r="B804" s="462"/>
      <c r="N804" s="448"/>
      <c r="O804" s="464"/>
      <c r="R804" s="448"/>
      <c r="S804" s="464"/>
      <c r="V804" s="448"/>
      <c r="W804" s="464"/>
      <c r="Z804" s="448"/>
      <c r="AA804" s="464"/>
      <c r="AD804" s="448"/>
      <c r="AE804" s="464"/>
      <c r="AH804" s="448"/>
      <c r="AI804" s="464"/>
      <c r="AL804" s="448"/>
      <c r="AP804" s="448"/>
    </row>
    <row r="805" spans="1:42" ht="13">
      <c r="A805" s="462"/>
      <c r="B805" s="462"/>
      <c r="N805" s="448"/>
      <c r="O805" s="464"/>
      <c r="R805" s="448"/>
      <c r="S805" s="464"/>
      <c r="V805" s="448"/>
      <c r="W805" s="464"/>
      <c r="Z805" s="448"/>
      <c r="AA805" s="464"/>
      <c r="AD805" s="448"/>
      <c r="AE805" s="464"/>
      <c r="AH805" s="448"/>
      <c r="AI805" s="464"/>
      <c r="AL805" s="448"/>
      <c r="AP805" s="448"/>
    </row>
    <row r="806" spans="1:42" ht="13">
      <c r="A806" s="462"/>
      <c r="B806" s="462"/>
      <c r="N806" s="448"/>
      <c r="O806" s="464"/>
      <c r="R806" s="448"/>
      <c r="S806" s="464"/>
      <c r="V806" s="448"/>
      <c r="W806" s="464"/>
      <c r="Z806" s="448"/>
      <c r="AA806" s="464"/>
      <c r="AD806" s="448"/>
      <c r="AE806" s="464"/>
      <c r="AH806" s="448"/>
      <c r="AI806" s="464"/>
      <c r="AL806" s="448"/>
      <c r="AP806" s="448"/>
    </row>
    <row r="807" spans="1:42" ht="13">
      <c r="A807" s="462"/>
      <c r="B807" s="462"/>
      <c r="N807" s="448"/>
      <c r="O807" s="464"/>
      <c r="R807" s="448"/>
      <c r="S807" s="464"/>
      <c r="V807" s="448"/>
      <c r="W807" s="464"/>
      <c r="Z807" s="448"/>
      <c r="AA807" s="464"/>
      <c r="AD807" s="448"/>
      <c r="AE807" s="464"/>
      <c r="AH807" s="448"/>
      <c r="AI807" s="464"/>
      <c r="AL807" s="448"/>
      <c r="AP807" s="448"/>
    </row>
    <row r="808" spans="1:42" ht="13">
      <c r="A808" s="462"/>
      <c r="B808" s="462"/>
      <c r="N808" s="448"/>
      <c r="O808" s="464"/>
      <c r="R808" s="448"/>
      <c r="S808" s="464"/>
      <c r="V808" s="448"/>
      <c r="W808" s="464"/>
      <c r="Z808" s="448"/>
      <c r="AA808" s="464"/>
      <c r="AD808" s="448"/>
      <c r="AE808" s="464"/>
      <c r="AH808" s="448"/>
      <c r="AI808" s="464"/>
      <c r="AL808" s="448"/>
      <c r="AP808" s="448"/>
    </row>
    <row r="809" spans="1:42" ht="13">
      <c r="A809" s="462"/>
      <c r="B809" s="462"/>
      <c r="N809" s="448"/>
      <c r="O809" s="464"/>
      <c r="R809" s="448"/>
      <c r="S809" s="464"/>
      <c r="V809" s="448"/>
      <c r="W809" s="464"/>
      <c r="Z809" s="448"/>
      <c r="AA809" s="464"/>
      <c r="AD809" s="448"/>
      <c r="AE809" s="464"/>
      <c r="AH809" s="448"/>
      <c r="AI809" s="464"/>
      <c r="AL809" s="448"/>
      <c r="AP809" s="448"/>
    </row>
    <row r="810" spans="1:42" ht="13">
      <c r="A810" s="462"/>
      <c r="B810" s="462"/>
      <c r="N810" s="448"/>
      <c r="O810" s="464"/>
      <c r="R810" s="448"/>
      <c r="S810" s="464"/>
      <c r="V810" s="448"/>
      <c r="W810" s="464"/>
      <c r="Z810" s="448"/>
      <c r="AA810" s="464"/>
      <c r="AD810" s="448"/>
      <c r="AE810" s="464"/>
      <c r="AH810" s="448"/>
      <c r="AI810" s="464"/>
      <c r="AL810" s="448"/>
      <c r="AP810" s="448"/>
    </row>
    <row r="811" spans="1:42" ht="13">
      <c r="A811" s="462"/>
      <c r="B811" s="462"/>
      <c r="N811" s="448"/>
      <c r="O811" s="464"/>
      <c r="R811" s="448"/>
      <c r="S811" s="464"/>
      <c r="V811" s="448"/>
      <c r="W811" s="464"/>
      <c r="Z811" s="448"/>
      <c r="AA811" s="464"/>
      <c r="AD811" s="448"/>
      <c r="AE811" s="464"/>
      <c r="AH811" s="448"/>
      <c r="AI811" s="464"/>
      <c r="AL811" s="448"/>
      <c r="AP811" s="448"/>
    </row>
    <row r="812" spans="1:42" ht="13">
      <c r="A812" s="462"/>
      <c r="B812" s="462"/>
      <c r="N812" s="448"/>
      <c r="O812" s="464"/>
      <c r="R812" s="448"/>
      <c r="S812" s="464"/>
      <c r="V812" s="448"/>
      <c r="W812" s="464"/>
      <c r="Z812" s="448"/>
      <c r="AA812" s="464"/>
      <c r="AD812" s="448"/>
      <c r="AE812" s="464"/>
      <c r="AH812" s="448"/>
      <c r="AI812" s="464"/>
      <c r="AL812" s="448"/>
      <c r="AP812" s="448"/>
    </row>
    <row r="813" spans="1:42" ht="13">
      <c r="A813" s="462"/>
      <c r="B813" s="462"/>
      <c r="N813" s="448"/>
      <c r="O813" s="464"/>
      <c r="R813" s="448"/>
      <c r="S813" s="464"/>
      <c r="V813" s="448"/>
      <c r="W813" s="464"/>
      <c r="Z813" s="448"/>
      <c r="AA813" s="464"/>
      <c r="AD813" s="448"/>
      <c r="AE813" s="464"/>
      <c r="AH813" s="448"/>
      <c r="AI813" s="464"/>
      <c r="AL813" s="448"/>
      <c r="AP813" s="448"/>
    </row>
    <row r="814" spans="1:42" ht="13">
      <c r="A814" s="462"/>
      <c r="B814" s="462"/>
      <c r="N814" s="448"/>
      <c r="O814" s="464"/>
      <c r="R814" s="448"/>
      <c r="S814" s="464"/>
      <c r="V814" s="448"/>
      <c r="W814" s="464"/>
      <c r="Z814" s="448"/>
      <c r="AA814" s="464"/>
      <c r="AD814" s="448"/>
      <c r="AE814" s="464"/>
      <c r="AH814" s="448"/>
      <c r="AI814" s="464"/>
      <c r="AL814" s="448"/>
      <c r="AP814" s="448"/>
    </row>
    <row r="815" spans="1:42" ht="13">
      <c r="A815" s="462"/>
      <c r="B815" s="462"/>
      <c r="N815" s="448"/>
      <c r="O815" s="464"/>
      <c r="R815" s="448"/>
      <c r="S815" s="464"/>
      <c r="V815" s="448"/>
      <c r="W815" s="464"/>
      <c r="Z815" s="448"/>
      <c r="AA815" s="464"/>
      <c r="AD815" s="448"/>
      <c r="AE815" s="464"/>
      <c r="AH815" s="448"/>
      <c r="AI815" s="464"/>
      <c r="AL815" s="448"/>
      <c r="AP815" s="448"/>
    </row>
    <row r="816" spans="1:42" ht="13">
      <c r="A816" s="462"/>
      <c r="B816" s="462"/>
      <c r="N816" s="448"/>
      <c r="O816" s="464"/>
      <c r="R816" s="448"/>
      <c r="S816" s="464"/>
      <c r="V816" s="448"/>
      <c r="W816" s="464"/>
      <c r="Z816" s="448"/>
      <c r="AA816" s="464"/>
      <c r="AD816" s="448"/>
      <c r="AE816" s="464"/>
      <c r="AH816" s="448"/>
      <c r="AI816" s="464"/>
      <c r="AL816" s="448"/>
      <c r="AP816" s="448"/>
    </row>
    <row r="817" spans="1:42" ht="13">
      <c r="A817" s="462"/>
      <c r="B817" s="462"/>
      <c r="N817" s="448"/>
      <c r="O817" s="464"/>
      <c r="R817" s="448"/>
      <c r="S817" s="464"/>
      <c r="V817" s="448"/>
      <c r="W817" s="464"/>
      <c r="Z817" s="448"/>
      <c r="AA817" s="464"/>
      <c r="AD817" s="448"/>
      <c r="AE817" s="464"/>
      <c r="AH817" s="448"/>
      <c r="AI817" s="464"/>
      <c r="AL817" s="448"/>
      <c r="AP817" s="448"/>
    </row>
    <row r="818" spans="1:42" ht="13">
      <c r="A818" s="462"/>
      <c r="B818" s="462"/>
      <c r="N818" s="448"/>
      <c r="O818" s="464"/>
      <c r="R818" s="448"/>
      <c r="S818" s="464"/>
      <c r="V818" s="448"/>
      <c r="W818" s="464"/>
      <c r="Z818" s="448"/>
      <c r="AA818" s="464"/>
      <c r="AD818" s="448"/>
      <c r="AE818" s="464"/>
      <c r="AH818" s="448"/>
      <c r="AI818" s="464"/>
      <c r="AL818" s="448"/>
      <c r="AP818" s="448"/>
    </row>
    <row r="819" spans="1:42" ht="13">
      <c r="A819" s="462"/>
      <c r="B819" s="462"/>
      <c r="N819" s="448"/>
      <c r="O819" s="464"/>
      <c r="R819" s="448"/>
      <c r="S819" s="464"/>
      <c r="V819" s="448"/>
      <c r="W819" s="464"/>
      <c r="Z819" s="448"/>
      <c r="AA819" s="464"/>
      <c r="AD819" s="448"/>
      <c r="AE819" s="464"/>
      <c r="AH819" s="448"/>
      <c r="AI819" s="464"/>
      <c r="AL819" s="448"/>
      <c r="AP819" s="448"/>
    </row>
    <row r="820" spans="1:42" ht="13">
      <c r="A820" s="462"/>
      <c r="B820" s="462"/>
      <c r="N820" s="448"/>
      <c r="O820" s="464"/>
      <c r="R820" s="448"/>
      <c r="S820" s="464"/>
      <c r="V820" s="448"/>
      <c r="W820" s="464"/>
      <c r="Z820" s="448"/>
      <c r="AA820" s="464"/>
      <c r="AD820" s="448"/>
      <c r="AE820" s="464"/>
      <c r="AH820" s="448"/>
      <c r="AI820" s="464"/>
      <c r="AL820" s="448"/>
      <c r="AP820" s="448"/>
    </row>
    <row r="821" spans="1:42" ht="13">
      <c r="A821" s="462"/>
      <c r="B821" s="462"/>
      <c r="N821" s="448"/>
      <c r="O821" s="464"/>
      <c r="R821" s="448"/>
      <c r="S821" s="464"/>
      <c r="V821" s="448"/>
      <c r="W821" s="464"/>
      <c r="Z821" s="448"/>
      <c r="AA821" s="464"/>
      <c r="AD821" s="448"/>
      <c r="AE821" s="464"/>
      <c r="AH821" s="448"/>
      <c r="AI821" s="464"/>
      <c r="AL821" s="448"/>
      <c r="AP821" s="448"/>
    </row>
    <row r="822" spans="1:42" ht="13">
      <c r="A822" s="462"/>
      <c r="B822" s="462"/>
      <c r="N822" s="448"/>
      <c r="O822" s="464"/>
      <c r="R822" s="448"/>
      <c r="S822" s="464"/>
      <c r="V822" s="448"/>
      <c r="W822" s="464"/>
      <c r="Z822" s="448"/>
      <c r="AA822" s="464"/>
      <c r="AD822" s="448"/>
      <c r="AE822" s="464"/>
      <c r="AH822" s="448"/>
      <c r="AI822" s="464"/>
      <c r="AL822" s="448"/>
      <c r="AP822" s="448"/>
    </row>
    <row r="823" spans="1:42" ht="13">
      <c r="A823" s="462"/>
      <c r="B823" s="462"/>
      <c r="N823" s="448"/>
      <c r="O823" s="464"/>
      <c r="R823" s="448"/>
      <c r="S823" s="464"/>
      <c r="V823" s="448"/>
      <c r="W823" s="464"/>
      <c r="Z823" s="448"/>
      <c r="AA823" s="464"/>
      <c r="AD823" s="448"/>
      <c r="AE823" s="464"/>
      <c r="AH823" s="448"/>
      <c r="AI823" s="464"/>
      <c r="AL823" s="448"/>
      <c r="AP823" s="448"/>
    </row>
    <row r="824" spans="1:42" ht="13">
      <c r="A824" s="462"/>
      <c r="B824" s="462"/>
      <c r="N824" s="448"/>
      <c r="O824" s="464"/>
      <c r="R824" s="448"/>
      <c r="S824" s="464"/>
      <c r="V824" s="448"/>
      <c r="W824" s="464"/>
      <c r="Z824" s="448"/>
      <c r="AA824" s="464"/>
      <c r="AD824" s="448"/>
      <c r="AE824" s="464"/>
      <c r="AH824" s="448"/>
      <c r="AI824" s="464"/>
      <c r="AL824" s="448"/>
      <c r="AP824" s="448"/>
    </row>
    <row r="825" spans="1:42" ht="13">
      <c r="A825" s="462"/>
      <c r="B825" s="462"/>
      <c r="N825" s="448"/>
      <c r="O825" s="464"/>
      <c r="R825" s="448"/>
      <c r="S825" s="464"/>
      <c r="V825" s="448"/>
      <c r="W825" s="464"/>
      <c r="Z825" s="448"/>
      <c r="AA825" s="464"/>
      <c r="AD825" s="448"/>
      <c r="AE825" s="464"/>
      <c r="AH825" s="448"/>
      <c r="AI825" s="464"/>
      <c r="AL825" s="448"/>
      <c r="AP825" s="448"/>
    </row>
    <row r="826" spans="1:42" ht="13">
      <c r="A826" s="462"/>
      <c r="B826" s="462"/>
      <c r="N826" s="448"/>
      <c r="O826" s="464"/>
      <c r="R826" s="448"/>
      <c r="S826" s="464"/>
      <c r="V826" s="448"/>
      <c r="W826" s="464"/>
      <c r="Z826" s="448"/>
      <c r="AA826" s="464"/>
      <c r="AD826" s="448"/>
      <c r="AE826" s="464"/>
      <c r="AH826" s="448"/>
      <c r="AI826" s="464"/>
      <c r="AL826" s="448"/>
      <c r="AP826" s="448"/>
    </row>
    <row r="827" spans="1:42" ht="13">
      <c r="A827" s="462"/>
      <c r="B827" s="462"/>
      <c r="N827" s="448"/>
      <c r="O827" s="464"/>
      <c r="R827" s="448"/>
      <c r="S827" s="464"/>
      <c r="V827" s="448"/>
      <c r="W827" s="464"/>
      <c r="Z827" s="448"/>
      <c r="AA827" s="464"/>
      <c r="AD827" s="448"/>
      <c r="AE827" s="464"/>
      <c r="AH827" s="448"/>
      <c r="AI827" s="464"/>
      <c r="AL827" s="448"/>
      <c r="AP827" s="448"/>
    </row>
    <row r="828" spans="1:42" ht="13">
      <c r="A828" s="462"/>
      <c r="B828" s="462"/>
      <c r="N828" s="448"/>
      <c r="O828" s="464"/>
      <c r="R828" s="448"/>
      <c r="S828" s="464"/>
      <c r="V828" s="448"/>
      <c r="W828" s="464"/>
      <c r="Z828" s="448"/>
      <c r="AA828" s="464"/>
      <c r="AD828" s="448"/>
      <c r="AE828" s="464"/>
      <c r="AH828" s="448"/>
      <c r="AI828" s="464"/>
      <c r="AL828" s="448"/>
      <c r="AP828" s="448"/>
    </row>
    <row r="829" spans="1:42" ht="13">
      <c r="A829" s="462"/>
      <c r="B829" s="462"/>
      <c r="N829" s="448"/>
      <c r="O829" s="464"/>
      <c r="R829" s="448"/>
      <c r="S829" s="464"/>
      <c r="V829" s="448"/>
      <c r="W829" s="464"/>
      <c r="Z829" s="448"/>
      <c r="AA829" s="464"/>
      <c r="AD829" s="448"/>
      <c r="AE829" s="464"/>
      <c r="AH829" s="448"/>
      <c r="AI829" s="464"/>
      <c r="AL829" s="448"/>
      <c r="AP829" s="448"/>
    </row>
    <row r="830" spans="1:42" ht="13">
      <c r="A830" s="462"/>
      <c r="B830" s="462"/>
      <c r="N830" s="448"/>
      <c r="O830" s="464"/>
      <c r="R830" s="448"/>
      <c r="S830" s="464"/>
      <c r="V830" s="448"/>
      <c r="W830" s="464"/>
      <c r="Z830" s="448"/>
      <c r="AA830" s="464"/>
      <c r="AD830" s="448"/>
      <c r="AE830" s="464"/>
      <c r="AH830" s="448"/>
      <c r="AI830" s="464"/>
      <c r="AL830" s="448"/>
      <c r="AP830" s="448"/>
    </row>
    <row r="831" spans="1:42" ht="13">
      <c r="A831" s="462"/>
      <c r="B831" s="462"/>
      <c r="N831" s="448"/>
      <c r="O831" s="464"/>
      <c r="R831" s="448"/>
      <c r="S831" s="464"/>
      <c r="V831" s="448"/>
      <c r="W831" s="464"/>
      <c r="Z831" s="448"/>
      <c r="AA831" s="464"/>
      <c r="AD831" s="448"/>
      <c r="AE831" s="464"/>
      <c r="AH831" s="448"/>
      <c r="AI831" s="464"/>
      <c r="AL831" s="448"/>
      <c r="AP831" s="448"/>
    </row>
    <row r="832" spans="1:42" ht="13">
      <c r="A832" s="462"/>
      <c r="B832" s="462"/>
      <c r="N832" s="448"/>
      <c r="O832" s="464"/>
      <c r="R832" s="448"/>
      <c r="S832" s="464"/>
      <c r="V832" s="448"/>
      <c r="W832" s="464"/>
      <c r="Z832" s="448"/>
      <c r="AA832" s="464"/>
      <c r="AD832" s="448"/>
      <c r="AE832" s="464"/>
      <c r="AH832" s="448"/>
      <c r="AI832" s="464"/>
      <c r="AL832" s="448"/>
      <c r="AP832" s="448"/>
    </row>
    <row r="833" spans="1:42" ht="13">
      <c r="A833" s="462"/>
      <c r="B833" s="462"/>
      <c r="N833" s="448"/>
      <c r="O833" s="464"/>
      <c r="R833" s="448"/>
      <c r="S833" s="464"/>
      <c r="V833" s="448"/>
      <c r="W833" s="464"/>
      <c r="Z833" s="448"/>
      <c r="AA833" s="464"/>
      <c r="AD833" s="448"/>
      <c r="AE833" s="464"/>
      <c r="AH833" s="448"/>
      <c r="AI833" s="464"/>
      <c r="AL833" s="448"/>
      <c r="AP833" s="448"/>
    </row>
    <row r="834" spans="1:42" ht="13">
      <c r="A834" s="462"/>
      <c r="B834" s="462"/>
      <c r="N834" s="448"/>
      <c r="O834" s="464"/>
      <c r="R834" s="448"/>
      <c r="S834" s="464"/>
      <c r="V834" s="448"/>
      <c r="W834" s="464"/>
      <c r="Z834" s="448"/>
      <c r="AA834" s="464"/>
      <c r="AD834" s="448"/>
      <c r="AE834" s="464"/>
      <c r="AH834" s="448"/>
      <c r="AI834" s="464"/>
      <c r="AL834" s="448"/>
      <c r="AP834" s="448"/>
    </row>
    <row r="835" spans="1:42" ht="13">
      <c r="A835" s="462"/>
      <c r="B835" s="462"/>
      <c r="N835" s="448"/>
      <c r="O835" s="464"/>
      <c r="R835" s="448"/>
      <c r="S835" s="464"/>
      <c r="V835" s="448"/>
      <c r="W835" s="464"/>
      <c r="Z835" s="448"/>
      <c r="AA835" s="464"/>
      <c r="AD835" s="448"/>
      <c r="AE835" s="464"/>
      <c r="AH835" s="448"/>
      <c r="AI835" s="464"/>
      <c r="AL835" s="448"/>
      <c r="AP835" s="448"/>
    </row>
    <row r="836" spans="1:42" ht="13">
      <c r="A836" s="462"/>
      <c r="B836" s="462"/>
      <c r="N836" s="448"/>
      <c r="O836" s="464"/>
      <c r="R836" s="448"/>
      <c r="S836" s="464"/>
      <c r="V836" s="448"/>
      <c r="W836" s="464"/>
      <c r="Z836" s="448"/>
      <c r="AA836" s="464"/>
      <c r="AD836" s="448"/>
      <c r="AE836" s="464"/>
      <c r="AH836" s="448"/>
      <c r="AI836" s="464"/>
      <c r="AL836" s="448"/>
      <c r="AP836" s="448"/>
    </row>
    <row r="837" spans="1:42" ht="13">
      <c r="A837" s="462"/>
      <c r="B837" s="462"/>
      <c r="N837" s="448"/>
      <c r="O837" s="464"/>
      <c r="R837" s="448"/>
      <c r="S837" s="464"/>
      <c r="V837" s="448"/>
      <c r="W837" s="464"/>
      <c r="Z837" s="448"/>
      <c r="AA837" s="464"/>
      <c r="AD837" s="448"/>
      <c r="AE837" s="464"/>
      <c r="AH837" s="448"/>
      <c r="AI837" s="464"/>
      <c r="AL837" s="448"/>
      <c r="AP837" s="448"/>
    </row>
    <row r="838" spans="1:42" ht="13">
      <c r="A838" s="462"/>
      <c r="B838" s="462"/>
      <c r="N838" s="448"/>
      <c r="O838" s="464"/>
      <c r="R838" s="448"/>
      <c r="S838" s="464"/>
      <c r="V838" s="448"/>
      <c r="W838" s="464"/>
      <c r="Z838" s="448"/>
      <c r="AA838" s="464"/>
      <c r="AD838" s="448"/>
      <c r="AE838" s="464"/>
      <c r="AH838" s="448"/>
      <c r="AI838" s="464"/>
      <c r="AL838" s="448"/>
      <c r="AP838" s="448"/>
    </row>
    <row r="839" spans="1:42" ht="13">
      <c r="A839" s="462"/>
      <c r="B839" s="462"/>
      <c r="N839" s="448"/>
      <c r="O839" s="464"/>
      <c r="R839" s="448"/>
      <c r="S839" s="464"/>
      <c r="V839" s="448"/>
      <c r="W839" s="464"/>
      <c r="Z839" s="448"/>
      <c r="AA839" s="464"/>
      <c r="AD839" s="448"/>
      <c r="AE839" s="464"/>
      <c r="AH839" s="448"/>
      <c r="AI839" s="464"/>
      <c r="AL839" s="448"/>
      <c r="AP839" s="448"/>
    </row>
    <row r="840" spans="1:42" ht="13">
      <c r="A840" s="462"/>
      <c r="B840" s="462"/>
      <c r="N840" s="448"/>
      <c r="O840" s="464"/>
      <c r="R840" s="448"/>
      <c r="S840" s="464"/>
      <c r="V840" s="448"/>
      <c r="W840" s="464"/>
      <c r="Z840" s="448"/>
      <c r="AA840" s="464"/>
      <c r="AD840" s="448"/>
      <c r="AE840" s="464"/>
      <c r="AH840" s="448"/>
      <c r="AI840" s="464"/>
      <c r="AL840" s="448"/>
      <c r="AP840" s="448"/>
    </row>
    <row r="841" spans="1:42" ht="13">
      <c r="A841" s="462"/>
      <c r="B841" s="462"/>
      <c r="N841" s="448"/>
      <c r="O841" s="464"/>
      <c r="R841" s="448"/>
      <c r="S841" s="464"/>
      <c r="V841" s="448"/>
      <c r="W841" s="464"/>
      <c r="Z841" s="448"/>
      <c r="AA841" s="464"/>
      <c r="AD841" s="448"/>
      <c r="AE841" s="464"/>
      <c r="AH841" s="448"/>
      <c r="AI841" s="464"/>
      <c r="AL841" s="448"/>
      <c r="AP841" s="448"/>
    </row>
    <row r="842" spans="1:42" ht="13">
      <c r="A842" s="462"/>
      <c r="B842" s="462"/>
      <c r="N842" s="448"/>
      <c r="O842" s="464"/>
      <c r="R842" s="448"/>
      <c r="S842" s="464"/>
      <c r="V842" s="448"/>
      <c r="W842" s="464"/>
      <c r="Z842" s="448"/>
      <c r="AA842" s="464"/>
      <c r="AD842" s="448"/>
      <c r="AE842" s="464"/>
      <c r="AH842" s="448"/>
      <c r="AI842" s="464"/>
      <c r="AL842" s="448"/>
      <c r="AP842" s="448"/>
    </row>
    <row r="843" spans="1:42" ht="13">
      <c r="A843" s="462"/>
      <c r="B843" s="462"/>
      <c r="N843" s="448"/>
      <c r="O843" s="464"/>
      <c r="R843" s="448"/>
      <c r="S843" s="464"/>
      <c r="V843" s="448"/>
      <c r="W843" s="464"/>
      <c r="Z843" s="448"/>
      <c r="AA843" s="464"/>
      <c r="AD843" s="448"/>
      <c r="AE843" s="464"/>
      <c r="AH843" s="448"/>
      <c r="AI843" s="464"/>
      <c r="AL843" s="448"/>
      <c r="AP843" s="448"/>
    </row>
    <row r="844" spans="1:42" ht="13">
      <c r="A844" s="462"/>
      <c r="B844" s="462"/>
      <c r="N844" s="448"/>
      <c r="O844" s="464"/>
      <c r="R844" s="448"/>
      <c r="S844" s="464"/>
      <c r="V844" s="448"/>
      <c r="W844" s="464"/>
      <c r="Z844" s="448"/>
      <c r="AA844" s="464"/>
      <c r="AD844" s="448"/>
      <c r="AE844" s="464"/>
      <c r="AH844" s="448"/>
      <c r="AI844" s="464"/>
      <c r="AL844" s="448"/>
      <c r="AP844" s="448"/>
    </row>
    <row r="845" spans="1:42" ht="13">
      <c r="A845" s="462"/>
      <c r="B845" s="462"/>
      <c r="N845" s="448"/>
      <c r="O845" s="464"/>
      <c r="R845" s="448"/>
      <c r="S845" s="464"/>
      <c r="V845" s="448"/>
      <c r="W845" s="464"/>
      <c r="Z845" s="448"/>
      <c r="AA845" s="464"/>
      <c r="AD845" s="448"/>
      <c r="AE845" s="464"/>
      <c r="AH845" s="448"/>
      <c r="AI845" s="464"/>
      <c r="AL845" s="448"/>
      <c r="AP845" s="448"/>
    </row>
    <row r="846" spans="1:42" ht="13">
      <c r="A846" s="462"/>
      <c r="B846" s="462"/>
      <c r="N846" s="448"/>
      <c r="O846" s="464"/>
      <c r="R846" s="448"/>
      <c r="S846" s="464"/>
      <c r="V846" s="448"/>
      <c r="W846" s="464"/>
      <c r="Z846" s="448"/>
      <c r="AA846" s="464"/>
      <c r="AD846" s="448"/>
      <c r="AE846" s="464"/>
      <c r="AH846" s="448"/>
      <c r="AI846" s="464"/>
      <c r="AL846" s="448"/>
      <c r="AP846" s="448"/>
    </row>
    <row r="847" spans="1:42" ht="13">
      <c r="A847" s="462"/>
      <c r="B847" s="462"/>
      <c r="N847" s="448"/>
      <c r="O847" s="464"/>
      <c r="R847" s="448"/>
      <c r="S847" s="464"/>
      <c r="V847" s="448"/>
      <c r="W847" s="464"/>
      <c r="Z847" s="448"/>
      <c r="AA847" s="464"/>
      <c r="AD847" s="448"/>
      <c r="AE847" s="464"/>
      <c r="AH847" s="448"/>
      <c r="AI847" s="464"/>
      <c r="AL847" s="448"/>
      <c r="AP847" s="448"/>
    </row>
    <row r="848" spans="1:42" ht="13">
      <c r="A848" s="462"/>
      <c r="B848" s="462"/>
      <c r="N848" s="448"/>
      <c r="O848" s="464"/>
      <c r="R848" s="448"/>
      <c r="S848" s="464"/>
      <c r="V848" s="448"/>
      <c r="W848" s="464"/>
      <c r="Z848" s="448"/>
      <c r="AA848" s="464"/>
      <c r="AD848" s="448"/>
      <c r="AE848" s="464"/>
      <c r="AH848" s="448"/>
      <c r="AI848" s="464"/>
      <c r="AL848" s="448"/>
      <c r="AP848" s="448"/>
    </row>
    <row r="849" spans="1:42" ht="13">
      <c r="A849" s="462"/>
      <c r="B849" s="462"/>
      <c r="N849" s="448"/>
      <c r="O849" s="464"/>
      <c r="R849" s="448"/>
      <c r="S849" s="464"/>
      <c r="V849" s="448"/>
      <c r="W849" s="464"/>
      <c r="Z849" s="448"/>
      <c r="AA849" s="464"/>
      <c r="AD849" s="448"/>
      <c r="AE849" s="464"/>
      <c r="AH849" s="448"/>
      <c r="AI849" s="464"/>
      <c r="AL849" s="448"/>
      <c r="AP849" s="448"/>
    </row>
    <row r="850" spans="1:42" ht="13">
      <c r="A850" s="462"/>
      <c r="B850" s="462"/>
      <c r="N850" s="448"/>
      <c r="O850" s="464"/>
      <c r="R850" s="448"/>
      <c r="S850" s="464"/>
      <c r="V850" s="448"/>
      <c r="W850" s="464"/>
      <c r="Z850" s="448"/>
      <c r="AA850" s="464"/>
      <c r="AD850" s="448"/>
      <c r="AE850" s="464"/>
      <c r="AH850" s="448"/>
      <c r="AI850" s="464"/>
      <c r="AL850" s="448"/>
      <c r="AP850" s="448"/>
    </row>
    <row r="851" spans="1:42" ht="13">
      <c r="A851" s="462"/>
      <c r="B851" s="462"/>
      <c r="N851" s="448"/>
      <c r="O851" s="464"/>
      <c r="R851" s="448"/>
      <c r="S851" s="464"/>
      <c r="V851" s="448"/>
      <c r="W851" s="464"/>
      <c r="Z851" s="448"/>
      <c r="AA851" s="464"/>
      <c r="AD851" s="448"/>
      <c r="AE851" s="464"/>
      <c r="AH851" s="448"/>
      <c r="AI851" s="464"/>
      <c r="AL851" s="448"/>
      <c r="AP851" s="448"/>
    </row>
    <row r="852" spans="1:42" ht="13">
      <c r="A852" s="462"/>
      <c r="B852" s="462"/>
      <c r="N852" s="448"/>
      <c r="O852" s="464"/>
      <c r="R852" s="448"/>
      <c r="S852" s="464"/>
      <c r="V852" s="448"/>
      <c r="W852" s="464"/>
      <c r="Z852" s="448"/>
      <c r="AA852" s="464"/>
      <c r="AD852" s="448"/>
      <c r="AE852" s="464"/>
      <c r="AH852" s="448"/>
      <c r="AI852" s="464"/>
      <c r="AL852" s="448"/>
      <c r="AP852" s="448"/>
    </row>
    <row r="853" spans="1:42" ht="13">
      <c r="A853" s="462"/>
      <c r="B853" s="462"/>
      <c r="N853" s="448"/>
      <c r="O853" s="464"/>
      <c r="R853" s="448"/>
      <c r="S853" s="464"/>
      <c r="V853" s="448"/>
      <c r="W853" s="464"/>
      <c r="Z853" s="448"/>
      <c r="AA853" s="464"/>
      <c r="AD853" s="448"/>
      <c r="AE853" s="464"/>
      <c r="AH853" s="448"/>
      <c r="AI853" s="464"/>
      <c r="AL853" s="448"/>
      <c r="AP853" s="448"/>
    </row>
    <row r="854" spans="1:42" ht="13">
      <c r="A854" s="462"/>
      <c r="B854" s="462"/>
      <c r="N854" s="448"/>
      <c r="O854" s="464"/>
      <c r="R854" s="448"/>
      <c r="S854" s="464"/>
      <c r="V854" s="448"/>
      <c r="W854" s="464"/>
      <c r="Z854" s="448"/>
      <c r="AA854" s="464"/>
      <c r="AD854" s="448"/>
      <c r="AE854" s="464"/>
      <c r="AH854" s="448"/>
      <c r="AI854" s="464"/>
      <c r="AL854" s="448"/>
      <c r="AP854" s="448"/>
    </row>
    <row r="855" spans="1:42" ht="13">
      <c r="A855" s="462"/>
      <c r="B855" s="462"/>
      <c r="N855" s="448"/>
      <c r="O855" s="464"/>
      <c r="R855" s="448"/>
      <c r="S855" s="464"/>
      <c r="V855" s="448"/>
      <c r="W855" s="464"/>
      <c r="Z855" s="448"/>
      <c r="AA855" s="464"/>
      <c r="AD855" s="448"/>
      <c r="AE855" s="464"/>
      <c r="AH855" s="448"/>
      <c r="AI855" s="464"/>
      <c r="AL855" s="448"/>
      <c r="AP855" s="448"/>
    </row>
    <row r="856" spans="1:42" ht="13">
      <c r="A856" s="462"/>
      <c r="B856" s="462"/>
      <c r="N856" s="448"/>
      <c r="O856" s="464"/>
      <c r="R856" s="448"/>
      <c r="S856" s="464"/>
      <c r="V856" s="448"/>
      <c r="W856" s="464"/>
      <c r="Z856" s="448"/>
      <c r="AA856" s="464"/>
      <c r="AD856" s="448"/>
      <c r="AE856" s="464"/>
      <c r="AH856" s="448"/>
      <c r="AI856" s="464"/>
      <c r="AL856" s="448"/>
      <c r="AP856" s="448"/>
    </row>
    <row r="857" spans="1:42" ht="13">
      <c r="A857" s="462"/>
      <c r="B857" s="462"/>
      <c r="N857" s="448"/>
      <c r="O857" s="464"/>
      <c r="R857" s="448"/>
      <c r="S857" s="464"/>
      <c r="V857" s="448"/>
      <c r="W857" s="464"/>
      <c r="Z857" s="448"/>
      <c r="AA857" s="464"/>
      <c r="AD857" s="448"/>
      <c r="AE857" s="464"/>
      <c r="AH857" s="448"/>
      <c r="AI857" s="464"/>
      <c r="AL857" s="448"/>
      <c r="AP857" s="448"/>
    </row>
    <row r="858" spans="1:42" ht="13">
      <c r="A858" s="462"/>
      <c r="B858" s="462"/>
      <c r="N858" s="448"/>
      <c r="O858" s="464"/>
      <c r="R858" s="448"/>
      <c r="S858" s="464"/>
      <c r="V858" s="448"/>
      <c r="W858" s="464"/>
      <c r="Z858" s="448"/>
      <c r="AA858" s="464"/>
      <c r="AD858" s="448"/>
      <c r="AE858" s="464"/>
      <c r="AH858" s="448"/>
      <c r="AI858" s="464"/>
      <c r="AL858" s="448"/>
      <c r="AP858" s="448"/>
    </row>
    <row r="859" spans="1:42" ht="13">
      <c r="A859" s="462"/>
      <c r="B859" s="462"/>
      <c r="N859" s="448"/>
      <c r="O859" s="464"/>
      <c r="R859" s="448"/>
      <c r="S859" s="464"/>
      <c r="V859" s="448"/>
      <c r="W859" s="464"/>
      <c r="Z859" s="448"/>
      <c r="AA859" s="464"/>
      <c r="AD859" s="448"/>
      <c r="AE859" s="464"/>
      <c r="AH859" s="448"/>
      <c r="AI859" s="464"/>
      <c r="AL859" s="448"/>
      <c r="AP859" s="448"/>
    </row>
    <row r="860" spans="1:42" ht="13">
      <c r="A860" s="462"/>
      <c r="B860" s="462"/>
      <c r="N860" s="448"/>
      <c r="O860" s="464"/>
      <c r="R860" s="448"/>
      <c r="S860" s="464"/>
      <c r="V860" s="448"/>
      <c r="W860" s="464"/>
      <c r="Z860" s="448"/>
      <c r="AA860" s="464"/>
      <c r="AD860" s="448"/>
      <c r="AE860" s="464"/>
      <c r="AH860" s="448"/>
      <c r="AI860" s="464"/>
      <c r="AL860" s="448"/>
      <c r="AP860" s="448"/>
    </row>
    <row r="861" spans="1:42" ht="13">
      <c r="A861" s="462"/>
      <c r="B861" s="462"/>
      <c r="N861" s="448"/>
      <c r="O861" s="464"/>
      <c r="R861" s="448"/>
      <c r="S861" s="464"/>
      <c r="V861" s="448"/>
      <c r="W861" s="464"/>
      <c r="Z861" s="448"/>
      <c r="AA861" s="464"/>
      <c r="AD861" s="448"/>
      <c r="AE861" s="464"/>
      <c r="AH861" s="448"/>
      <c r="AI861" s="464"/>
      <c r="AL861" s="448"/>
      <c r="AP861" s="448"/>
    </row>
    <row r="862" spans="1:42" ht="13">
      <c r="A862" s="462"/>
      <c r="B862" s="462"/>
      <c r="N862" s="448"/>
      <c r="O862" s="464"/>
      <c r="R862" s="448"/>
      <c r="S862" s="464"/>
      <c r="V862" s="448"/>
      <c r="W862" s="464"/>
      <c r="Z862" s="448"/>
      <c r="AA862" s="464"/>
      <c r="AD862" s="448"/>
      <c r="AE862" s="464"/>
      <c r="AH862" s="448"/>
      <c r="AI862" s="464"/>
      <c r="AL862" s="448"/>
      <c r="AP862" s="448"/>
    </row>
    <row r="863" spans="1:42" ht="13">
      <c r="A863" s="462"/>
      <c r="B863" s="462"/>
      <c r="N863" s="448"/>
      <c r="O863" s="464"/>
      <c r="R863" s="448"/>
      <c r="S863" s="464"/>
      <c r="V863" s="448"/>
      <c r="W863" s="464"/>
      <c r="Z863" s="448"/>
      <c r="AA863" s="464"/>
      <c r="AD863" s="448"/>
      <c r="AE863" s="464"/>
      <c r="AH863" s="448"/>
      <c r="AI863" s="464"/>
      <c r="AL863" s="448"/>
      <c r="AP863" s="448"/>
    </row>
    <row r="864" spans="1:42" ht="13">
      <c r="A864" s="462"/>
      <c r="B864" s="462"/>
      <c r="N864" s="448"/>
      <c r="O864" s="464"/>
      <c r="R864" s="448"/>
      <c r="S864" s="464"/>
      <c r="V864" s="448"/>
      <c r="W864" s="464"/>
      <c r="Z864" s="448"/>
      <c r="AA864" s="464"/>
      <c r="AD864" s="448"/>
      <c r="AE864" s="464"/>
      <c r="AH864" s="448"/>
      <c r="AI864" s="464"/>
      <c r="AL864" s="448"/>
      <c r="AP864" s="448"/>
    </row>
    <row r="865" spans="1:42" ht="13">
      <c r="A865" s="462"/>
      <c r="B865" s="462"/>
      <c r="N865" s="448"/>
      <c r="O865" s="464"/>
      <c r="R865" s="448"/>
      <c r="S865" s="464"/>
      <c r="V865" s="448"/>
      <c r="W865" s="464"/>
      <c r="Z865" s="448"/>
      <c r="AA865" s="464"/>
      <c r="AD865" s="448"/>
      <c r="AE865" s="464"/>
      <c r="AH865" s="448"/>
      <c r="AI865" s="464"/>
      <c r="AL865" s="448"/>
      <c r="AP865" s="448"/>
    </row>
    <row r="866" spans="1:42" ht="13">
      <c r="A866" s="462"/>
      <c r="B866" s="462"/>
      <c r="N866" s="448"/>
      <c r="O866" s="464"/>
      <c r="R866" s="448"/>
      <c r="S866" s="464"/>
      <c r="V866" s="448"/>
      <c r="W866" s="464"/>
      <c r="Z866" s="448"/>
      <c r="AA866" s="464"/>
      <c r="AD866" s="448"/>
      <c r="AE866" s="464"/>
      <c r="AH866" s="448"/>
      <c r="AI866" s="464"/>
      <c r="AL866" s="448"/>
      <c r="AP866" s="448"/>
    </row>
    <row r="867" spans="1:42" ht="13">
      <c r="A867" s="462"/>
      <c r="B867" s="462"/>
      <c r="N867" s="448"/>
      <c r="O867" s="464"/>
      <c r="R867" s="448"/>
      <c r="S867" s="464"/>
      <c r="V867" s="448"/>
      <c r="W867" s="464"/>
      <c r="Z867" s="448"/>
      <c r="AA867" s="464"/>
      <c r="AD867" s="448"/>
      <c r="AE867" s="464"/>
      <c r="AH867" s="448"/>
      <c r="AI867" s="464"/>
      <c r="AL867" s="448"/>
      <c r="AP867" s="448"/>
    </row>
    <row r="868" spans="1:42" ht="13">
      <c r="A868" s="462"/>
      <c r="B868" s="462"/>
      <c r="N868" s="448"/>
      <c r="O868" s="464"/>
      <c r="R868" s="448"/>
      <c r="S868" s="464"/>
      <c r="V868" s="448"/>
      <c r="W868" s="464"/>
      <c r="Z868" s="448"/>
      <c r="AA868" s="464"/>
      <c r="AD868" s="448"/>
      <c r="AE868" s="464"/>
      <c r="AH868" s="448"/>
      <c r="AI868" s="464"/>
      <c r="AL868" s="448"/>
      <c r="AP868" s="448"/>
    </row>
    <row r="869" spans="1:42" ht="13">
      <c r="A869" s="462"/>
      <c r="B869" s="462"/>
      <c r="N869" s="448"/>
      <c r="O869" s="464"/>
      <c r="R869" s="448"/>
      <c r="S869" s="464"/>
      <c r="V869" s="448"/>
      <c r="W869" s="464"/>
      <c r="Z869" s="448"/>
      <c r="AA869" s="464"/>
      <c r="AD869" s="448"/>
      <c r="AE869" s="464"/>
      <c r="AH869" s="448"/>
      <c r="AI869" s="464"/>
      <c r="AL869" s="448"/>
      <c r="AP869" s="448"/>
    </row>
    <row r="870" spans="1:42" ht="13">
      <c r="A870" s="462"/>
      <c r="B870" s="462"/>
      <c r="N870" s="448"/>
      <c r="O870" s="464"/>
      <c r="R870" s="448"/>
      <c r="S870" s="464"/>
      <c r="V870" s="448"/>
      <c r="W870" s="464"/>
      <c r="Z870" s="448"/>
      <c r="AA870" s="464"/>
      <c r="AD870" s="448"/>
      <c r="AE870" s="464"/>
      <c r="AH870" s="448"/>
      <c r="AI870" s="464"/>
      <c r="AL870" s="448"/>
      <c r="AP870" s="448"/>
    </row>
    <row r="871" spans="1:42" ht="13">
      <c r="A871" s="462"/>
      <c r="B871" s="462"/>
      <c r="N871" s="448"/>
      <c r="O871" s="464"/>
      <c r="R871" s="448"/>
      <c r="S871" s="464"/>
      <c r="V871" s="448"/>
      <c r="W871" s="464"/>
      <c r="Z871" s="448"/>
      <c r="AA871" s="464"/>
      <c r="AD871" s="448"/>
      <c r="AE871" s="464"/>
      <c r="AH871" s="448"/>
      <c r="AI871" s="464"/>
      <c r="AL871" s="448"/>
      <c r="AP871" s="448"/>
    </row>
    <row r="872" spans="1:42" ht="13">
      <c r="A872" s="462"/>
      <c r="B872" s="462"/>
      <c r="N872" s="448"/>
      <c r="O872" s="464"/>
      <c r="R872" s="448"/>
      <c r="S872" s="464"/>
      <c r="V872" s="448"/>
      <c r="W872" s="464"/>
      <c r="Z872" s="448"/>
      <c r="AA872" s="464"/>
      <c r="AD872" s="448"/>
      <c r="AE872" s="464"/>
      <c r="AH872" s="448"/>
      <c r="AI872" s="464"/>
      <c r="AL872" s="448"/>
      <c r="AP872" s="448"/>
    </row>
    <row r="873" spans="1:42" ht="13">
      <c r="A873" s="462"/>
      <c r="B873" s="462"/>
      <c r="N873" s="448"/>
      <c r="O873" s="464"/>
      <c r="R873" s="448"/>
      <c r="S873" s="464"/>
      <c r="V873" s="448"/>
      <c r="W873" s="464"/>
      <c r="Z873" s="448"/>
      <c r="AA873" s="464"/>
      <c r="AD873" s="448"/>
      <c r="AE873" s="464"/>
      <c r="AH873" s="448"/>
      <c r="AI873" s="464"/>
      <c r="AL873" s="448"/>
      <c r="AP873" s="448"/>
    </row>
    <row r="874" spans="1:42" ht="13">
      <c r="A874" s="462"/>
      <c r="B874" s="462"/>
      <c r="N874" s="448"/>
      <c r="O874" s="464"/>
      <c r="R874" s="448"/>
      <c r="S874" s="464"/>
      <c r="V874" s="448"/>
      <c r="W874" s="464"/>
      <c r="Z874" s="448"/>
      <c r="AA874" s="464"/>
      <c r="AD874" s="448"/>
      <c r="AE874" s="464"/>
      <c r="AH874" s="448"/>
      <c r="AI874" s="464"/>
      <c r="AL874" s="448"/>
      <c r="AP874" s="448"/>
    </row>
    <row r="875" spans="1:42" ht="13">
      <c r="A875" s="462"/>
      <c r="B875" s="462"/>
      <c r="N875" s="448"/>
      <c r="O875" s="464"/>
      <c r="R875" s="448"/>
      <c r="S875" s="464"/>
      <c r="V875" s="448"/>
      <c r="W875" s="464"/>
      <c r="Z875" s="448"/>
      <c r="AA875" s="464"/>
      <c r="AD875" s="448"/>
      <c r="AE875" s="464"/>
      <c r="AH875" s="448"/>
      <c r="AI875" s="464"/>
      <c r="AL875" s="448"/>
      <c r="AP875" s="448"/>
    </row>
    <row r="876" spans="1:42" ht="13">
      <c r="A876" s="462"/>
      <c r="B876" s="462"/>
      <c r="N876" s="448"/>
      <c r="O876" s="464"/>
      <c r="R876" s="448"/>
      <c r="S876" s="464"/>
      <c r="V876" s="448"/>
      <c r="W876" s="464"/>
      <c r="Z876" s="448"/>
      <c r="AA876" s="464"/>
      <c r="AD876" s="448"/>
      <c r="AE876" s="464"/>
      <c r="AH876" s="448"/>
      <c r="AI876" s="464"/>
      <c r="AL876" s="448"/>
      <c r="AP876" s="448"/>
    </row>
    <row r="877" spans="1:42" ht="13">
      <c r="A877" s="462"/>
      <c r="B877" s="462"/>
      <c r="N877" s="448"/>
      <c r="O877" s="464"/>
      <c r="R877" s="448"/>
      <c r="S877" s="464"/>
      <c r="V877" s="448"/>
      <c r="W877" s="464"/>
      <c r="Z877" s="448"/>
      <c r="AA877" s="464"/>
      <c r="AD877" s="448"/>
      <c r="AE877" s="464"/>
      <c r="AH877" s="448"/>
      <c r="AI877" s="464"/>
      <c r="AL877" s="448"/>
      <c r="AP877" s="448"/>
    </row>
    <row r="878" spans="1:42" ht="13">
      <c r="A878" s="462"/>
      <c r="B878" s="462"/>
      <c r="N878" s="448"/>
      <c r="O878" s="464"/>
      <c r="R878" s="448"/>
      <c r="S878" s="464"/>
      <c r="V878" s="448"/>
      <c r="W878" s="464"/>
      <c r="Z878" s="448"/>
      <c r="AA878" s="464"/>
      <c r="AD878" s="448"/>
      <c r="AE878" s="464"/>
      <c r="AH878" s="448"/>
      <c r="AI878" s="464"/>
      <c r="AL878" s="448"/>
      <c r="AP878" s="448"/>
    </row>
    <row r="879" spans="1:42" ht="13">
      <c r="A879" s="462"/>
      <c r="B879" s="462"/>
      <c r="N879" s="448"/>
      <c r="O879" s="464"/>
      <c r="R879" s="448"/>
      <c r="S879" s="464"/>
      <c r="V879" s="448"/>
      <c r="W879" s="464"/>
      <c r="Z879" s="448"/>
      <c r="AA879" s="464"/>
      <c r="AD879" s="448"/>
      <c r="AE879" s="464"/>
      <c r="AH879" s="448"/>
      <c r="AI879" s="464"/>
      <c r="AL879" s="448"/>
      <c r="AP879" s="448"/>
    </row>
    <row r="880" spans="1:42" ht="13">
      <c r="A880" s="462"/>
      <c r="B880" s="462"/>
      <c r="N880" s="448"/>
      <c r="O880" s="464"/>
      <c r="R880" s="448"/>
      <c r="S880" s="464"/>
      <c r="V880" s="448"/>
      <c r="W880" s="464"/>
      <c r="Z880" s="448"/>
      <c r="AA880" s="464"/>
      <c r="AD880" s="448"/>
      <c r="AE880" s="464"/>
      <c r="AH880" s="448"/>
      <c r="AI880" s="464"/>
      <c r="AL880" s="448"/>
      <c r="AP880" s="448"/>
    </row>
    <row r="881" spans="1:42" ht="13">
      <c r="A881" s="462"/>
      <c r="B881" s="462"/>
      <c r="N881" s="448"/>
      <c r="O881" s="464"/>
      <c r="R881" s="448"/>
      <c r="S881" s="464"/>
      <c r="V881" s="448"/>
      <c r="W881" s="464"/>
      <c r="Z881" s="448"/>
      <c r="AA881" s="464"/>
      <c r="AD881" s="448"/>
      <c r="AE881" s="464"/>
      <c r="AH881" s="448"/>
      <c r="AI881" s="464"/>
      <c r="AL881" s="448"/>
      <c r="AP881" s="448"/>
    </row>
    <row r="882" spans="1:42" ht="13">
      <c r="A882" s="462"/>
      <c r="B882" s="462"/>
      <c r="N882" s="448"/>
      <c r="O882" s="464"/>
      <c r="R882" s="448"/>
      <c r="S882" s="464"/>
      <c r="V882" s="448"/>
      <c r="W882" s="464"/>
      <c r="Z882" s="448"/>
      <c r="AA882" s="464"/>
      <c r="AD882" s="448"/>
      <c r="AE882" s="464"/>
      <c r="AH882" s="448"/>
      <c r="AI882" s="464"/>
      <c r="AL882" s="448"/>
      <c r="AP882" s="448"/>
    </row>
    <row r="883" spans="1:42" ht="13">
      <c r="A883" s="462"/>
      <c r="B883" s="462"/>
      <c r="N883" s="448"/>
      <c r="O883" s="464"/>
      <c r="R883" s="448"/>
      <c r="S883" s="464"/>
      <c r="V883" s="448"/>
      <c r="W883" s="464"/>
      <c r="Z883" s="448"/>
      <c r="AA883" s="464"/>
      <c r="AD883" s="448"/>
      <c r="AE883" s="464"/>
      <c r="AH883" s="448"/>
      <c r="AI883" s="464"/>
      <c r="AL883" s="448"/>
      <c r="AP883" s="448"/>
    </row>
    <row r="884" spans="1:42" ht="13">
      <c r="A884" s="462"/>
      <c r="B884" s="462"/>
      <c r="N884" s="448"/>
      <c r="O884" s="464"/>
      <c r="R884" s="448"/>
      <c r="S884" s="464"/>
      <c r="V884" s="448"/>
      <c r="W884" s="464"/>
      <c r="Z884" s="448"/>
      <c r="AA884" s="464"/>
      <c r="AD884" s="448"/>
      <c r="AE884" s="464"/>
      <c r="AH884" s="448"/>
      <c r="AI884" s="464"/>
      <c r="AL884" s="448"/>
      <c r="AP884" s="448"/>
    </row>
    <row r="885" spans="1:42" ht="13">
      <c r="A885" s="462"/>
      <c r="B885" s="462"/>
      <c r="N885" s="448"/>
      <c r="O885" s="464"/>
      <c r="R885" s="448"/>
      <c r="S885" s="464"/>
      <c r="V885" s="448"/>
      <c r="W885" s="464"/>
      <c r="Z885" s="448"/>
      <c r="AA885" s="464"/>
      <c r="AD885" s="448"/>
      <c r="AE885" s="464"/>
      <c r="AH885" s="448"/>
      <c r="AI885" s="464"/>
      <c r="AL885" s="448"/>
      <c r="AP885" s="448"/>
    </row>
    <row r="886" spans="1:42" ht="13">
      <c r="A886" s="462"/>
      <c r="B886" s="462"/>
      <c r="N886" s="448"/>
      <c r="O886" s="464"/>
      <c r="R886" s="448"/>
      <c r="S886" s="464"/>
      <c r="V886" s="448"/>
      <c r="W886" s="464"/>
      <c r="Z886" s="448"/>
      <c r="AA886" s="464"/>
      <c r="AD886" s="448"/>
      <c r="AE886" s="464"/>
      <c r="AH886" s="448"/>
      <c r="AI886" s="464"/>
      <c r="AL886" s="448"/>
      <c r="AP886" s="448"/>
    </row>
    <row r="887" spans="1:42" ht="13">
      <c r="A887" s="462"/>
      <c r="B887" s="462"/>
      <c r="N887" s="448"/>
      <c r="O887" s="464"/>
      <c r="R887" s="448"/>
      <c r="S887" s="464"/>
      <c r="V887" s="448"/>
      <c r="W887" s="464"/>
      <c r="Z887" s="448"/>
      <c r="AA887" s="464"/>
      <c r="AD887" s="448"/>
      <c r="AE887" s="464"/>
      <c r="AH887" s="448"/>
      <c r="AI887" s="464"/>
      <c r="AL887" s="448"/>
      <c r="AP887" s="448"/>
    </row>
    <row r="888" spans="1:42" ht="13">
      <c r="A888" s="462"/>
      <c r="B888" s="462"/>
      <c r="N888" s="448"/>
      <c r="O888" s="464"/>
      <c r="R888" s="448"/>
      <c r="S888" s="464"/>
      <c r="V888" s="448"/>
      <c r="W888" s="464"/>
      <c r="Z888" s="448"/>
      <c r="AA888" s="464"/>
      <c r="AD888" s="448"/>
      <c r="AE888" s="464"/>
      <c r="AH888" s="448"/>
      <c r="AI888" s="464"/>
      <c r="AL888" s="448"/>
      <c r="AP888" s="448"/>
    </row>
    <row r="889" spans="1:42" ht="13">
      <c r="A889" s="462"/>
      <c r="B889" s="462"/>
      <c r="N889" s="448"/>
      <c r="O889" s="464"/>
      <c r="R889" s="448"/>
      <c r="S889" s="464"/>
      <c r="V889" s="448"/>
      <c r="W889" s="464"/>
      <c r="Z889" s="448"/>
      <c r="AA889" s="464"/>
      <c r="AD889" s="448"/>
      <c r="AE889" s="464"/>
      <c r="AH889" s="448"/>
      <c r="AI889" s="464"/>
      <c r="AL889" s="448"/>
      <c r="AP889" s="448"/>
    </row>
    <row r="890" spans="1:42" ht="13">
      <c r="A890" s="462"/>
      <c r="B890" s="462"/>
      <c r="N890" s="448"/>
      <c r="O890" s="464"/>
      <c r="R890" s="448"/>
      <c r="S890" s="464"/>
      <c r="V890" s="448"/>
      <c r="W890" s="464"/>
      <c r="Z890" s="448"/>
      <c r="AA890" s="464"/>
      <c r="AD890" s="448"/>
      <c r="AE890" s="464"/>
      <c r="AH890" s="448"/>
      <c r="AI890" s="464"/>
      <c r="AL890" s="448"/>
      <c r="AP890" s="448"/>
    </row>
    <row r="891" spans="1:42" ht="13">
      <c r="A891" s="462"/>
      <c r="B891" s="462"/>
      <c r="N891" s="448"/>
      <c r="O891" s="464"/>
      <c r="R891" s="448"/>
      <c r="S891" s="464"/>
      <c r="V891" s="448"/>
      <c r="W891" s="464"/>
      <c r="Z891" s="448"/>
      <c r="AA891" s="464"/>
      <c r="AD891" s="448"/>
      <c r="AE891" s="464"/>
      <c r="AH891" s="448"/>
      <c r="AI891" s="464"/>
      <c r="AL891" s="448"/>
      <c r="AP891" s="448"/>
    </row>
    <row r="892" spans="1:42" ht="13">
      <c r="A892" s="462"/>
      <c r="B892" s="462"/>
      <c r="N892" s="448"/>
      <c r="O892" s="464"/>
      <c r="R892" s="448"/>
      <c r="S892" s="464"/>
      <c r="V892" s="448"/>
      <c r="W892" s="464"/>
      <c r="Z892" s="448"/>
      <c r="AA892" s="464"/>
      <c r="AD892" s="448"/>
      <c r="AE892" s="464"/>
      <c r="AH892" s="448"/>
      <c r="AI892" s="464"/>
      <c r="AL892" s="448"/>
      <c r="AP892" s="448"/>
    </row>
    <row r="893" spans="1:42" ht="13">
      <c r="A893" s="462"/>
      <c r="B893" s="462"/>
      <c r="N893" s="448"/>
      <c r="O893" s="464"/>
      <c r="R893" s="448"/>
      <c r="S893" s="464"/>
      <c r="V893" s="448"/>
      <c r="W893" s="464"/>
      <c r="Z893" s="448"/>
      <c r="AA893" s="464"/>
      <c r="AD893" s="448"/>
      <c r="AE893" s="464"/>
      <c r="AH893" s="448"/>
      <c r="AI893" s="464"/>
      <c r="AL893" s="448"/>
      <c r="AP893" s="448"/>
    </row>
    <row r="894" spans="1:42" ht="13">
      <c r="A894" s="462"/>
      <c r="B894" s="462"/>
      <c r="N894" s="448"/>
      <c r="O894" s="464"/>
      <c r="R894" s="448"/>
      <c r="S894" s="464"/>
      <c r="V894" s="448"/>
      <c r="W894" s="464"/>
      <c r="Z894" s="448"/>
      <c r="AA894" s="464"/>
      <c r="AD894" s="448"/>
      <c r="AE894" s="464"/>
      <c r="AH894" s="448"/>
      <c r="AI894" s="464"/>
      <c r="AL894" s="448"/>
      <c r="AP894" s="448"/>
    </row>
    <row r="895" spans="1:42" ht="13">
      <c r="A895" s="462"/>
      <c r="B895" s="462"/>
      <c r="N895" s="448"/>
      <c r="O895" s="464"/>
      <c r="R895" s="448"/>
      <c r="S895" s="464"/>
      <c r="V895" s="448"/>
      <c r="W895" s="464"/>
      <c r="Z895" s="448"/>
      <c r="AA895" s="464"/>
      <c r="AD895" s="448"/>
      <c r="AE895" s="464"/>
      <c r="AH895" s="448"/>
      <c r="AI895" s="464"/>
      <c r="AL895" s="448"/>
      <c r="AP895" s="448"/>
    </row>
    <row r="896" spans="1:42" ht="13">
      <c r="A896" s="462"/>
      <c r="B896" s="462"/>
      <c r="N896" s="448"/>
      <c r="O896" s="464"/>
      <c r="R896" s="448"/>
      <c r="S896" s="464"/>
      <c r="V896" s="448"/>
      <c r="W896" s="464"/>
      <c r="Z896" s="448"/>
      <c r="AA896" s="464"/>
      <c r="AD896" s="448"/>
      <c r="AE896" s="464"/>
      <c r="AH896" s="448"/>
      <c r="AI896" s="464"/>
      <c r="AL896" s="448"/>
      <c r="AP896" s="448"/>
    </row>
    <row r="897" spans="1:42" ht="13">
      <c r="A897" s="462"/>
      <c r="B897" s="462"/>
      <c r="N897" s="448"/>
      <c r="O897" s="464"/>
      <c r="R897" s="448"/>
      <c r="S897" s="464"/>
      <c r="V897" s="448"/>
      <c r="W897" s="464"/>
      <c r="Z897" s="448"/>
      <c r="AA897" s="464"/>
      <c r="AD897" s="448"/>
      <c r="AE897" s="464"/>
      <c r="AH897" s="448"/>
      <c r="AI897" s="464"/>
      <c r="AL897" s="448"/>
      <c r="AP897" s="448"/>
    </row>
    <row r="898" spans="1:42" ht="13">
      <c r="A898" s="462"/>
      <c r="B898" s="462"/>
      <c r="N898" s="448"/>
      <c r="O898" s="464"/>
      <c r="R898" s="448"/>
      <c r="S898" s="464"/>
      <c r="V898" s="448"/>
      <c r="W898" s="464"/>
      <c r="Z898" s="448"/>
      <c r="AA898" s="464"/>
      <c r="AD898" s="448"/>
      <c r="AE898" s="464"/>
      <c r="AH898" s="448"/>
      <c r="AI898" s="464"/>
      <c r="AL898" s="448"/>
      <c r="AP898" s="448"/>
    </row>
    <row r="899" spans="1:42" ht="13">
      <c r="A899" s="462"/>
      <c r="B899" s="462"/>
      <c r="N899" s="448"/>
      <c r="O899" s="464"/>
      <c r="R899" s="448"/>
      <c r="S899" s="464"/>
      <c r="V899" s="448"/>
      <c r="W899" s="464"/>
      <c r="Z899" s="448"/>
      <c r="AA899" s="464"/>
      <c r="AD899" s="448"/>
      <c r="AE899" s="464"/>
      <c r="AH899" s="448"/>
      <c r="AI899" s="464"/>
      <c r="AL899" s="448"/>
      <c r="AP899" s="448"/>
    </row>
    <row r="900" spans="1:42" ht="13">
      <c r="A900" s="462"/>
      <c r="B900" s="462"/>
      <c r="N900" s="448"/>
      <c r="O900" s="464"/>
      <c r="R900" s="448"/>
      <c r="S900" s="464"/>
      <c r="V900" s="448"/>
      <c r="W900" s="464"/>
      <c r="Z900" s="448"/>
      <c r="AA900" s="464"/>
      <c r="AD900" s="448"/>
      <c r="AE900" s="464"/>
      <c r="AH900" s="448"/>
      <c r="AI900" s="464"/>
      <c r="AL900" s="448"/>
      <c r="AP900" s="448"/>
    </row>
    <row r="901" spans="1:42" ht="13">
      <c r="A901" s="462"/>
      <c r="B901" s="462"/>
      <c r="N901" s="448"/>
      <c r="O901" s="464"/>
      <c r="R901" s="448"/>
      <c r="S901" s="464"/>
      <c r="V901" s="448"/>
      <c r="W901" s="464"/>
      <c r="Z901" s="448"/>
      <c r="AA901" s="464"/>
      <c r="AD901" s="448"/>
      <c r="AE901" s="464"/>
      <c r="AH901" s="448"/>
      <c r="AI901" s="464"/>
      <c r="AL901" s="448"/>
      <c r="AP901" s="448"/>
    </row>
    <row r="902" spans="1:42" ht="13">
      <c r="A902" s="462"/>
      <c r="B902" s="462"/>
      <c r="N902" s="448"/>
      <c r="O902" s="464"/>
      <c r="R902" s="448"/>
      <c r="S902" s="464"/>
      <c r="V902" s="448"/>
      <c r="W902" s="464"/>
      <c r="Z902" s="448"/>
      <c r="AA902" s="464"/>
      <c r="AD902" s="448"/>
      <c r="AE902" s="464"/>
      <c r="AH902" s="448"/>
      <c r="AI902" s="464"/>
      <c r="AL902" s="448"/>
      <c r="AP902" s="448"/>
    </row>
    <row r="903" spans="1:42" ht="13">
      <c r="A903" s="462"/>
      <c r="B903" s="462"/>
      <c r="N903" s="448"/>
      <c r="O903" s="464"/>
      <c r="R903" s="448"/>
      <c r="S903" s="464"/>
      <c r="V903" s="448"/>
      <c r="W903" s="464"/>
      <c r="Z903" s="448"/>
      <c r="AA903" s="464"/>
      <c r="AD903" s="448"/>
      <c r="AE903" s="464"/>
      <c r="AH903" s="448"/>
      <c r="AI903" s="464"/>
      <c r="AL903" s="448"/>
      <c r="AP903" s="448"/>
    </row>
    <row r="904" spans="1:42" ht="13">
      <c r="A904" s="462"/>
      <c r="B904" s="462"/>
      <c r="N904" s="448"/>
      <c r="O904" s="464"/>
      <c r="R904" s="448"/>
      <c r="S904" s="464"/>
      <c r="V904" s="448"/>
      <c r="W904" s="464"/>
      <c r="Z904" s="448"/>
      <c r="AA904" s="464"/>
      <c r="AD904" s="448"/>
      <c r="AE904" s="464"/>
      <c r="AH904" s="448"/>
      <c r="AI904" s="464"/>
      <c r="AL904" s="448"/>
      <c r="AP904" s="448"/>
    </row>
    <row r="905" spans="1:42" ht="13">
      <c r="A905" s="462"/>
      <c r="B905" s="462"/>
      <c r="N905" s="448"/>
      <c r="O905" s="464"/>
      <c r="R905" s="448"/>
      <c r="S905" s="464"/>
      <c r="V905" s="448"/>
      <c r="W905" s="464"/>
      <c r="Z905" s="448"/>
      <c r="AA905" s="464"/>
      <c r="AD905" s="448"/>
      <c r="AE905" s="464"/>
      <c r="AH905" s="448"/>
      <c r="AI905" s="464"/>
      <c r="AL905" s="448"/>
      <c r="AP905" s="448"/>
    </row>
    <row r="906" spans="1:42" ht="13">
      <c r="A906" s="462"/>
      <c r="B906" s="462"/>
      <c r="N906" s="448"/>
      <c r="O906" s="464"/>
      <c r="R906" s="448"/>
      <c r="S906" s="464"/>
      <c r="V906" s="448"/>
      <c r="W906" s="464"/>
      <c r="Z906" s="448"/>
      <c r="AA906" s="464"/>
      <c r="AD906" s="448"/>
      <c r="AE906" s="464"/>
      <c r="AH906" s="448"/>
      <c r="AI906" s="464"/>
      <c r="AL906" s="448"/>
      <c r="AP906" s="448"/>
    </row>
    <row r="907" spans="1:42" ht="13">
      <c r="A907" s="462"/>
      <c r="B907" s="462"/>
      <c r="N907" s="448"/>
      <c r="O907" s="464"/>
      <c r="R907" s="448"/>
      <c r="S907" s="464"/>
      <c r="V907" s="448"/>
      <c r="W907" s="464"/>
      <c r="Z907" s="448"/>
      <c r="AA907" s="464"/>
      <c r="AD907" s="448"/>
      <c r="AE907" s="464"/>
      <c r="AH907" s="448"/>
      <c r="AI907" s="464"/>
      <c r="AL907" s="448"/>
      <c r="AP907" s="448"/>
    </row>
    <row r="908" spans="1:42" ht="13">
      <c r="A908" s="462"/>
      <c r="B908" s="462"/>
      <c r="N908" s="448"/>
      <c r="O908" s="464"/>
      <c r="R908" s="448"/>
      <c r="S908" s="464"/>
      <c r="V908" s="448"/>
      <c r="W908" s="464"/>
      <c r="Z908" s="448"/>
      <c r="AA908" s="464"/>
      <c r="AD908" s="448"/>
      <c r="AE908" s="464"/>
      <c r="AH908" s="448"/>
      <c r="AI908" s="464"/>
      <c r="AL908" s="448"/>
      <c r="AP908" s="448"/>
    </row>
    <row r="909" spans="1:42" ht="13">
      <c r="A909" s="462"/>
      <c r="B909" s="462"/>
      <c r="N909" s="448"/>
      <c r="O909" s="464"/>
      <c r="R909" s="448"/>
      <c r="S909" s="464"/>
      <c r="V909" s="448"/>
      <c r="W909" s="464"/>
      <c r="Z909" s="448"/>
      <c r="AA909" s="464"/>
      <c r="AD909" s="448"/>
      <c r="AE909" s="464"/>
      <c r="AH909" s="448"/>
      <c r="AI909" s="464"/>
      <c r="AL909" s="448"/>
      <c r="AP909" s="448"/>
    </row>
    <row r="910" spans="1:42" ht="13">
      <c r="A910" s="462"/>
      <c r="B910" s="462"/>
      <c r="N910" s="448"/>
      <c r="O910" s="464"/>
      <c r="R910" s="448"/>
      <c r="S910" s="464"/>
      <c r="V910" s="448"/>
      <c r="W910" s="464"/>
      <c r="Z910" s="448"/>
      <c r="AA910" s="464"/>
      <c r="AD910" s="448"/>
      <c r="AE910" s="464"/>
      <c r="AH910" s="448"/>
      <c r="AI910" s="464"/>
      <c r="AL910" s="448"/>
      <c r="AP910" s="448"/>
    </row>
    <row r="911" spans="1:42" ht="13">
      <c r="A911" s="462"/>
      <c r="B911" s="462"/>
      <c r="N911" s="448"/>
      <c r="O911" s="464"/>
      <c r="R911" s="448"/>
      <c r="S911" s="464"/>
      <c r="V911" s="448"/>
      <c r="W911" s="464"/>
      <c r="Z911" s="448"/>
      <c r="AA911" s="464"/>
      <c r="AD911" s="448"/>
      <c r="AE911" s="464"/>
      <c r="AH911" s="448"/>
      <c r="AI911" s="464"/>
      <c r="AL911" s="448"/>
      <c r="AP911" s="448"/>
    </row>
    <row r="912" spans="1:42" ht="13">
      <c r="A912" s="462"/>
      <c r="B912" s="462"/>
      <c r="N912" s="448"/>
      <c r="O912" s="464"/>
      <c r="R912" s="448"/>
      <c r="S912" s="464"/>
      <c r="V912" s="448"/>
      <c r="W912" s="464"/>
      <c r="Z912" s="448"/>
      <c r="AA912" s="464"/>
      <c r="AD912" s="448"/>
      <c r="AE912" s="464"/>
      <c r="AH912" s="448"/>
      <c r="AI912" s="464"/>
      <c r="AL912" s="448"/>
      <c r="AP912" s="448"/>
    </row>
    <row r="913" spans="1:42" ht="13">
      <c r="A913" s="462"/>
      <c r="B913" s="462"/>
      <c r="N913" s="448"/>
      <c r="O913" s="464"/>
      <c r="R913" s="448"/>
      <c r="S913" s="464"/>
      <c r="V913" s="448"/>
      <c r="W913" s="464"/>
      <c r="Z913" s="448"/>
      <c r="AA913" s="464"/>
      <c r="AD913" s="448"/>
      <c r="AE913" s="464"/>
      <c r="AH913" s="448"/>
      <c r="AI913" s="464"/>
      <c r="AL913" s="448"/>
      <c r="AP913" s="448"/>
    </row>
    <row r="914" spans="1:42" ht="13">
      <c r="A914" s="462"/>
      <c r="B914" s="462"/>
      <c r="N914" s="448"/>
      <c r="O914" s="464"/>
      <c r="R914" s="448"/>
      <c r="S914" s="464"/>
      <c r="V914" s="448"/>
      <c r="W914" s="464"/>
      <c r="Z914" s="448"/>
      <c r="AA914" s="464"/>
      <c r="AD914" s="448"/>
      <c r="AE914" s="464"/>
      <c r="AH914" s="448"/>
      <c r="AI914" s="464"/>
      <c r="AL914" s="448"/>
      <c r="AP914" s="448"/>
    </row>
    <row r="915" spans="1:42" ht="13">
      <c r="A915" s="462"/>
      <c r="B915" s="462"/>
      <c r="N915" s="448"/>
      <c r="O915" s="464"/>
      <c r="R915" s="448"/>
      <c r="S915" s="464"/>
      <c r="V915" s="448"/>
      <c r="W915" s="464"/>
      <c r="Z915" s="448"/>
      <c r="AA915" s="464"/>
      <c r="AD915" s="448"/>
      <c r="AE915" s="464"/>
      <c r="AH915" s="448"/>
      <c r="AI915" s="464"/>
      <c r="AL915" s="448"/>
      <c r="AP915" s="448"/>
    </row>
    <row r="916" spans="1:42" ht="13">
      <c r="A916" s="462"/>
      <c r="B916" s="462"/>
      <c r="N916" s="448"/>
      <c r="O916" s="464"/>
      <c r="R916" s="448"/>
      <c r="S916" s="464"/>
      <c r="V916" s="448"/>
      <c r="W916" s="464"/>
      <c r="Z916" s="448"/>
      <c r="AA916" s="464"/>
      <c r="AD916" s="448"/>
      <c r="AE916" s="464"/>
      <c r="AH916" s="448"/>
      <c r="AI916" s="464"/>
      <c r="AL916" s="448"/>
      <c r="AP916" s="448"/>
    </row>
    <row r="917" spans="1:42" ht="13">
      <c r="A917" s="462"/>
      <c r="B917" s="462"/>
      <c r="N917" s="448"/>
      <c r="O917" s="464"/>
      <c r="R917" s="448"/>
      <c r="S917" s="464"/>
      <c r="V917" s="448"/>
      <c r="W917" s="464"/>
      <c r="Z917" s="448"/>
      <c r="AA917" s="464"/>
      <c r="AD917" s="448"/>
      <c r="AE917" s="464"/>
      <c r="AH917" s="448"/>
      <c r="AI917" s="464"/>
      <c r="AL917" s="448"/>
      <c r="AP917" s="448"/>
    </row>
    <row r="918" spans="1:42" ht="13">
      <c r="A918" s="462"/>
      <c r="B918" s="462"/>
      <c r="N918" s="448"/>
      <c r="O918" s="464"/>
      <c r="R918" s="448"/>
      <c r="S918" s="464"/>
      <c r="V918" s="448"/>
      <c r="W918" s="464"/>
      <c r="Z918" s="448"/>
      <c r="AA918" s="464"/>
      <c r="AD918" s="448"/>
      <c r="AE918" s="464"/>
      <c r="AH918" s="448"/>
      <c r="AI918" s="464"/>
      <c r="AL918" s="448"/>
      <c r="AP918" s="448"/>
    </row>
    <row r="919" spans="1:42" ht="13">
      <c r="A919" s="462"/>
      <c r="B919" s="462"/>
      <c r="N919" s="448"/>
      <c r="O919" s="464"/>
      <c r="R919" s="448"/>
      <c r="S919" s="464"/>
      <c r="V919" s="448"/>
      <c r="W919" s="464"/>
      <c r="Z919" s="448"/>
      <c r="AA919" s="464"/>
      <c r="AD919" s="448"/>
      <c r="AE919" s="464"/>
      <c r="AH919" s="448"/>
      <c r="AI919" s="464"/>
      <c r="AL919" s="448"/>
      <c r="AP919" s="448"/>
    </row>
    <row r="920" spans="1:42" ht="13">
      <c r="A920" s="462"/>
      <c r="B920" s="462"/>
      <c r="N920" s="448"/>
      <c r="O920" s="464"/>
      <c r="R920" s="448"/>
      <c r="S920" s="464"/>
      <c r="V920" s="448"/>
      <c r="W920" s="464"/>
      <c r="Z920" s="448"/>
      <c r="AA920" s="464"/>
      <c r="AD920" s="448"/>
      <c r="AE920" s="464"/>
      <c r="AH920" s="448"/>
      <c r="AI920" s="464"/>
      <c r="AL920" s="448"/>
      <c r="AP920" s="448"/>
    </row>
    <row r="921" spans="1:42" ht="13">
      <c r="A921" s="462"/>
      <c r="B921" s="462"/>
      <c r="N921" s="448"/>
      <c r="O921" s="464"/>
      <c r="R921" s="448"/>
      <c r="S921" s="464"/>
      <c r="V921" s="448"/>
      <c r="W921" s="464"/>
      <c r="Z921" s="448"/>
      <c r="AA921" s="464"/>
      <c r="AD921" s="448"/>
      <c r="AE921" s="464"/>
      <c r="AH921" s="448"/>
      <c r="AI921" s="464"/>
      <c r="AL921" s="448"/>
      <c r="AP921" s="448"/>
    </row>
    <row r="922" spans="1:42" ht="13">
      <c r="A922" s="462"/>
      <c r="B922" s="462"/>
      <c r="N922" s="448"/>
      <c r="O922" s="464"/>
      <c r="R922" s="448"/>
      <c r="S922" s="464"/>
      <c r="V922" s="448"/>
      <c r="W922" s="464"/>
      <c r="Z922" s="448"/>
      <c r="AA922" s="464"/>
      <c r="AD922" s="448"/>
      <c r="AE922" s="464"/>
      <c r="AH922" s="448"/>
      <c r="AI922" s="464"/>
      <c r="AL922" s="448"/>
      <c r="AP922" s="448"/>
    </row>
    <row r="923" spans="1:42" ht="13">
      <c r="A923" s="462"/>
      <c r="B923" s="462"/>
      <c r="N923" s="448"/>
      <c r="O923" s="464"/>
      <c r="R923" s="448"/>
      <c r="S923" s="464"/>
      <c r="V923" s="448"/>
      <c r="W923" s="464"/>
      <c r="Z923" s="448"/>
      <c r="AA923" s="464"/>
      <c r="AD923" s="448"/>
      <c r="AE923" s="464"/>
      <c r="AH923" s="448"/>
      <c r="AI923" s="464"/>
      <c r="AL923" s="448"/>
      <c r="AP923" s="448"/>
    </row>
    <row r="924" spans="1:42" ht="13">
      <c r="A924" s="462"/>
      <c r="B924" s="462"/>
      <c r="N924" s="448"/>
      <c r="O924" s="464"/>
      <c r="R924" s="448"/>
      <c r="S924" s="464"/>
      <c r="V924" s="448"/>
      <c r="W924" s="464"/>
      <c r="Z924" s="448"/>
      <c r="AA924" s="464"/>
      <c r="AD924" s="448"/>
      <c r="AE924" s="464"/>
      <c r="AH924" s="448"/>
      <c r="AI924" s="464"/>
      <c r="AL924" s="448"/>
      <c r="AP924" s="448"/>
    </row>
    <row r="925" spans="1:42" ht="13">
      <c r="A925" s="462"/>
      <c r="B925" s="462"/>
      <c r="N925" s="448"/>
      <c r="O925" s="464"/>
      <c r="R925" s="448"/>
      <c r="S925" s="464"/>
      <c r="V925" s="448"/>
      <c r="W925" s="464"/>
      <c r="Z925" s="448"/>
      <c r="AA925" s="464"/>
      <c r="AD925" s="448"/>
      <c r="AE925" s="464"/>
      <c r="AH925" s="448"/>
      <c r="AI925" s="464"/>
      <c r="AL925" s="448"/>
      <c r="AP925" s="448"/>
    </row>
    <row r="926" spans="1:42" ht="13">
      <c r="A926" s="462"/>
      <c r="B926" s="462"/>
      <c r="N926" s="448"/>
      <c r="O926" s="464"/>
      <c r="R926" s="448"/>
      <c r="S926" s="464"/>
      <c r="V926" s="448"/>
      <c r="W926" s="464"/>
      <c r="Z926" s="448"/>
      <c r="AA926" s="464"/>
      <c r="AD926" s="448"/>
      <c r="AE926" s="464"/>
      <c r="AH926" s="448"/>
      <c r="AI926" s="464"/>
      <c r="AL926" s="448"/>
      <c r="AP926" s="448"/>
    </row>
    <row r="927" spans="1:42" ht="13">
      <c r="A927" s="462"/>
      <c r="B927" s="462"/>
      <c r="N927" s="448"/>
      <c r="O927" s="464"/>
      <c r="R927" s="448"/>
      <c r="S927" s="464"/>
      <c r="V927" s="448"/>
      <c r="W927" s="464"/>
      <c r="Z927" s="448"/>
      <c r="AA927" s="464"/>
      <c r="AD927" s="448"/>
      <c r="AE927" s="464"/>
      <c r="AH927" s="448"/>
      <c r="AI927" s="464"/>
      <c r="AL927" s="448"/>
      <c r="AP927" s="448"/>
    </row>
    <row r="928" spans="1:42" ht="13">
      <c r="A928" s="462"/>
      <c r="B928" s="462"/>
      <c r="N928" s="448"/>
      <c r="O928" s="464"/>
      <c r="R928" s="448"/>
      <c r="S928" s="464"/>
      <c r="V928" s="448"/>
      <c r="W928" s="464"/>
      <c r="Z928" s="448"/>
      <c r="AA928" s="464"/>
      <c r="AD928" s="448"/>
      <c r="AE928" s="464"/>
      <c r="AH928" s="448"/>
      <c r="AI928" s="464"/>
      <c r="AL928" s="448"/>
      <c r="AP928" s="448"/>
    </row>
    <row r="929" spans="1:42" ht="13">
      <c r="A929" s="462"/>
      <c r="B929" s="462"/>
      <c r="N929" s="448"/>
      <c r="O929" s="464"/>
      <c r="R929" s="448"/>
      <c r="S929" s="464"/>
      <c r="V929" s="448"/>
      <c r="W929" s="464"/>
      <c r="Z929" s="448"/>
      <c r="AA929" s="464"/>
      <c r="AD929" s="448"/>
      <c r="AE929" s="464"/>
      <c r="AH929" s="448"/>
      <c r="AI929" s="464"/>
      <c r="AL929" s="448"/>
      <c r="AP929" s="448"/>
    </row>
    <row r="930" spans="1:42" ht="13">
      <c r="A930" s="462"/>
      <c r="B930" s="462"/>
      <c r="N930" s="448"/>
      <c r="O930" s="464"/>
      <c r="R930" s="448"/>
      <c r="S930" s="464"/>
      <c r="V930" s="448"/>
      <c r="W930" s="464"/>
      <c r="Z930" s="448"/>
      <c r="AA930" s="464"/>
      <c r="AD930" s="448"/>
      <c r="AE930" s="464"/>
      <c r="AH930" s="448"/>
      <c r="AI930" s="464"/>
      <c r="AL930" s="448"/>
      <c r="AP930" s="448"/>
    </row>
    <row r="931" spans="1:42" ht="13">
      <c r="A931" s="462"/>
      <c r="B931" s="462"/>
      <c r="N931" s="448"/>
      <c r="O931" s="464"/>
      <c r="R931" s="448"/>
      <c r="S931" s="464"/>
      <c r="V931" s="448"/>
      <c r="W931" s="464"/>
      <c r="Z931" s="448"/>
      <c r="AA931" s="464"/>
      <c r="AD931" s="448"/>
      <c r="AE931" s="464"/>
      <c r="AH931" s="448"/>
      <c r="AI931" s="464"/>
      <c r="AL931" s="448"/>
      <c r="AP931" s="448"/>
    </row>
    <row r="932" spans="1:42" ht="13">
      <c r="A932" s="462"/>
      <c r="B932" s="462"/>
      <c r="N932" s="448"/>
      <c r="O932" s="464"/>
      <c r="R932" s="448"/>
      <c r="S932" s="464"/>
      <c r="V932" s="448"/>
      <c r="W932" s="464"/>
      <c r="Z932" s="448"/>
      <c r="AA932" s="464"/>
      <c r="AD932" s="448"/>
      <c r="AE932" s="464"/>
      <c r="AH932" s="448"/>
      <c r="AI932" s="464"/>
      <c r="AL932" s="448"/>
      <c r="AP932" s="448"/>
    </row>
    <row r="933" spans="1:42" ht="13">
      <c r="A933" s="462"/>
      <c r="B933" s="462"/>
      <c r="N933" s="448"/>
      <c r="O933" s="464"/>
      <c r="R933" s="448"/>
      <c r="S933" s="464"/>
      <c r="V933" s="448"/>
      <c r="W933" s="464"/>
      <c r="Z933" s="448"/>
      <c r="AA933" s="464"/>
      <c r="AD933" s="448"/>
      <c r="AE933" s="464"/>
      <c r="AH933" s="448"/>
      <c r="AI933" s="464"/>
      <c r="AL933" s="448"/>
      <c r="AP933" s="448"/>
    </row>
    <row r="934" spans="1:42" ht="13">
      <c r="A934" s="462"/>
      <c r="B934" s="462"/>
      <c r="N934" s="448"/>
      <c r="O934" s="464"/>
      <c r="R934" s="448"/>
      <c r="S934" s="464"/>
      <c r="V934" s="448"/>
      <c r="W934" s="464"/>
      <c r="Z934" s="448"/>
      <c r="AA934" s="464"/>
      <c r="AD934" s="448"/>
      <c r="AE934" s="464"/>
      <c r="AH934" s="448"/>
      <c r="AI934" s="464"/>
      <c r="AL934" s="448"/>
      <c r="AP934" s="448"/>
    </row>
    <row r="935" spans="1:42" ht="13">
      <c r="A935" s="462"/>
      <c r="B935" s="462"/>
      <c r="N935" s="448"/>
      <c r="O935" s="464"/>
      <c r="R935" s="448"/>
      <c r="S935" s="464"/>
      <c r="V935" s="448"/>
      <c r="W935" s="464"/>
      <c r="Z935" s="448"/>
      <c r="AA935" s="464"/>
      <c r="AD935" s="448"/>
      <c r="AE935" s="464"/>
      <c r="AH935" s="448"/>
      <c r="AI935" s="464"/>
      <c r="AL935" s="448"/>
      <c r="AP935" s="448"/>
    </row>
    <row r="936" spans="1:42" ht="13">
      <c r="A936" s="462"/>
      <c r="B936" s="462"/>
      <c r="N936" s="448"/>
      <c r="O936" s="464"/>
      <c r="R936" s="448"/>
      <c r="S936" s="464"/>
      <c r="V936" s="448"/>
      <c r="W936" s="464"/>
      <c r="Z936" s="448"/>
      <c r="AA936" s="464"/>
      <c r="AD936" s="448"/>
      <c r="AE936" s="464"/>
      <c r="AH936" s="448"/>
      <c r="AI936" s="464"/>
      <c r="AL936" s="448"/>
      <c r="AP936" s="448"/>
    </row>
    <row r="937" spans="1:42" ht="13">
      <c r="A937" s="462"/>
      <c r="B937" s="462"/>
      <c r="N937" s="448"/>
      <c r="O937" s="464"/>
      <c r="R937" s="448"/>
      <c r="S937" s="464"/>
      <c r="V937" s="448"/>
      <c r="W937" s="464"/>
      <c r="Z937" s="448"/>
      <c r="AA937" s="464"/>
      <c r="AD937" s="448"/>
      <c r="AE937" s="464"/>
      <c r="AH937" s="448"/>
      <c r="AI937" s="464"/>
      <c r="AL937" s="448"/>
      <c r="AP937" s="448"/>
    </row>
    <row r="938" spans="1:42" ht="13">
      <c r="A938" s="462"/>
      <c r="B938" s="462"/>
      <c r="N938" s="448"/>
      <c r="O938" s="464"/>
      <c r="R938" s="448"/>
      <c r="S938" s="464"/>
      <c r="V938" s="448"/>
      <c r="W938" s="464"/>
      <c r="Z938" s="448"/>
      <c r="AA938" s="464"/>
      <c r="AD938" s="448"/>
      <c r="AE938" s="464"/>
      <c r="AH938" s="448"/>
      <c r="AI938" s="464"/>
      <c r="AL938" s="448"/>
      <c r="AP938" s="448"/>
    </row>
    <row r="939" spans="1:42" ht="13">
      <c r="A939" s="462"/>
      <c r="B939" s="462"/>
      <c r="N939" s="448"/>
      <c r="O939" s="464"/>
      <c r="R939" s="448"/>
      <c r="S939" s="464"/>
      <c r="V939" s="448"/>
      <c r="W939" s="464"/>
      <c r="Z939" s="448"/>
      <c r="AA939" s="464"/>
      <c r="AD939" s="448"/>
      <c r="AE939" s="464"/>
      <c r="AH939" s="448"/>
      <c r="AI939" s="464"/>
      <c r="AL939" s="448"/>
      <c r="AP939" s="448"/>
    </row>
    <row r="940" spans="1:42" ht="13">
      <c r="A940" s="462"/>
      <c r="B940" s="462"/>
      <c r="N940" s="448"/>
      <c r="O940" s="464"/>
      <c r="R940" s="448"/>
      <c r="S940" s="464"/>
      <c r="V940" s="448"/>
      <c r="W940" s="464"/>
      <c r="Z940" s="448"/>
      <c r="AA940" s="464"/>
      <c r="AD940" s="448"/>
      <c r="AE940" s="464"/>
      <c r="AH940" s="448"/>
      <c r="AI940" s="464"/>
      <c r="AL940" s="448"/>
      <c r="AP940" s="448"/>
    </row>
    <row r="941" spans="1:42" ht="13">
      <c r="A941" s="462"/>
      <c r="B941" s="462"/>
      <c r="N941" s="448"/>
      <c r="O941" s="464"/>
      <c r="R941" s="448"/>
      <c r="S941" s="464"/>
      <c r="V941" s="448"/>
      <c r="W941" s="464"/>
      <c r="Z941" s="448"/>
      <c r="AA941" s="464"/>
      <c r="AD941" s="448"/>
      <c r="AE941" s="464"/>
      <c r="AH941" s="448"/>
      <c r="AI941" s="464"/>
      <c r="AL941" s="448"/>
      <c r="AP941" s="448"/>
    </row>
    <row r="942" spans="1:42" ht="13">
      <c r="A942" s="462"/>
      <c r="B942" s="462"/>
      <c r="N942" s="448"/>
      <c r="O942" s="464"/>
      <c r="R942" s="448"/>
      <c r="S942" s="464"/>
      <c r="V942" s="448"/>
      <c r="W942" s="464"/>
      <c r="Z942" s="448"/>
      <c r="AA942" s="464"/>
      <c r="AD942" s="448"/>
      <c r="AE942" s="464"/>
      <c r="AH942" s="448"/>
      <c r="AI942" s="464"/>
      <c r="AL942" s="448"/>
      <c r="AP942" s="448"/>
    </row>
    <row r="943" spans="1:42" ht="13">
      <c r="A943" s="462"/>
      <c r="B943" s="462"/>
      <c r="N943" s="448"/>
      <c r="O943" s="464"/>
      <c r="R943" s="448"/>
      <c r="S943" s="464"/>
      <c r="V943" s="448"/>
      <c r="W943" s="464"/>
      <c r="Z943" s="448"/>
      <c r="AA943" s="464"/>
      <c r="AD943" s="448"/>
      <c r="AE943" s="464"/>
      <c r="AH943" s="448"/>
      <c r="AI943" s="464"/>
      <c r="AL943" s="448"/>
      <c r="AP943" s="448"/>
    </row>
    <row r="944" spans="1:42" ht="13">
      <c r="A944" s="462"/>
      <c r="B944" s="462"/>
      <c r="N944" s="448"/>
      <c r="O944" s="464"/>
      <c r="R944" s="448"/>
      <c r="S944" s="464"/>
      <c r="V944" s="448"/>
      <c r="W944" s="464"/>
      <c r="Z944" s="448"/>
      <c r="AA944" s="464"/>
      <c r="AD944" s="448"/>
      <c r="AE944" s="464"/>
      <c r="AH944" s="448"/>
      <c r="AI944" s="464"/>
      <c r="AL944" s="448"/>
      <c r="AP944" s="448"/>
    </row>
    <row r="945" spans="1:42" ht="13">
      <c r="A945" s="462"/>
      <c r="B945" s="462"/>
      <c r="N945" s="448"/>
      <c r="O945" s="464"/>
      <c r="R945" s="448"/>
      <c r="S945" s="464"/>
      <c r="V945" s="448"/>
      <c r="W945" s="464"/>
      <c r="Z945" s="448"/>
      <c r="AA945" s="464"/>
      <c r="AD945" s="448"/>
      <c r="AE945" s="464"/>
      <c r="AH945" s="448"/>
      <c r="AI945" s="464"/>
      <c r="AL945" s="448"/>
      <c r="AP945" s="448"/>
    </row>
    <row r="946" spans="1:42" ht="13">
      <c r="A946" s="462"/>
      <c r="B946" s="462"/>
      <c r="N946" s="448"/>
      <c r="O946" s="464"/>
      <c r="R946" s="448"/>
      <c r="S946" s="464"/>
      <c r="V946" s="448"/>
      <c r="W946" s="464"/>
      <c r="Z946" s="448"/>
      <c r="AA946" s="464"/>
      <c r="AD946" s="448"/>
      <c r="AE946" s="464"/>
      <c r="AH946" s="448"/>
      <c r="AI946" s="464"/>
      <c r="AL946" s="448"/>
      <c r="AP946" s="448"/>
    </row>
    <row r="947" spans="1:42" ht="13">
      <c r="A947" s="462"/>
      <c r="B947" s="462"/>
      <c r="N947" s="448"/>
      <c r="O947" s="464"/>
      <c r="R947" s="448"/>
      <c r="S947" s="464"/>
      <c r="V947" s="448"/>
      <c r="W947" s="464"/>
      <c r="Z947" s="448"/>
      <c r="AA947" s="464"/>
      <c r="AD947" s="448"/>
      <c r="AE947" s="464"/>
      <c r="AH947" s="448"/>
      <c r="AI947" s="464"/>
      <c r="AL947" s="448"/>
      <c r="AP947" s="448"/>
    </row>
    <row r="948" spans="1:42" ht="13">
      <c r="A948" s="462"/>
      <c r="B948" s="462"/>
      <c r="N948" s="448"/>
      <c r="O948" s="464"/>
      <c r="R948" s="448"/>
      <c r="S948" s="464"/>
      <c r="V948" s="448"/>
      <c r="W948" s="464"/>
      <c r="Z948" s="448"/>
      <c r="AA948" s="464"/>
      <c r="AD948" s="448"/>
      <c r="AE948" s="464"/>
      <c r="AH948" s="448"/>
      <c r="AI948" s="464"/>
      <c r="AL948" s="448"/>
      <c r="AP948" s="448"/>
    </row>
    <row r="949" spans="1:42" ht="13">
      <c r="A949" s="462"/>
      <c r="B949" s="462"/>
      <c r="N949" s="448"/>
      <c r="O949" s="464"/>
      <c r="R949" s="448"/>
      <c r="S949" s="464"/>
      <c r="V949" s="448"/>
      <c r="W949" s="464"/>
      <c r="Z949" s="448"/>
      <c r="AA949" s="464"/>
      <c r="AD949" s="448"/>
      <c r="AE949" s="464"/>
      <c r="AH949" s="448"/>
      <c r="AI949" s="464"/>
      <c r="AL949" s="448"/>
      <c r="AP949" s="448"/>
    </row>
    <row r="950" spans="1:42" ht="13">
      <c r="A950" s="462"/>
      <c r="B950" s="462"/>
      <c r="N950" s="448"/>
      <c r="O950" s="464"/>
      <c r="R950" s="448"/>
      <c r="S950" s="464"/>
      <c r="V950" s="448"/>
      <c r="W950" s="464"/>
      <c r="Z950" s="448"/>
      <c r="AA950" s="464"/>
      <c r="AD950" s="448"/>
      <c r="AE950" s="464"/>
      <c r="AH950" s="448"/>
      <c r="AI950" s="464"/>
      <c r="AL950" s="448"/>
      <c r="AP950" s="448"/>
    </row>
    <row r="951" spans="1:42" ht="13">
      <c r="A951" s="462"/>
      <c r="B951" s="462"/>
      <c r="N951" s="448"/>
      <c r="O951" s="464"/>
      <c r="R951" s="448"/>
      <c r="S951" s="464"/>
      <c r="V951" s="448"/>
      <c r="W951" s="464"/>
      <c r="Z951" s="448"/>
      <c r="AA951" s="464"/>
      <c r="AD951" s="448"/>
      <c r="AE951" s="464"/>
      <c r="AH951" s="448"/>
      <c r="AI951" s="464"/>
      <c r="AL951" s="448"/>
      <c r="AP951" s="448"/>
    </row>
    <row r="952" spans="1:42" ht="13">
      <c r="A952" s="462"/>
      <c r="B952" s="462"/>
      <c r="N952" s="448"/>
      <c r="O952" s="464"/>
      <c r="R952" s="448"/>
      <c r="S952" s="464"/>
      <c r="V952" s="448"/>
      <c r="W952" s="464"/>
      <c r="Z952" s="448"/>
      <c r="AA952" s="464"/>
      <c r="AD952" s="448"/>
      <c r="AE952" s="464"/>
      <c r="AH952" s="448"/>
      <c r="AI952" s="464"/>
      <c r="AL952" s="448"/>
      <c r="AP952" s="448"/>
    </row>
    <row r="953" spans="1:42" ht="13">
      <c r="A953" s="462"/>
      <c r="B953" s="462"/>
      <c r="N953" s="448"/>
      <c r="O953" s="464"/>
      <c r="R953" s="448"/>
      <c r="S953" s="464"/>
      <c r="V953" s="448"/>
      <c r="W953" s="464"/>
      <c r="Z953" s="448"/>
      <c r="AA953" s="464"/>
      <c r="AD953" s="448"/>
      <c r="AE953" s="464"/>
      <c r="AH953" s="448"/>
      <c r="AI953" s="464"/>
      <c r="AL953" s="448"/>
      <c r="AP953" s="448"/>
    </row>
    <row r="954" spans="1:42" ht="13">
      <c r="A954" s="462"/>
      <c r="B954" s="462"/>
      <c r="N954" s="448"/>
      <c r="O954" s="464"/>
      <c r="R954" s="448"/>
      <c r="S954" s="464"/>
      <c r="V954" s="448"/>
      <c r="W954" s="464"/>
      <c r="Z954" s="448"/>
      <c r="AA954" s="464"/>
      <c r="AD954" s="448"/>
      <c r="AE954" s="464"/>
      <c r="AH954" s="448"/>
      <c r="AI954" s="464"/>
      <c r="AL954" s="448"/>
      <c r="AP954" s="448"/>
    </row>
    <row r="955" spans="1:42" ht="13">
      <c r="A955" s="462"/>
      <c r="B955" s="462"/>
      <c r="N955" s="448"/>
      <c r="O955" s="464"/>
      <c r="R955" s="448"/>
      <c r="S955" s="464"/>
      <c r="V955" s="448"/>
      <c r="W955" s="464"/>
      <c r="Z955" s="448"/>
      <c r="AA955" s="464"/>
      <c r="AD955" s="448"/>
      <c r="AE955" s="464"/>
      <c r="AH955" s="448"/>
      <c r="AI955" s="464"/>
      <c r="AL955" s="448"/>
      <c r="AP955" s="448"/>
    </row>
    <row r="956" spans="1:42" ht="13">
      <c r="A956" s="462"/>
      <c r="B956" s="462"/>
      <c r="N956" s="448"/>
      <c r="O956" s="464"/>
      <c r="R956" s="448"/>
      <c r="S956" s="464"/>
      <c r="V956" s="448"/>
      <c r="W956" s="464"/>
      <c r="Z956" s="448"/>
      <c r="AA956" s="464"/>
      <c r="AD956" s="448"/>
      <c r="AE956" s="464"/>
      <c r="AH956" s="448"/>
      <c r="AI956" s="464"/>
      <c r="AL956" s="448"/>
      <c r="AP956" s="448"/>
    </row>
    <row r="957" spans="1:42" ht="13">
      <c r="A957" s="462"/>
      <c r="B957" s="462"/>
      <c r="N957" s="448"/>
      <c r="O957" s="464"/>
      <c r="R957" s="448"/>
      <c r="S957" s="464"/>
      <c r="V957" s="448"/>
      <c r="W957" s="464"/>
      <c r="Z957" s="448"/>
      <c r="AA957" s="464"/>
      <c r="AD957" s="448"/>
      <c r="AE957" s="464"/>
      <c r="AH957" s="448"/>
      <c r="AI957" s="464"/>
      <c r="AL957" s="448"/>
      <c r="AP957" s="448"/>
    </row>
    <row r="958" spans="1:42" ht="13">
      <c r="A958" s="462"/>
      <c r="B958" s="462"/>
      <c r="N958" s="448"/>
      <c r="O958" s="464"/>
      <c r="R958" s="448"/>
      <c r="S958" s="464"/>
      <c r="V958" s="448"/>
      <c r="W958" s="464"/>
      <c r="Z958" s="448"/>
      <c r="AA958" s="464"/>
      <c r="AD958" s="448"/>
      <c r="AE958" s="464"/>
      <c r="AH958" s="448"/>
      <c r="AI958" s="464"/>
      <c r="AL958" s="448"/>
      <c r="AP958" s="448"/>
    </row>
    <row r="959" spans="1:42" ht="13">
      <c r="A959" s="462"/>
      <c r="B959" s="462"/>
      <c r="N959" s="448"/>
      <c r="O959" s="464"/>
      <c r="R959" s="448"/>
      <c r="S959" s="464"/>
      <c r="V959" s="448"/>
      <c r="W959" s="464"/>
      <c r="Z959" s="448"/>
      <c r="AA959" s="464"/>
      <c r="AD959" s="448"/>
      <c r="AE959" s="464"/>
      <c r="AH959" s="448"/>
      <c r="AI959" s="464"/>
      <c r="AL959" s="448"/>
      <c r="AP959" s="448"/>
    </row>
    <row r="960" spans="1:42" ht="13">
      <c r="A960" s="462"/>
      <c r="B960" s="462"/>
      <c r="N960" s="448"/>
      <c r="O960" s="464"/>
      <c r="R960" s="448"/>
      <c r="S960" s="464"/>
      <c r="V960" s="448"/>
      <c r="W960" s="464"/>
      <c r="Z960" s="448"/>
      <c r="AA960" s="464"/>
      <c r="AD960" s="448"/>
      <c r="AE960" s="464"/>
      <c r="AH960" s="448"/>
      <c r="AI960" s="464"/>
      <c r="AL960" s="448"/>
      <c r="AP960" s="448"/>
    </row>
    <row r="961" spans="1:42" ht="13">
      <c r="A961" s="462"/>
      <c r="B961" s="462"/>
      <c r="N961" s="448"/>
      <c r="O961" s="464"/>
      <c r="R961" s="448"/>
      <c r="S961" s="464"/>
      <c r="V961" s="448"/>
      <c r="W961" s="464"/>
      <c r="Z961" s="448"/>
      <c r="AA961" s="464"/>
      <c r="AD961" s="448"/>
      <c r="AE961" s="464"/>
      <c r="AH961" s="448"/>
      <c r="AI961" s="464"/>
      <c r="AL961" s="448"/>
      <c r="AP961" s="448"/>
    </row>
    <row r="962" spans="1:42" ht="13">
      <c r="A962" s="462"/>
      <c r="B962" s="462"/>
      <c r="N962" s="448"/>
      <c r="O962" s="464"/>
      <c r="R962" s="448"/>
      <c r="S962" s="464"/>
      <c r="V962" s="448"/>
      <c r="W962" s="464"/>
      <c r="Z962" s="448"/>
      <c r="AA962" s="464"/>
      <c r="AD962" s="448"/>
      <c r="AE962" s="464"/>
      <c r="AH962" s="448"/>
      <c r="AI962" s="464"/>
      <c r="AL962" s="448"/>
      <c r="AP962" s="448"/>
    </row>
    <row r="963" spans="1:42" ht="13">
      <c r="A963" s="462"/>
      <c r="B963" s="462"/>
      <c r="N963" s="448"/>
      <c r="O963" s="464"/>
      <c r="R963" s="448"/>
      <c r="S963" s="464"/>
      <c r="V963" s="448"/>
      <c r="W963" s="464"/>
      <c r="Z963" s="448"/>
      <c r="AA963" s="464"/>
      <c r="AD963" s="448"/>
      <c r="AE963" s="464"/>
      <c r="AH963" s="448"/>
      <c r="AI963" s="464"/>
      <c r="AL963" s="448"/>
      <c r="AP963" s="448"/>
    </row>
    <row r="964" spans="1:42" ht="13">
      <c r="A964" s="462"/>
      <c r="B964" s="462"/>
      <c r="N964" s="448"/>
      <c r="O964" s="464"/>
      <c r="R964" s="448"/>
      <c r="S964" s="464"/>
      <c r="V964" s="448"/>
      <c r="W964" s="464"/>
      <c r="Z964" s="448"/>
      <c r="AA964" s="464"/>
      <c r="AD964" s="448"/>
      <c r="AE964" s="464"/>
      <c r="AH964" s="448"/>
      <c r="AI964" s="464"/>
      <c r="AL964" s="448"/>
      <c r="AP964" s="448"/>
    </row>
    <row r="965" spans="1:42" ht="13">
      <c r="A965" s="462"/>
      <c r="B965" s="462"/>
      <c r="N965" s="448"/>
      <c r="O965" s="464"/>
      <c r="R965" s="448"/>
      <c r="S965" s="464"/>
      <c r="V965" s="448"/>
      <c r="W965" s="464"/>
      <c r="Z965" s="448"/>
      <c r="AA965" s="464"/>
      <c r="AD965" s="448"/>
      <c r="AE965" s="464"/>
      <c r="AH965" s="448"/>
      <c r="AI965" s="464"/>
      <c r="AL965" s="448"/>
      <c r="AP965" s="448"/>
    </row>
    <row r="966" spans="1:42" ht="13">
      <c r="A966" s="462"/>
      <c r="B966" s="462"/>
      <c r="N966" s="448"/>
      <c r="O966" s="464"/>
      <c r="R966" s="448"/>
      <c r="S966" s="464"/>
      <c r="V966" s="448"/>
      <c r="W966" s="464"/>
      <c r="Z966" s="448"/>
      <c r="AA966" s="464"/>
      <c r="AD966" s="448"/>
      <c r="AE966" s="464"/>
      <c r="AH966" s="448"/>
      <c r="AI966" s="464"/>
      <c r="AL966" s="448"/>
      <c r="AP966" s="448"/>
    </row>
    <row r="967" spans="1:42" ht="13">
      <c r="A967" s="462"/>
      <c r="B967" s="462"/>
      <c r="N967" s="448"/>
      <c r="O967" s="464"/>
      <c r="R967" s="448"/>
      <c r="S967" s="464"/>
      <c r="V967" s="448"/>
      <c r="W967" s="464"/>
      <c r="Z967" s="448"/>
      <c r="AA967" s="464"/>
      <c r="AD967" s="448"/>
      <c r="AE967" s="464"/>
      <c r="AH967" s="448"/>
      <c r="AI967" s="464"/>
      <c r="AL967" s="448"/>
      <c r="AP967" s="448"/>
    </row>
    <row r="968" spans="1:42" ht="13">
      <c r="A968" s="462"/>
      <c r="B968" s="462"/>
      <c r="N968" s="448"/>
      <c r="O968" s="464"/>
      <c r="R968" s="448"/>
      <c r="S968" s="464"/>
      <c r="V968" s="448"/>
      <c r="W968" s="464"/>
      <c r="Z968" s="448"/>
      <c r="AA968" s="464"/>
      <c r="AD968" s="448"/>
      <c r="AE968" s="464"/>
      <c r="AH968" s="448"/>
      <c r="AI968" s="464"/>
      <c r="AL968" s="448"/>
      <c r="AP968" s="448"/>
    </row>
    <row r="969" spans="1:42" ht="13">
      <c r="A969" s="462"/>
      <c r="B969" s="462"/>
      <c r="N969" s="448"/>
      <c r="O969" s="464"/>
      <c r="R969" s="448"/>
      <c r="S969" s="464"/>
      <c r="V969" s="448"/>
      <c r="W969" s="464"/>
      <c r="Z969" s="448"/>
      <c r="AA969" s="464"/>
      <c r="AD969" s="448"/>
      <c r="AE969" s="464"/>
      <c r="AH969" s="448"/>
      <c r="AI969" s="464"/>
      <c r="AL969" s="448"/>
      <c r="AP969" s="448"/>
    </row>
    <row r="970" spans="1:42" ht="13">
      <c r="A970" s="462"/>
      <c r="B970" s="462"/>
      <c r="N970" s="448"/>
      <c r="O970" s="464"/>
      <c r="R970" s="448"/>
      <c r="S970" s="464"/>
      <c r="V970" s="448"/>
      <c r="W970" s="464"/>
      <c r="Z970" s="448"/>
      <c r="AA970" s="464"/>
      <c r="AD970" s="448"/>
      <c r="AE970" s="464"/>
      <c r="AH970" s="448"/>
      <c r="AI970" s="464"/>
      <c r="AL970" s="448"/>
      <c r="AP970" s="448"/>
    </row>
    <row r="971" spans="1:42" ht="13">
      <c r="A971" s="462"/>
      <c r="B971" s="462"/>
      <c r="N971" s="448"/>
      <c r="O971" s="464"/>
      <c r="R971" s="448"/>
      <c r="S971" s="464"/>
      <c r="V971" s="448"/>
      <c r="W971" s="464"/>
      <c r="Z971" s="448"/>
      <c r="AA971" s="464"/>
      <c r="AD971" s="448"/>
      <c r="AE971" s="464"/>
      <c r="AH971" s="448"/>
      <c r="AI971" s="464"/>
      <c r="AL971" s="448"/>
      <c r="AP971" s="448"/>
    </row>
    <row r="972" spans="1:42" ht="13">
      <c r="A972" s="462"/>
      <c r="B972" s="462"/>
      <c r="N972" s="448"/>
      <c r="O972" s="464"/>
      <c r="R972" s="448"/>
      <c r="S972" s="464"/>
      <c r="V972" s="448"/>
      <c r="W972" s="464"/>
      <c r="Z972" s="448"/>
      <c r="AA972" s="464"/>
      <c r="AD972" s="448"/>
      <c r="AE972" s="464"/>
      <c r="AH972" s="448"/>
      <c r="AI972" s="464"/>
      <c r="AL972" s="448"/>
      <c r="AP972" s="448"/>
    </row>
    <row r="973" spans="1:42" ht="13">
      <c r="A973" s="462"/>
      <c r="B973" s="462"/>
      <c r="N973" s="448"/>
      <c r="O973" s="464"/>
      <c r="R973" s="448"/>
      <c r="S973" s="464"/>
      <c r="V973" s="448"/>
      <c r="W973" s="464"/>
      <c r="Z973" s="448"/>
      <c r="AA973" s="464"/>
      <c r="AD973" s="448"/>
      <c r="AE973" s="464"/>
      <c r="AH973" s="448"/>
      <c r="AI973" s="464"/>
      <c r="AL973" s="448"/>
      <c r="AP973" s="448"/>
    </row>
    <row r="974" spans="1:42" ht="13">
      <c r="A974" s="462"/>
      <c r="B974" s="462"/>
      <c r="N974" s="448"/>
      <c r="O974" s="464"/>
      <c r="R974" s="448"/>
      <c r="S974" s="464"/>
      <c r="V974" s="448"/>
      <c r="W974" s="464"/>
      <c r="Z974" s="448"/>
      <c r="AA974" s="464"/>
      <c r="AD974" s="448"/>
      <c r="AE974" s="464"/>
      <c r="AH974" s="448"/>
      <c r="AI974" s="464"/>
      <c r="AL974" s="448"/>
      <c r="AP974" s="448"/>
    </row>
    <row r="975" spans="1:42" ht="13">
      <c r="A975" s="462"/>
      <c r="B975" s="462"/>
      <c r="N975" s="448"/>
      <c r="O975" s="464"/>
      <c r="R975" s="448"/>
      <c r="S975" s="464"/>
      <c r="V975" s="448"/>
      <c r="W975" s="464"/>
      <c r="Z975" s="448"/>
      <c r="AA975" s="464"/>
      <c r="AD975" s="448"/>
      <c r="AE975" s="464"/>
      <c r="AH975" s="448"/>
      <c r="AI975" s="464"/>
      <c r="AL975" s="448"/>
      <c r="AP975" s="448"/>
    </row>
    <row r="976" spans="1:42" ht="13">
      <c r="A976" s="462"/>
      <c r="B976" s="462"/>
      <c r="N976" s="448"/>
      <c r="O976" s="464"/>
      <c r="R976" s="448"/>
      <c r="S976" s="464"/>
      <c r="V976" s="448"/>
      <c r="W976" s="464"/>
      <c r="Z976" s="448"/>
      <c r="AA976" s="464"/>
      <c r="AD976" s="448"/>
      <c r="AE976" s="464"/>
      <c r="AH976" s="448"/>
      <c r="AI976" s="464"/>
      <c r="AL976" s="448"/>
      <c r="AP976" s="448"/>
    </row>
    <row r="977" spans="1:42" ht="13">
      <c r="A977" s="462"/>
      <c r="B977" s="462"/>
      <c r="N977" s="448"/>
      <c r="O977" s="464"/>
      <c r="R977" s="448"/>
      <c r="S977" s="464"/>
      <c r="V977" s="448"/>
      <c r="W977" s="464"/>
      <c r="Z977" s="448"/>
      <c r="AA977" s="464"/>
      <c r="AD977" s="448"/>
      <c r="AE977" s="464"/>
      <c r="AH977" s="448"/>
      <c r="AI977" s="464"/>
      <c r="AL977" s="448"/>
      <c r="AP977" s="448"/>
    </row>
    <row r="978" spans="1:42" ht="13">
      <c r="A978" s="462"/>
      <c r="B978" s="462"/>
      <c r="N978" s="448"/>
      <c r="O978" s="464"/>
      <c r="R978" s="448"/>
      <c r="S978" s="464"/>
      <c r="V978" s="448"/>
      <c r="W978" s="464"/>
      <c r="Z978" s="448"/>
      <c r="AA978" s="464"/>
      <c r="AD978" s="448"/>
      <c r="AE978" s="464"/>
      <c r="AH978" s="448"/>
      <c r="AI978" s="464"/>
      <c r="AL978" s="448"/>
      <c r="AP978" s="448"/>
    </row>
    <row r="979" spans="1:42" ht="13">
      <c r="A979" s="462"/>
      <c r="B979" s="462"/>
      <c r="N979" s="448"/>
      <c r="O979" s="464"/>
      <c r="R979" s="448"/>
      <c r="S979" s="464"/>
      <c r="V979" s="448"/>
      <c r="W979" s="464"/>
      <c r="Z979" s="448"/>
      <c r="AA979" s="464"/>
      <c r="AD979" s="448"/>
      <c r="AE979" s="464"/>
      <c r="AH979" s="448"/>
      <c r="AI979" s="464"/>
      <c r="AL979" s="448"/>
      <c r="AP979" s="448"/>
    </row>
    <row r="980" spans="1:42" ht="13">
      <c r="A980" s="462"/>
      <c r="B980" s="462"/>
      <c r="N980" s="448"/>
      <c r="O980" s="464"/>
      <c r="R980" s="448"/>
      <c r="S980" s="464"/>
      <c r="V980" s="448"/>
      <c r="W980" s="464"/>
      <c r="Z980" s="448"/>
      <c r="AA980" s="464"/>
      <c r="AD980" s="448"/>
      <c r="AE980" s="464"/>
      <c r="AH980" s="448"/>
      <c r="AI980" s="464"/>
      <c r="AL980" s="448"/>
      <c r="AP980" s="448"/>
    </row>
    <row r="981" spans="1:42" ht="13">
      <c r="A981" s="462"/>
      <c r="B981" s="462"/>
      <c r="N981" s="448"/>
      <c r="O981" s="464"/>
      <c r="R981" s="448"/>
      <c r="S981" s="464"/>
      <c r="V981" s="448"/>
      <c r="W981" s="464"/>
      <c r="Z981" s="448"/>
      <c r="AA981" s="464"/>
      <c r="AD981" s="448"/>
      <c r="AE981" s="464"/>
      <c r="AH981" s="448"/>
      <c r="AI981" s="464"/>
      <c r="AL981" s="448"/>
      <c r="AP981" s="448"/>
    </row>
    <row r="982" spans="1:42" ht="13">
      <c r="A982" s="462"/>
      <c r="B982" s="462"/>
      <c r="N982" s="448"/>
      <c r="O982" s="464"/>
      <c r="R982" s="448"/>
      <c r="S982" s="464"/>
      <c r="V982" s="448"/>
      <c r="W982" s="464"/>
      <c r="Z982" s="448"/>
      <c r="AA982" s="464"/>
      <c r="AD982" s="448"/>
      <c r="AE982" s="464"/>
      <c r="AH982" s="448"/>
      <c r="AI982" s="464"/>
      <c r="AL982" s="448"/>
      <c r="AP982" s="448"/>
    </row>
    <row r="983" spans="1:42" ht="13">
      <c r="A983" s="462"/>
      <c r="B983" s="462"/>
      <c r="N983" s="448"/>
      <c r="O983" s="464"/>
      <c r="R983" s="448"/>
      <c r="S983" s="464"/>
      <c r="V983" s="448"/>
      <c r="W983" s="464"/>
      <c r="Z983" s="448"/>
      <c r="AA983" s="464"/>
      <c r="AD983" s="448"/>
      <c r="AE983" s="464"/>
      <c r="AH983" s="448"/>
      <c r="AI983" s="464"/>
      <c r="AL983" s="448"/>
      <c r="AP983" s="448"/>
    </row>
    <row r="984" spans="1:42" ht="13">
      <c r="A984" s="462"/>
      <c r="B984" s="462"/>
      <c r="N984" s="448"/>
      <c r="O984" s="464"/>
      <c r="R984" s="448"/>
      <c r="S984" s="464"/>
      <c r="V984" s="448"/>
      <c r="W984" s="464"/>
      <c r="Z984" s="448"/>
      <c r="AA984" s="464"/>
      <c r="AD984" s="448"/>
      <c r="AE984" s="464"/>
      <c r="AH984" s="448"/>
      <c r="AI984" s="464"/>
      <c r="AL984" s="448"/>
      <c r="AP984" s="448"/>
    </row>
    <row r="985" spans="1:42" ht="13">
      <c r="A985" s="462"/>
      <c r="B985" s="462"/>
      <c r="N985" s="448"/>
      <c r="O985" s="464"/>
      <c r="R985" s="448"/>
      <c r="S985" s="464"/>
      <c r="V985" s="448"/>
      <c r="W985" s="464"/>
      <c r="Z985" s="448"/>
      <c r="AA985" s="464"/>
      <c r="AD985" s="448"/>
      <c r="AE985" s="464"/>
      <c r="AH985" s="448"/>
      <c r="AI985" s="464"/>
      <c r="AL985" s="448"/>
      <c r="AP985" s="448"/>
    </row>
    <row r="986" spans="1:42" ht="13">
      <c r="A986" s="462"/>
      <c r="B986" s="462"/>
      <c r="N986" s="448"/>
      <c r="O986" s="464"/>
      <c r="R986" s="448"/>
      <c r="S986" s="464"/>
      <c r="V986" s="448"/>
      <c r="W986" s="464"/>
      <c r="Z986" s="448"/>
      <c r="AA986" s="464"/>
      <c r="AD986" s="448"/>
      <c r="AE986" s="464"/>
      <c r="AH986" s="448"/>
      <c r="AI986" s="464"/>
      <c r="AL986" s="448"/>
      <c r="AP986" s="448"/>
    </row>
    <row r="987" spans="1:42" ht="13">
      <c r="A987" s="462"/>
      <c r="B987" s="462"/>
      <c r="N987" s="448"/>
      <c r="O987" s="464"/>
      <c r="R987" s="448"/>
      <c r="S987" s="464"/>
      <c r="V987" s="448"/>
      <c r="W987" s="464"/>
      <c r="Z987" s="448"/>
      <c r="AA987" s="464"/>
      <c r="AD987" s="448"/>
      <c r="AE987" s="464"/>
      <c r="AH987" s="448"/>
      <c r="AI987" s="464"/>
      <c r="AL987" s="448"/>
      <c r="AP987" s="448"/>
    </row>
    <row r="988" spans="1:42" ht="13">
      <c r="A988" s="462"/>
      <c r="B988" s="462"/>
      <c r="N988" s="448"/>
      <c r="O988" s="464"/>
      <c r="R988" s="448"/>
      <c r="S988" s="464"/>
      <c r="V988" s="448"/>
      <c r="W988" s="464"/>
      <c r="Z988" s="448"/>
      <c r="AA988" s="464"/>
      <c r="AD988" s="448"/>
      <c r="AE988" s="464"/>
      <c r="AH988" s="448"/>
      <c r="AI988" s="464"/>
      <c r="AL988" s="448"/>
      <c r="AP988" s="448"/>
    </row>
    <row r="989" spans="1:42" ht="13">
      <c r="A989" s="462"/>
      <c r="B989" s="462"/>
      <c r="N989" s="448"/>
      <c r="O989" s="464"/>
      <c r="R989" s="448"/>
      <c r="S989" s="464"/>
      <c r="V989" s="448"/>
      <c r="W989" s="464"/>
      <c r="Z989" s="448"/>
      <c r="AA989" s="464"/>
      <c r="AD989" s="448"/>
      <c r="AE989" s="464"/>
      <c r="AH989" s="448"/>
      <c r="AI989" s="464"/>
      <c r="AL989" s="448"/>
      <c r="AP989" s="448"/>
    </row>
    <row r="990" spans="1:42" ht="13">
      <c r="A990" s="462"/>
      <c r="B990" s="462"/>
      <c r="N990" s="448"/>
      <c r="O990" s="464"/>
      <c r="R990" s="448"/>
      <c r="S990" s="464"/>
      <c r="V990" s="448"/>
      <c r="W990" s="464"/>
      <c r="Z990" s="448"/>
      <c r="AA990" s="464"/>
      <c r="AD990" s="448"/>
      <c r="AE990" s="464"/>
      <c r="AH990" s="448"/>
      <c r="AI990" s="464"/>
      <c r="AL990" s="448"/>
      <c r="AP990" s="448"/>
    </row>
    <row r="991" spans="1:42" ht="13">
      <c r="A991" s="462"/>
      <c r="B991" s="462"/>
      <c r="N991" s="448"/>
      <c r="O991" s="464"/>
      <c r="R991" s="448"/>
      <c r="S991" s="464"/>
      <c r="V991" s="448"/>
      <c r="W991" s="464"/>
      <c r="Z991" s="448"/>
      <c r="AA991" s="464"/>
      <c r="AD991" s="448"/>
      <c r="AE991" s="464"/>
      <c r="AH991" s="448"/>
      <c r="AI991" s="464"/>
      <c r="AL991" s="448"/>
      <c r="AP991" s="448"/>
    </row>
    <row r="992" spans="1:42" ht="13">
      <c r="A992" s="462"/>
      <c r="B992" s="462"/>
      <c r="N992" s="448"/>
      <c r="O992" s="464"/>
      <c r="R992" s="448"/>
      <c r="S992" s="464"/>
      <c r="V992" s="448"/>
      <c r="W992" s="464"/>
      <c r="Z992" s="448"/>
      <c r="AA992" s="464"/>
      <c r="AD992" s="448"/>
      <c r="AE992" s="464"/>
      <c r="AH992" s="448"/>
      <c r="AI992" s="464"/>
      <c r="AL992" s="448"/>
      <c r="AP992" s="448"/>
    </row>
    <row r="993" spans="1:42" ht="13">
      <c r="A993" s="462"/>
      <c r="B993" s="462"/>
      <c r="N993" s="448"/>
      <c r="O993" s="464"/>
      <c r="R993" s="448"/>
      <c r="S993" s="464"/>
      <c r="V993" s="448"/>
      <c r="W993" s="464"/>
      <c r="Z993" s="448"/>
      <c r="AA993" s="464"/>
      <c r="AD993" s="448"/>
      <c r="AE993" s="464"/>
      <c r="AH993" s="448"/>
      <c r="AI993" s="464"/>
      <c r="AL993" s="448"/>
      <c r="AP993" s="448"/>
    </row>
    <row r="994" spans="1:42" ht="13">
      <c r="A994" s="462"/>
      <c r="B994" s="462"/>
      <c r="N994" s="448"/>
      <c r="O994" s="464"/>
      <c r="R994" s="448"/>
      <c r="S994" s="464"/>
      <c r="V994" s="448"/>
      <c r="W994" s="464"/>
      <c r="Z994" s="448"/>
      <c r="AA994" s="464"/>
      <c r="AD994" s="448"/>
      <c r="AE994" s="464"/>
      <c r="AH994" s="448"/>
      <c r="AI994" s="464"/>
      <c r="AL994" s="448"/>
      <c r="AP994" s="448"/>
    </row>
    <row r="995" spans="1:42" ht="13">
      <c r="A995" s="462"/>
      <c r="B995" s="462"/>
      <c r="N995" s="448"/>
      <c r="O995" s="464"/>
      <c r="R995" s="448"/>
      <c r="S995" s="464"/>
      <c r="V995" s="448"/>
      <c r="W995" s="464"/>
      <c r="Z995" s="448"/>
      <c r="AA995" s="464"/>
      <c r="AD995" s="448"/>
      <c r="AE995" s="464"/>
      <c r="AH995" s="448"/>
      <c r="AI995" s="464"/>
      <c r="AL995" s="448"/>
      <c r="AP995" s="448"/>
    </row>
    <row r="996" spans="1:42" ht="13">
      <c r="A996" s="462"/>
      <c r="B996" s="462"/>
      <c r="N996" s="448"/>
      <c r="O996" s="464"/>
      <c r="R996" s="448"/>
      <c r="S996" s="464"/>
      <c r="V996" s="448"/>
      <c r="W996" s="464"/>
      <c r="Z996" s="448"/>
      <c r="AA996" s="464"/>
      <c r="AD996" s="448"/>
      <c r="AE996" s="464"/>
      <c r="AH996" s="448"/>
      <c r="AI996" s="464"/>
      <c r="AL996" s="448"/>
      <c r="AP996" s="448"/>
    </row>
    <row r="997" spans="1:42" ht="13">
      <c r="A997" s="462"/>
      <c r="B997" s="462"/>
      <c r="N997" s="448"/>
      <c r="O997" s="464"/>
      <c r="R997" s="448"/>
      <c r="S997" s="464"/>
      <c r="V997" s="448"/>
      <c r="W997" s="464"/>
      <c r="Z997" s="448"/>
      <c r="AA997" s="464"/>
      <c r="AD997" s="448"/>
      <c r="AE997" s="464"/>
      <c r="AH997" s="448"/>
      <c r="AI997" s="464"/>
      <c r="AL997" s="448"/>
      <c r="AP997" s="448"/>
    </row>
    <row r="998" spans="1:42" ht="13">
      <c r="A998" s="462"/>
      <c r="B998" s="462"/>
      <c r="N998" s="448"/>
      <c r="O998" s="464"/>
      <c r="R998" s="448"/>
      <c r="S998" s="464"/>
      <c r="V998" s="448"/>
      <c r="W998" s="464"/>
      <c r="Z998" s="448"/>
      <c r="AA998" s="464"/>
      <c r="AD998" s="448"/>
      <c r="AE998" s="464"/>
      <c r="AH998" s="448"/>
      <c r="AI998" s="464"/>
      <c r="AL998" s="448"/>
      <c r="AP998" s="448"/>
    </row>
    <row r="999" spans="1:42" ht="13">
      <c r="A999" s="462"/>
      <c r="B999" s="462"/>
      <c r="N999" s="448"/>
      <c r="O999" s="464"/>
      <c r="R999" s="448"/>
      <c r="S999" s="464"/>
      <c r="V999" s="448"/>
      <c r="W999" s="464"/>
      <c r="Z999" s="448"/>
      <c r="AA999" s="464"/>
      <c r="AD999" s="448"/>
      <c r="AE999" s="464"/>
      <c r="AH999" s="448"/>
      <c r="AI999" s="464"/>
      <c r="AL999" s="448"/>
      <c r="AP999" s="448"/>
    </row>
    <row r="1000" spans="1:42" ht="13">
      <c r="A1000" s="462"/>
      <c r="B1000" s="462"/>
      <c r="N1000" s="448"/>
      <c r="O1000" s="464"/>
      <c r="R1000" s="448"/>
      <c r="S1000" s="464"/>
      <c r="V1000" s="448"/>
      <c r="W1000" s="464"/>
      <c r="Z1000" s="448"/>
      <c r="AA1000" s="464"/>
      <c r="AD1000" s="448"/>
      <c r="AE1000" s="464"/>
      <c r="AH1000" s="448"/>
      <c r="AI1000" s="464"/>
      <c r="AL1000" s="448"/>
      <c r="AP1000" s="448"/>
    </row>
    <row r="1001" spans="1:42" ht="13">
      <c r="A1001" s="462"/>
      <c r="B1001" s="462"/>
      <c r="N1001" s="448"/>
      <c r="O1001" s="464"/>
      <c r="R1001" s="448"/>
      <c r="S1001" s="464"/>
      <c r="V1001" s="448"/>
      <c r="W1001" s="464"/>
      <c r="Z1001" s="448"/>
      <c r="AA1001" s="464"/>
      <c r="AD1001" s="448"/>
      <c r="AE1001" s="464"/>
      <c r="AH1001" s="448"/>
      <c r="AI1001" s="464"/>
      <c r="AL1001" s="448"/>
      <c r="AP1001" s="448"/>
    </row>
    <row r="1002" spans="1:42" ht="13">
      <c r="A1002" s="462"/>
      <c r="B1002" s="462"/>
      <c r="N1002" s="448"/>
      <c r="O1002" s="464"/>
      <c r="R1002" s="448"/>
      <c r="S1002" s="464"/>
      <c r="V1002" s="448"/>
      <c r="W1002" s="464"/>
      <c r="Z1002" s="448"/>
      <c r="AA1002" s="464"/>
      <c r="AD1002" s="448"/>
      <c r="AE1002" s="464"/>
      <c r="AH1002" s="448"/>
      <c r="AI1002" s="464"/>
      <c r="AL1002" s="448"/>
      <c r="AP1002" s="448"/>
    </row>
    <row r="1003" spans="1:42" ht="13">
      <c r="A1003" s="462"/>
      <c r="B1003" s="462"/>
      <c r="N1003" s="448"/>
      <c r="O1003" s="464"/>
      <c r="R1003" s="448"/>
      <c r="S1003" s="464"/>
      <c r="V1003" s="448"/>
      <c r="W1003" s="464"/>
      <c r="Z1003" s="448"/>
      <c r="AA1003" s="464"/>
      <c r="AD1003" s="448"/>
      <c r="AE1003" s="464"/>
      <c r="AH1003" s="448"/>
      <c r="AI1003" s="464"/>
      <c r="AL1003" s="448"/>
      <c r="AP1003" s="448"/>
    </row>
    <row r="1004" spans="1:42" ht="13">
      <c r="A1004" s="462"/>
      <c r="B1004" s="462"/>
      <c r="N1004" s="448"/>
      <c r="O1004" s="464"/>
      <c r="R1004" s="448"/>
      <c r="S1004" s="464"/>
      <c r="V1004" s="448"/>
      <c r="W1004" s="464"/>
      <c r="Z1004" s="448"/>
      <c r="AA1004" s="464"/>
      <c r="AD1004" s="448"/>
      <c r="AE1004" s="464"/>
      <c r="AH1004" s="448"/>
      <c r="AI1004" s="464"/>
      <c r="AL1004" s="448"/>
      <c r="AP1004" s="448"/>
    </row>
    <row r="1005" spans="1:42" ht="13">
      <c r="A1005" s="462"/>
      <c r="B1005" s="462"/>
      <c r="N1005" s="448"/>
      <c r="O1005" s="464"/>
      <c r="R1005" s="448"/>
      <c r="S1005" s="464"/>
      <c r="V1005" s="448"/>
      <c r="W1005" s="464"/>
      <c r="Z1005" s="448"/>
      <c r="AA1005" s="464"/>
      <c r="AD1005" s="448"/>
      <c r="AE1005" s="464"/>
      <c r="AH1005" s="448"/>
      <c r="AI1005" s="464"/>
      <c r="AL1005" s="448"/>
      <c r="AP1005" s="448"/>
    </row>
    <row r="1006" spans="1:42" ht="13">
      <c r="A1006" s="462"/>
      <c r="B1006" s="462"/>
      <c r="N1006" s="448"/>
      <c r="O1006" s="464"/>
      <c r="R1006" s="448"/>
      <c r="S1006" s="464"/>
      <c r="V1006" s="448"/>
      <c r="W1006" s="464"/>
      <c r="Z1006" s="448"/>
      <c r="AA1006" s="464"/>
      <c r="AD1006" s="448"/>
      <c r="AE1006" s="464"/>
      <c r="AH1006" s="448"/>
      <c r="AI1006" s="464"/>
      <c r="AL1006" s="448"/>
      <c r="AP1006" s="448"/>
    </row>
    <row r="1007" spans="1:42" ht="13">
      <c r="A1007" s="462"/>
      <c r="B1007" s="462"/>
      <c r="N1007" s="448"/>
      <c r="O1007" s="464"/>
      <c r="R1007" s="448"/>
      <c r="S1007" s="464"/>
      <c r="V1007" s="448"/>
      <c r="W1007" s="464"/>
      <c r="Z1007" s="448"/>
      <c r="AA1007" s="464"/>
      <c r="AD1007" s="448"/>
      <c r="AE1007" s="464"/>
      <c r="AH1007" s="448"/>
      <c r="AI1007" s="464"/>
      <c r="AL1007" s="448"/>
      <c r="AP1007" s="448"/>
    </row>
    <row r="1008" spans="1:42" ht="13">
      <c r="A1008" s="462"/>
      <c r="B1008" s="462"/>
      <c r="N1008" s="448"/>
      <c r="O1008" s="464"/>
      <c r="R1008" s="448"/>
      <c r="S1008" s="464"/>
      <c r="V1008" s="448"/>
      <c r="W1008" s="464"/>
      <c r="Z1008" s="448"/>
      <c r="AA1008" s="464"/>
      <c r="AD1008" s="448"/>
      <c r="AE1008" s="464"/>
      <c r="AH1008" s="448"/>
      <c r="AI1008" s="464"/>
      <c r="AL1008" s="448"/>
      <c r="AP1008" s="448"/>
    </row>
    <row r="1009" spans="1:42" ht="13">
      <c r="A1009" s="462"/>
      <c r="B1009" s="462"/>
      <c r="N1009" s="448"/>
      <c r="O1009" s="464"/>
      <c r="R1009" s="448"/>
      <c r="S1009" s="464"/>
      <c r="V1009" s="448"/>
      <c r="W1009" s="464"/>
      <c r="Z1009" s="448"/>
      <c r="AA1009" s="464"/>
      <c r="AD1009" s="448"/>
      <c r="AE1009" s="464"/>
      <c r="AH1009" s="448"/>
      <c r="AI1009" s="464"/>
      <c r="AL1009" s="448"/>
      <c r="AP1009" s="448"/>
    </row>
    <row r="1010" spans="1:42" ht="13">
      <c r="A1010" s="462"/>
      <c r="B1010" s="462"/>
      <c r="N1010" s="448"/>
      <c r="O1010" s="464"/>
      <c r="R1010" s="448"/>
      <c r="S1010" s="464"/>
      <c r="V1010" s="448"/>
      <c r="W1010" s="464"/>
      <c r="Z1010" s="448"/>
      <c r="AA1010" s="464"/>
      <c r="AD1010" s="448"/>
      <c r="AE1010" s="464"/>
      <c r="AH1010" s="448"/>
      <c r="AI1010" s="464"/>
      <c r="AL1010" s="448"/>
      <c r="AP1010" s="44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Raw</vt:lpstr>
      <vt:lpstr>Filtered</vt:lpstr>
      <vt:lpstr>For merging to master</vt:lpstr>
      <vt:lpstr>pr-type</vt:lpstr>
      <vt:lpstr>preprint version</vt:lpstr>
      <vt:lpstr>coreviewers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Ross-Hellauer</dc:creator>
  <cp:lastModifiedBy>Klebel Thomas</cp:lastModifiedBy>
  <dcterms:created xsi:type="dcterms:W3CDTF">2019-06-06T07:13:22Z</dcterms:created>
  <dcterms:modified xsi:type="dcterms:W3CDTF">2019-07-02T11:57:54Z</dcterms:modified>
</cp:coreProperties>
</file>